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15450" windowHeight="11280" activeTab="11"/>
  </bookViews>
  <sheets>
    <sheet name="01.21" sheetId="17" r:id="rId1"/>
    <sheet name="02.21" sheetId="30" r:id="rId2"/>
    <sheet name="03.21" sheetId="31" r:id="rId3"/>
    <sheet name="04.21" sheetId="32" r:id="rId4"/>
    <sheet name="05.21" sheetId="33" r:id="rId5"/>
    <sheet name="06.21" sheetId="34" r:id="rId6"/>
    <sheet name="07.21" sheetId="35" r:id="rId7"/>
    <sheet name="08.21" sheetId="36" r:id="rId8"/>
    <sheet name="09.21" sheetId="37" r:id="rId9"/>
    <sheet name="10.21" sheetId="38" r:id="rId10"/>
    <sheet name="11.21" sheetId="39" r:id="rId11"/>
    <sheet name="12.21" sheetId="40" r:id="rId12"/>
  </sheets>
  <definedNames>
    <definedName name="_xlnm._FilterDatabase" localSheetId="0" hidden="1">'01.21'!$I$12:$I$55</definedName>
    <definedName name="_xlnm._FilterDatabase" localSheetId="1" hidden="1">'02.21'!$I$12:$I$55</definedName>
    <definedName name="_xlnm._FilterDatabase" localSheetId="2" hidden="1">'03.21'!$I$12:$I$55</definedName>
    <definedName name="_xlnm.Print_Area" localSheetId="0">'01.21'!$A$1:$I$118</definedName>
    <definedName name="_xlnm.Print_Area" localSheetId="1">'02.21'!$A$1:$I$114</definedName>
    <definedName name="_xlnm.Print_Area" localSheetId="2">'03.21'!$A$1:$I$118</definedName>
    <definedName name="_xlnm.Print_Area" localSheetId="4">'05.21'!$A$1:$I$126</definedName>
    <definedName name="_xlnm.Print_Area" localSheetId="5">'06.21'!$A$1:$I$129</definedName>
  </definedNames>
  <calcPr calcId="125725"/>
</workbook>
</file>

<file path=xl/calcChain.xml><?xml version="1.0" encoding="utf-8"?>
<calcChain xmlns="http://schemas.openxmlformats.org/spreadsheetml/2006/main">
  <c r="I93" i="40"/>
  <c r="I92"/>
  <c r="I95" s="1"/>
  <c r="I85"/>
  <c r="I38"/>
  <c r="I38" i="39"/>
  <c r="I90"/>
  <c r="I100"/>
  <c r="I98"/>
  <c r="I97"/>
  <c r="I96"/>
  <c r="I95"/>
  <c r="I94"/>
  <c r="I92"/>
  <c r="I95" i="38" l="1"/>
  <c r="I94"/>
  <c r="I88"/>
  <c r="I91"/>
  <c r="I90"/>
  <c r="I96" i="36"/>
  <c r="I95"/>
  <c r="I94"/>
  <c r="I93"/>
  <c r="I92"/>
  <c r="I99" i="35"/>
  <c r="I96"/>
  <c r="I87" i="37"/>
  <c r="I89"/>
  <c r="I64"/>
  <c r="I87" i="36"/>
  <c r="I91"/>
  <c r="I90"/>
  <c r="I63"/>
  <c r="I102" i="33"/>
  <c r="I101"/>
  <c r="I21" i="35"/>
  <c r="F25"/>
  <c r="F24"/>
  <c r="F23"/>
  <c r="F22"/>
  <c r="F21"/>
  <c r="F20"/>
  <c r="I63"/>
  <c r="I94"/>
  <c r="I93"/>
  <c r="F93"/>
  <c r="I92"/>
  <c r="I91"/>
  <c r="I90"/>
  <c r="I87" i="33" l="1"/>
  <c r="I58"/>
  <c r="I100"/>
  <c r="I92" i="32" l="1"/>
  <c r="I97"/>
  <c r="I101" i="34"/>
  <c r="I100"/>
  <c r="F100"/>
  <c r="I99"/>
  <c r="I98"/>
  <c r="I97"/>
  <c r="I96"/>
  <c r="I95"/>
  <c r="I94"/>
  <c r="I93"/>
  <c r="I92"/>
  <c r="I91"/>
  <c r="I90"/>
  <c r="I89"/>
  <c r="I104" s="1"/>
  <c r="I70"/>
  <c r="F68"/>
  <c r="F67"/>
  <c r="F66"/>
  <c r="F65"/>
  <c r="F64"/>
  <c r="I99" i="33"/>
  <c r="I98"/>
  <c r="I96"/>
  <c r="I95"/>
  <c r="I94"/>
  <c r="I93"/>
  <c r="I91"/>
  <c r="I90"/>
  <c r="I89"/>
  <c r="I96" i="32"/>
  <c r="I95"/>
  <c r="I94"/>
  <c r="I93"/>
  <c r="I98" s="1"/>
  <c r="I91"/>
  <c r="I90"/>
  <c r="I90" i="31"/>
  <c r="I91"/>
  <c r="I56"/>
  <c r="I94"/>
  <c r="I93"/>
  <c r="I92"/>
  <c r="I95" s="1"/>
  <c r="I37"/>
  <c r="F53" i="30" l="1"/>
  <c r="I90"/>
  <c r="I37"/>
  <c r="I58" i="17" l="1"/>
  <c r="I94"/>
  <c r="I95" s="1"/>
  <c r="I91"/>
  <c r="I56"/>
  <c r="I37"/>
  <c r="E88" i="40" l="1"/>
  <c r="F88" s="1"/>
  <c r="F87"/>
  <c r="H87" s="1"/>
  <c r="F81"/>
  <c r="H81" s="1"/>
  <c r="F74"/>
  <c r="H74" s="1"/>
  <c r="F44"/>
  <c r="H44" s="1"/>
  <c r="I43"/>
  <c r="H43"/>
  <c r="F42"/>
  <c r="I42" s="1"/>
  <c r="F41"/>
  <c r="H41" s="1"/>
  <c r="F40"/>
  <c r="I40" s="1"/>
  <c r="F39"/>
  <c r="H39" s="1"/>
  <c r="I63"/>
  <c r="H63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H23" l="1"/>
  <c r="H21"/>
  <c r="H25"/>
  <c r="H88"/>
  <c r="I88"/>
  <c r="I87"/>
  <c r="I81"/>
  <c r="I74"/>
  <c r="I39"/>
  <c r="H40"/>
  <c r="I41"/>
  <c r="H42"/>
  <c r="I44"/>
  <c r="H19"/>
  <c r="I20"/>
  <c r="I22"/>
  <c r="I24"/>
  <c r="I26"/>
  <c r="I63" i="39" l="1"/>
  <c r="H63"/>
  <c r="E89"/>
  <c r="F89" s="1"/>
  <c r="F88"/>
  <c r="H88" s="1"/>
  <c r="F82"/>
  <c r="H82" s="1"/>
  <c r="I73"/>
  <c r="F73"/>
  <c r="F75"/>
  <c r="H75" s="1"/>
  <c r="I65"/>
  <c r="I43"/>
  <c r="I42"/>
  <c r="F44"/>
  <c r="F42"/>
  <c r="F41"/>
  <c r="F40"/>
  <c r="F39"/>
  <c r="F26"/>
  <c r="H26" s="1"/>
  <c r="F25"/>
  <c r="I25" s="1"/>
  <c r="H24"/>
  <c r="F24"/>
  <c r="I24" s="1"/>
  <c r="F23"/>
  <c r="I23" s="1"/>
  <c r="F22"/>
  <c r="I22" s="1"/>
  <c r="F21"/>
  <c r="I21" s="1"/>
  <c r="F20"/>
  <c r="I20" s="1"/>
  <c r="F19"/>
  <c r="I19" s="1"/>
  <c r="I18"/>
  <c r="H18"/>
  <c r="I17"/>
  <c r="H17"/>
  <c r="I16"/>
  <c r="H16"/>
  <c r="I71" i="38"/>
  <c r="I61"/>
  <c r="H61"/>
  <c r="F71"/>
  <c r="I75"/>
  <c r="E87"/>
  <c r="F87" s="1"/>
  <c r="F86"/>
  <c r="I86" s="1"/>
  <c r="F80"/>
  <c r="H80" s="1"/>
  <c r="F73"/>
  <c r="H73" s="1"/>
  <c r="I63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H22" i="39" l="1"/>
  <c r="H20"/>
  <c r="H89"/>
  <c r="I89"/>
  <c r="I88"/>
  <c r="I82"/>
  <c r="I75"/>
  <c r="H19"/>
  <c r="H21"/>
  <c r="H23"/>
  <c r="H25"/>
  <c r="I26"/>
  <c r="H21" i="38"/>
  <c r="H19"/>
  <c r="H23"/>
  <c r="H25"/>
  <c r="H86"/>
  <c r="H87"/>
  <c r="I87"/>
  <c r="I80"/>
  <c r="I73"/>
  <c r="H29"/>
  <c r="I30"/>
  <c r="H31"/>
  <c r="I32"/>
  <c r="I20"/>
  <c r="I22"/>
  <c r="I24"/>
  <c r="I26"/>
  <c r="F70" i="37" l="1"/>
  <c r="I52"/>
  <c r="F52"/>
  <c r="F45"/>
  <c r="F20"/>
  <c r="I20" s="1"/>
  <c r="I61"/>
  <c r="H61"/>
  <c r="I91"/>
  <c r="E86"/>
  <c r="F86" s="1"/>
  <c r="F85"/>
  <c r="H85" s="1"/>
  <c r="F79"/>
  <c r="H79" s="1"/>
  <c r="F72"/>
  <c r="H72" s="1"/>
  <c r="I63"/>
  <c r="F32"/>
  <c r="H32" s="1"/>
  <c r="F31"/>
  <c r="I31" s="1"/>
  <c r="F30"/>
  <c r="I30" s="1"/>
  <c r="F29"/>
  <c r="I29" s="1"/>
  <c r="F26"/>
  <c r="H26" s="1"/>
  <c r="F25"/>
  <c r="I25" s="1"/>
  <c r="F24"/>
  <c r="I24" s="1"/>
  <c r="F23"/>
  <c r="I23" s="1"/>
  <c r="F22"/>
  <c r="I22" s="1"/>
  <c r="F21"/>
  <c r="I21" s="1"/>
  <c r="F19"/>
  <c r="I19" s="1"/>
  <c r="I18"/>
  <c r="H18"/>
  <c r="I17"/>
  <c r="H17"/>
  <c r="I16"/>
  <c r="H16"/>
  <c r="I61" i="36"/>
  <c r="H61"/>
  <c r="E86"/>
  <c r="F86" s="1"/>
  <c r="F85"/>
  <c r="H85" s="1"/>
  <c r="F79"/>
  <c r="H79" s="1"/>
  <c r="F72"/>
  <c r="H72" s="1"/>
  <c r="H63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I71" i="35"/>
  <c r="H24" i="37" l="1"/>
  <c r="H22"/>
  <c r="H30"/>
  <c r="H86"/>
  <c r="I86"/>
  <c r="I85"/>
  <c r="I79"/>
  <c r="I72"/>
  <c r="H29"/>
  <c r="H31"/>
  <c r="I32"/>
  <c r="H20"/>
  <c r="H19"/>
  <c r="H21"/>
  <c r="H23"/>
  <c r="H25"/>
  <c r="I26"/>
  <c r="H19" i="36"/>
  <c r="H23"/>
  <c r="H29"/>
  <c r="H21"/>
  <c r="H25"/>
  <c r="H31"/>
  <c r="H86"/>
  <c r="I86"/>
  <c r="I98" s="1"/>
  <c r="I85"/>
  <c r="I79"/>
  <c r="I72"/>
  <c r="I30"/>
  <c r="I32"/>
  <c r="I20"/>
  <c r="I22"/>
  <c r="I24"/>
  <c r="I26"/>
  <c r="I84" i="30"/>
  <c r="I63" i="34" l="1"/>
  <c r="F69" i="35"/>
  <c r="F68"/>
  <c r="E87" l="1"/>
  <c r="F87" s="1"/>
  <c r="F86"/>
  <c r="H86" s="1"/>
  <c r="H87" l="1"/>
  <c r="I87"/>
  <c r="I86"/>
  <c r="I77"/>
  <c r="F80"/>
  <c r="I80" s="1"/>
  <c r="F73"/>
  <c r="H73" s="1"/>
  <c r="F71"/>
  <c r="I61"/>
  <c r="H61"/>
  <c r="F32"/>
  <c r="H32" s="1"/>
  <c r="F31"/>
  <c r="I31" s="1"/>
  <c r="F30"/>
  <c r="I30" s="1"/>
  <c r="F29"/>
  <c r="I29" s="1"/>
  <c r="F26"/>
  <c r="H26" s="1"/>
  <c r="I25"/>
  <c r="H24"/>
  <c r="I23"/>
  <c r="H22"/>
  <c r="I20"/>
  <c r="F19"/>
  <c r="I19" s="1"/>
  <c r="I18"/>
  <c r="H18"/>
  <c r="I17"/>
  <c r="H17"/>
  <c r="I16"/>
  <c r="H16"/>
  <c r="I88" l="1"/>
  <c r="H30"/>
  <c r="H20"/>
  <c r="H80"/>
  <c r="I73"/>
  <c r="H29"/>
  <c r="H31"/>
  <c r="I32"/>
  <c r="H19"/>
  <c r="H21"/>
  <c r="I22"/>
  <c r="H23"/>
  <c r="I24"/>
  <c r="H25"/>
  <c r="I26"/>
  <c r="I52" i="34" l="1"/>
  <c r="F70"/>
  <c r="E86"/>
  <c r="F86" s="1"/>
  <c r="F85"/>
  <c r="H85" s="1"/>
  <c r="F79"/>
  <c r="H79" s="1"/>
  <c r="F72"/>
  <c r="H72" s="1"/>
  <c r="I61"/>
  <c r="H61"/>
  <c r="F32"/>
  <c r="H32" s="1"/>
  <c r="F31"/>
  <c r="I31" s="1"/>
  <c r="F30"/>
  <c r="H30" s="1"/>
  <c r="F29"/>
  <c r="I29" s="1"/>
  <c r="F25"/>
  <c r="I25" s="1"/>
  <c r="F24"/>
  <c r="H24" s="1"/>
  <c r="F23"/>
  <c r="H23" s="1"/>
  <c r="F22"/>
  <c r="F21"/>
  <c r="I21" s="1"/>
  <c r="F20"/>
  <c r="H20" s="1"/>
  <c r="F19"/>
  <c r="H19" s="1"/>
  <c r="F26"/>
  <c r="H26" s="1"/>
  <c r="H25"/>
  <c r="I23"/>
  <c r="H22"/>
  <c r="I18"/>
  <c r="H18"/>
  <c r="I17"/>
  <c r="H17"/>
  <c r="I16"/>
  <c r="H16"/>
  <c r="I19" l="1"/>
  <c r="H21"/>
  <c r="H31"/>
  <c r="H29"/>
  <c r="H86"/>
  <c r="I86"/>
  <c r="I85"/>
  <c r="I79"/>
  <c r="I72"/>
  <c r="I30"/>
  <c r="I32"/>
  <c r="I20"/>
  <c r="I22"/>
  <c r="I24"/>
  <c r="I26"/>
  <c r="I61" i="33" l="1"/>
  <c r="H61"/>
  <c r="E86"/>
  <c r="F86" s="1"/>
  <c r="F85"/>
  <c r="H85" s="1"/>
  <c r="F79"/>
  <c r="H79" s="1"/>
  <c r="F72"/>
  <c r="H72" s="1"/>
  <c r="F32"/>
  <c r="F31"/>
  <c r="F30"/>
  <c r="F29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H21" l="1"/>
  <c r="H86"/>
  <c r="I86"/>
  <c r="I85"/>
  <c r="I79"/>
  <c r="I72"/>
  <c r="H23"/>
  <c r="H25"/>
  <c r="H19"/>
  <c r="I20"/>
  <c r="I22"/>
  <c r="I24"/>
  <c r="I26"/>
  <c r="I62" i="32" l="1"/>
  <c r="H62"/>
  <c r="E87"/>
  <c r="F87" s="1"/>
  <c r="F86"/>
  <c r="H86" s="1"/>
  <c r="F43"/>
  <c r="F41"/>
  <c r="F40"/>
  <c r="F39"/>
  <c r="F38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H21" l="1"/>
  <c r="H25"/>
  <c r="H19"/>
  <c r="H23"/>
  <c r="H87"/>
  <c r="I87"/>
  <c r="I86"/>
  <c r="I20"/>
  <c r="I22"/>
  <c r="I24"/>
  <c r="I26"/>
  <c r="F43" i="31" l="1"/>
  <c r="H43" s="1"/>
  <c r="I42"/>
  <c r="H42"/>
  <c r="F41"/>
  <c r="I41" s="1"/>
  <c r="F40"/>
  <c r="H40" s="1"/>
  <c r="F39"/>
  <c r="I39" s="1"/>
  <c r="F38"/>
  <c r="H38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F73"/>
  <c r="H73" s="1"/>
  <c r="E87"/>
  <c r="F87" s="1"/>
  <c r="F86"/>
  <c r="H86" s="1"/>
  <c r="F39" i="17"/>
  <c r="H39" s="1"/>
  <c r="F62" i="30"/>
  <c r="H62" s="1"/>
  <c r="I91"/>
  <c r="E87"/>
  <c r="F87" s="1"/>
  <c r="F86"/>
  <c r="H86" s="1"/>
  <c r="F80"/>
  <c r="H80" s="1"/>
  <c r="F73"/>
  <c r="H73" s="1"/>
  <c r="I56"/>
  <c r="F56"/>
  <c r="F49"/>
  <c r="H49" s="1"/>
  <c r="I42"/>
  <c r="F43"/>
  <c r="H43" s="1"/>
  <c r="H42"/>
  <c r="F41"/>
  <c r="I41" s="1"/>
  <c r="F40"/>
  <c r="H40" s="1"/>
  <c r="F39"/>
  <c r="I39" s="1"/>
  <c r="F38"/>
  <c r="H38" s="1"/>
  <c r="H37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I17" i="17"/>
  <c r="I16"/>
  <c r="H41" i="31" l="1"/>
  <c r="H41" i="30"/>
  <c r="I39" i="17"/>
  <c r="I38" i="31"/>
  <c r="H39"/>
  <c r="I40"/>
  <c r="I43"/>
  <c r="H19"/>
  <c r="H23"/>
  <c r="H21"/>
  <c r="H25"/>
  <c r="I20"/>
  <c r="I22"/>
  <c r="I24"/>
  <c r="I26"/>
  <c r="I73"/>
  <c r="H87"/>
  <c r="I87"/>
  <c r="I86"/>
  <c r="I62" i="30"/>
  <c r="H21"/>
  <c r="H25"/>
  <c r="H19"/>
  <c r="H23"/>
  <c r="H87"/>
  <c r="I87"/>
  <c r="I86"/>
  <c r="I80"/>
  <c r="I73"/>
  <c r="I49"/>
  <c r="I38"/>
  <c r="H39"/>
  <c r="I40"/>
  <c r="I43"/>
  <c r="I20"/>
  <c r="I22"/>
  <c r="I24"/>
  <c r="I26"/>
  <c r="I42" i="17" l="1"/>
  <c r="F88"/>
  <c r="I88" s="1"/>
  <c r="E87"/>
  <c r="F87" s="1"/>
  <c r="F86"/>
  <c r="F80"/>
  <c r="F73"/>
  <c r="F62"/>
  <c r="F49"/>
  <c r="F43"/>
  <c r="F41"/>
  <c r="I41" s="1"/>
  <c r="F40"/>
  <c r="F38"/>
  <c r="F26"/>
  <c r="I65" i="40" l="1"/>
  <c r="F50" i="37" l="1"/>
  <c r="F49"/>
  <c r="F48"/>
  <c r="F47"/>
  <c r="F46"/>
  <c r="F44"/>
  <c r="I37" i="32" l="1"/>
  <c r="I42"/>
  <c r="I41"/>
  <c r="F80" l="1"/>
  <c r="H80" s="1"/>
  <c r="F73"/>
  <c r="H73" s="1"/>
  <c r="F58"/>
  <c r="H58" s="1"/>
  <c r="H43"/>
  <c r="H42"/>
  <c r="H40"/>
  <c r="H39"/>
  <c r="I39"/>
  <c r="H38"/>
  <c r="H37"/>
  <c r="H41" l="1"/>
  <c r="I80"/>
  <c r="I88" s="1"/>
  <c r="I73"/>
  <c r="I58"/>
  <c r="I38"/>
  <c r="I40"/>
  <c r="I43"/>
  <c r="I84" i="31" l="1"/>
  <c r="F80" l="1"/>
  <c r="I75"/>
  <c r="F58"/>
  <c r="F58" i="30" l="1"/>
  <c r="I53"/>
  <c r="I88" s="1"/>
  <c r="I18" i="17" l="1"/>
  <c r="F58" l="1"/>
  <c r="F54" i="40" l="1"/>
  <c r="H54" s="1"/>
  <c r="F50"/>
  <c r="H50" s="1"/>
  <c r="H89"/>
  <c r="H85"/>
  <c r="H83"/>
  <c r="H80"/>
  <c r="F79"/>
  <c r="H79" s="1"/>
  <c r="I78"/>
  <c r="F78"/>
  <c r="H78" s="1"/>
  <c r="H77"/>
  <c r="H76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I62"/>
  <c r="F62"/>
  <c r="H62" s="1"/>
  <c r="I60"/>
  <c r="H60"/>
  <c r="F59"/>
  <c r="I59" s="1"/>
  <c r="I58"/>
  <c r="H58"/>
  <c r="F57"/>
  <c r="H57" s="1"/>
  <c r="I54"/>
  <c r="I53"/>
  <c r="H53"/>
  <c r="I52"/>
  <c r="F52"/>
  <c r="H52" s="1"/>
  <c r="I51"/>
  <c r="F51"/>
  <c r="H51" s="1"/>
  <c r="I49"/>
  <c r="F49"/>
  <c r="H49" s="1"/>
  <c r="I48"/>
  <c r="F48"/>
  <c r="H48" s="1"/>
  <c r="I47"/>
  <c r="F47"/>
  <c r="H47" s="1"/>
  <c r="I46"/>
  <c r="F46"/>
  <c r="H46" s="1"/>
  <c r="H38"/>
  <c r="H36"/>
  <c r="H35"/>
  <c r="H34"/>
  <c r="F34"/>
  <c r="I34" s="1"/>
  <c r="E34"/>
  <c r="F33"/>
  <c r="H33" s="1"/>
  <c r="F32"/>
  <c r="I32" s="1"/>
  <c r="F31"/>
  <c r="H31" s="1"/>
  <c r="F30"/>
  <c r="I30" s="1"/>
  <c r="F27"/>
  <c r="H27" s="1"/>
  <c r="H59" l="1"/>
  <c r="H67"/>
  <c r="H71"/>
  <c r="H69"/>
  <c r="H32"/>
  <c r="H30"/>
  <c r="I27"/>
  <c r="I31"/>
  <c r="I33"/>
  <c r="I50"/>
  <c r="I89" s="1"/>
  <c r="I57"/>
  <c r="I68"/>
  <c r="I70"/>
  <c r="I72"/>
  <c r="H86" i="39"/>
  <c r="H84"/>
  <c r="H81"/>
  <c r="F80"/>
  <c r="H80" s="1"/>
  <c r="I79"/>
  <c r="F79"/>
  <c r="H79" s="1"/>
  <c r="H78"/>
  <c r="H77"/>
  <c r="F72"/>
  <c r="I72" s="1"/>
  <c r="F71"/>
  <c r="I71" s="1"/>
  <c r="F70"/>
  <c r="I70" s="1"/>
  <c r="F69"/>
  <c r="I69" s="1"/>
  <c r="F68"/>
  <c r="I68" s="1"/>
  <c r="F67"/>
  <c r="I67" s="1"/>
  <c r="F66"/>
  <c r="H66" s="1"/>
  <c r="F65"/>
  <c r="H65" s="1"/>
  <c r="I62"/>
  <c r="F62"/>
  <c r="H62" s="1"/>
  <c r="I60"/>
  <c r="H60"/>
  <c r="F59"/>
  <c r="I59" s="1"/>
  <c r="I58"/>
  <c r="H58"/>
  <c r="F57"/>
  <c r="H57" s="1"/>
  <c r="I54"/>
  <c r="F54"/>
  <c r="H54" s="1"/>
  <c r="I53"/>
  <c r="H53"/>
  <c r="I52"/>
  <c r="F52"/>
  <c r="H52" s="1"/>
  <c r="I51"/>
  <c r="F51"/>
  <c r="H51" s="1"/>
  <c r="F50"/>
  <c r="H50" s="1"/>
  <c r="I49"/>
  <c r="F49"/>
  <c r="H49" s="1"/>
  <c r="I48"/>
  <c r="F48"/>
  <c r="H48" s="1"/>
  <c r="I47"/>
  <c r="F47"/>
  <c r="H47" s="1"/>
  <c r="I46"/>
  <c r="F46"/>
  <c r="H46" s="1"/>
  <c r="I44"/>
  <c r="H43"/>
  <c r="H42"/>
  <c r="I41"/>
  <c r="H40"/>
  <c r="I39"/>
  <c r="H38"/>
  <c r="H36"/>
  <c r="H35"/>
  <c r="H34"/>
  <c r="F34"/>
  <c r="I34" s="1"/>
  <c r="E34"/>
  <c r="F33"/>
  <c r="H33" s="1"/>
  <c r="F32"/>
  <c r="I32" s="1"/>
  <c r="F31"/>
  <c r="H31" s="1"/>
  <c r="F30"/>
  <c r="I30" s="1"/>
  <c r="F27"/>
  <c r="H27" s="1"/>
  <c r="H84" i="38"/>
  <c r="H82"/>
  <c r="H79"/>
  <c r="F78"/>
  <c r="H78" s="1"/>
  <c r="I77"/>
  <c r="F77"/>
  <c r="H77" s="1"/>
  <c r="H76"/>
  <c r="H75"/>
  <c r="F70"/>
  <c r="I70" s="1"/>
  <c r="F69"/>
  <c r="H69" s="1"/>
  <c r="F68"/>
  <c r="I68" s="1"/>
  <c r="F67"/>
  <c r="H67" s="1"/>
  <c r="F66"/>
  <c r="I66" s="1"/>
  <c r="F65"/>
  <c r="H65" s="1"/>
  <c r="F64"/>
  <c r="H64" s="1"/>
  <c r="F63"/>
  <c r="H63" s="1"/>
  <c r="I60"/>
  <c r="F60"/>
  <c r="H60" s="1"/>
  <c r="I58"/>
  <c r="H58"/>
  <c r="F57"/>
  <c r="H57" s="1"/>
  <c r="I56"/>
  <c r="H56"/>
  <c r="F55"/>
  <c r="I55" s="1"/>
  <c r="I52"/>
  <c r="F52"/>
  <c r="H52" s="1"/>
  <c r="I51"/>
  <c r="H51"/>
  <c r="I50"/>
  <c r="F50"/>
  <c r="H50" s="1"/>
  <c r="I49"/>
  <c r="F49"/>
  <c r="H49" s="1"/>
  <c r="F48"/>
  <c r="I48" s="1"/>
  <c r="I47"/>
  <c r="F47"/>
  <c r="H47" s="1"/>
  <c r="I46"/>
  <c r="F46"/>
  <c r="H46" s="1"/>
  <c r="I45"/>
  <c r="F45"/>
  <c r="H45" s="1"/>
  <c r="I44"/>
  <c r="F44"/>
  <c r="H44" s="1"/>
  <c r="F42"/>
  <c r="I41"/>
  <c r="H41"/>
  <c r="F40"/>
  <c r="I40" s="1"/>
  <c r="F39"/>
  <c r="H39" s="1"/>
  <c r="F38"/>
  <c r="I38" s="1"/>
  <c r="F37"/>
  <c r="H37" s="1"/>
  <c r="I36"/>
  <c r="H36"/>
  <c r="H34"/>
  <c r="H33"/>
  <c r="H42" l="1"/>
  <c r="I42"/>
  <c r="H84" i="40"/>
  <c r="I97"/>
  <c r="H41" i="39"/>
  <c r="H44"/>
  <c r="H39"/>
  <c r="H72"/>
  <c r="H70"/>
  <c r="H68"/>
  <c r="H32"/>
  <c r="H30"/>
  <c r="H90"/>
  <c r="I27"/>
  <c r="I31"/>
  <c r="I33"/>
  <c r="I40"/>
  <c r="I50"/>
  <c r="I57"/>
  <c r="H59"/>
  <c r="H67"/>
  <c r="H69"/>
  <c r="H71"/>
  <c r="H70" i="38"/>
  <c r="H68"/>
  <c r="H66"/>
  <c r="H55"/>
  <c r="H48"/>
  <c r="H40"/>
  <c r="H38"/>
  <c r="H88"/>
  <c r="I37"/>
  <c r="I39"/>
  <c r="I57"/>
  <c r="I65"/>
  <c r="I67"/>
  <c r="I69"/>
  <c r="I97" l="1"/>
  <c r="I102" i="39"/>
  <c r="H85"/>
  <c r="H83" i="38"/>
  <c r="H83" i="37" l="1"/>
  <c r="H81"/>
  <c r="H78"/>
  <c r="F77"/>
  <c r="H77" s="1"/>
  <c r="I76"/>
  <c r="F76"/>
  <c r="H76" s="1"/>
  <c r="H75"/>
  <c r="H74"/>
  <c r="I70"/>
  <c r="F69"/>
  <c r="H69" s="1"/>
  <c r="F68"/>
  <c r="I68" s="1"/>
  <c r="F67"/>
  <c r="H67" s="1"/>
  <c r="F66"/>
  <c r="I66" s="1"/>
  <c r="F65"/>
  <c r="H65" s="1"/>
  <c r="F64"/>
  <c r="H64" s="1"/>
  <c r="F63"/>
  <c r="H63" s="1"/>
  <c r="I60"/>
  <c r="F60"/>
  <c r="H60" s="1"/>
  <c r="I58"/>
  <c r="H58"/>
  <c r="F57"/>
  <c r="H57" s="1"/>
  <c r="I56"/>
  <c r="H56"/>
  <c r="F55"/>
  <c r="I55" s="1"/>
  <c r="H52"/>
  <c r="I51"/>
  <c r="H51"/>
  <c r="I50"/>
  <c r="H50"/>
  <c r="I49"/>
  <c r="H49"/>
  <c r="I48"/>
  <c r="I47"/>
  <c r="H47"/>
  <c r="I46"/>
  <c r="H46"/>
  <c r="I45"/>
  <c r="H45"/>
  <c r="I44"/>
  <c r="H44"/>
  <c r="F42"/>
  <c r="H42" s="1"/>
  <c r="I41"/>
  <c r="H41"/>
  <c r="F40"/>
  <c r="I40" s="1"/>
  <c r="F39"/>
  <c r="H39" s="1"/>
  <c r="F38"/>
  <c r="I38" s="1"/>
  <c r="F37"/>
  <c r="H37" s="1"/>
  <c r="I36"/>
  <c r="H36"/>
  <c r="H34"/>
  <c r="H33"/>
  <c r="H48" l="1"/>
  <c r="H66"/>
  <c r="H70"/>
  <c r="H68"/>
  <c r="H55"/>
  <c r="H40"/>
  <c r="H38"/>
  <c r="H87"/>
  <c r="I37"/>
  <c r="I39"/>
  <c r="I42"/>
  <c r="I57"/>
  <c r="I65"/>
  <c r="I67"/>
  <c r="I69"/>
  <c r="H82" l="1"/>
  <c r="I93"/>
  <c r="I58" i="36" l="1"/>
  <c r="H83"/>
  <c r="H81"/>
  <c r="H78"/>
  <c r="F77"/>
  <c r="H77" s="1"/>
  <c r="I76"/>
  <c r="F76"/>
  <c r="H76" s="1"/>
  <c r="H75"/>
  <c r="H74"/>
  <c r="F70"/>
  <c r="H70" s="1"/>
  <c r="F69"/>
  <c r="I69" s="1"/>
  <c r="F68"/>
  <c r="H68" s="1"/>
  <c r="F67"/>
  <c r="I67" s="1"/>
  <c r="F66"/>
  <c r="H66" s="1"/>
  <c r="F65"/>
  <c r="I65" s="1"/>
  <c r="F64"/>
  <c r="H64" s="1"/>
  <c r="I60"/>
  <c r="F60"/>
  <c r="H60" s="1"/>
  <c r="H58"/>
  <c r="F57"/>
  <c r="I57" s="1"/>
  <c r="I56"/>
  <c r="H56"/>
  <c r="F55"/>
  <c r="H55" s="1"/>
  <c r="I52"/>
  <c r="F52"/>
  <c r="H52" s="1"/>
  <c r="I51"/>
  <c r="H51"/>
  <c r="I50"/>
  <c r="F50"/>
  <c r="H50" s="1"/>
  <c r="I49"/>
  <c r="F49"/>
  <c r="H49" s="1"/>
  <c r="F48"/>
  <c r="H48" s="1"/>
  <c r="I47"/>
  <c r="F47"/>
  <c r="H47" s="1"/>
  <c r="I46"/>
  <c r="F46"/>
  <c r="H46" s="1"/>
  <c r="I45"/>
  <c r="F45"/>
  <c r="H45" s="1"/>
  <c r="I44"/>
  <c r="F44"/>
  <c r="H44" s="1"/>
  <c r="F42"/>
  <c r="I42" s="1"/>
  <c r="I41"/>
  <c r="H41"/>
  <c r="F40"/>
  <c r="H40" s="1"/>
  <c r="F39"/>
  <c r="I39" s="1"/>
  <c r="F38"/>
  <c r="H38" s="1"/>
  <c r="F37"/>
  <c r="I37" s="1"/>
  <c r="I36"/>
  <c r="H36"/>
  <c r="H34"/>
  <c r="H33"/>
  <c r="H84" i="35"/>
  <c r="H82"/>
  <c r="H79"/>
  <c r="F78"/>
  <c r="H78" s="1"/>
  <c r="F77"/>
  <c r="H77" s="1"/>
  <c r="H76"/>
  <c r="H75"/>
  <c r="F70"/>
  <c r="I70" s="1"/>
  <c r="I69"/>
  <c r="I68"/>
  <c r="F67"/>
  <c r="I67" s="1"/>
  <c r="F66"/>
  <c r="I66" s="1"/>
  <c r="F65"/>
  <c r="I65" s="1"/>
  <c r="F64"/>
  <c r="H64" s="1"/>
  <c r="H63"/>
  <c r="I60"/>
  <c r="F60"/>
  <c r="H60" s="1"/>
  <c r="I58"/>
  <c r="H58"/>
  <c r="F57"/>
  <c r="I57" s="1"/>
  <c r="I56"/>
  <c r="H56"/>
  <c r="F55"/>
  <c r="I55" s="1"/>
  <c r="I52"/>
  <c r="F52"/>
  <c r="H52" s="1"/>
  <c r="I51"/>
  <c r="H51"/>
  <c r="I50"/>
  <c r="F50"/>
  <c r="H50" s="1"/>
  <c r="I49"/>
  <c r="F49"/>
  <c r="H49" s="1"/>
  <c r="F48"/>
  <c r="I48" s="1"/>
  <c r="I47"/>
  <c r="F47"/>
  <c r="H47" s="1"/>
  <c r="I46"/>
  <c r="F46"/>
  <c r="H46" s="1"/>
  <c r="I45"/>
  <c r="F45"/>
  <c r="H45" s="1"/>
  <c r="I44"/>
  <c r="F44"/>
  <c r="H44" s="1"/>
  <c r="F42"/>
  <c r="I42" s="1"/>
  <c r="I41"/>
  <c r="H41"/>
  <c r="F40"/>
  <c r="I40" s="1"/>
  <c r="F39"/>
  <c r="I39" s="1"/>
  <c r="F38"/>
  <c r="I38" s="1"/>
  <c r="F37"/>
  <c r="I37" s="1"/>
  <c r="I36"/>
  <c r="H36"/>
  <c r="H34"/>
  <c r="H33"/>
  <c r="I63" i="33"/>
  <c r="H65" i="36" l="1"/>
  <c r="H67"/>
  <c r="H57"/>
  <c r="H42"/>
  <c r="H39"/>
  <c r="H37"/>
  <c r="H87"/>
  <c r="I38"/>
  <c r="I40"/>
  <c r="I48"/>
  <c r="I55"/>
  <c r="I66"/>
  <c r="I68"/>
  <c r="H69"/>
  <c r="I70"/>
  <c r="H39" i="35"/>
  <c r="H69"/>
  <c r="H67"/>
  <c r="H65"/>
  <c r="H57"/>
  <c r="H42"/>
  <c r="H37"/>
  <c r="H38"/>
  <c r="H40"/>
  <c r="H48"/>
  <c r="H55"/>
  <c r="H66"/>
  <c r="H68"/>
  <c r="H70"/>
  <c r="H88"/>
  <c r="H82" i="36" l="1"/>
  <c r="I101" i="35"/>
  <c r="H83"/>
  <c r="I58" i="34" l="1"/>
  <c r="H83"/>
  <c r="H81"/>
  <c r="H78"/>
  <c r="F77"/>
  <c r="H77" s="1"/>
  <c r="I76"/>
  <c r="F76"/>
  <c r="H76" s="1"/>
  <c r="H75"/>
  <c r="H74"/>
  <c r="F69"/>
  <c r="I69" s="1"/>
  <c r="I68"/>
  <c r="I87" s="1"/>
  <c r="I67"/>
  <c r="I66"/>
  <c r="I65"/>
  <c r="I64"/>
  <c r="F63"/>
  <c r="H63" s="1"/>
  <c r="I60"/>
  <c r="F60"/>
  <c r="H60" s="1"/>
  <c r="H58"/>
  <c r="F57"/>
  <c r="I57" s="1"/>
  <c r="I56"/>
  <c r="H56"/>
  <c r="F55"/>
  <c r="I55" s="1"/>
  <c r="H52"/>
  <c r="I51"/>
  <c r="H51"/>
  <c r="I50"/>
  <c r="F50"/>
  <c r="H50" s="1"/>
  <c r="I49"/>
  <c r="F49"/>
  <c r="H49" s="1"/>
  <c r="F48"/>
  <c r="I48" s="1"/>
  <c r="I47"/>
  <c r="F47"/>
  <c r="H47" s="1"/>
  <c r="I46"/>
  <c r="F46"/>
  <c r="H46" s="1"/>
  <c r="I45"/>
  <c r="F45"/>
  <c r="H45" s="1"/>
  <c r="I44"/>
  <c r="F44"/>
  <c r="H44" s="1"/>
  <c r="F42"/>
  <c r="I42" s="1"/>
  <c r="I41"/>
  <c r="H41"/>
  <c r="F40"/>
  <c r="I40" s="1"/>
  <c r="F39"/>
  <c r="I39" s="1"/>
  <c r="F38"/>
  <c r="I38" s="1"/>
  <c r="F37"/>
  <c r="I37" s="1"/>
  <c r="I36"/>
  <c r="H36"/>
  <c r="H34"/>
  <c r="H33"/>
  <c r="H69" l="1"/>
  <c r="H67"/>
  <c r="H65"/>
  <c r="H55"/>
  <c r="H48"/>
  <c r="H40"/>
  <c r="H38"/>
  <c r="H87"/>
  <c r="H37"/>
  <c r="H39"/>
  <c r="H42"/>
  <c r="H57"/>
  <c r="H64"/>
  <c r="H66"/>
  <c r="H68"/>
  <c r="I106" l="1"/>
  <c r="H82"/>
  <c r="I51" i="33" l="1"/>
  <c r="I50"/>
  <c r="I49"/>
  <c r="I47"/>
  <c r="I46"/>
  <c r="I45"/>
  <c r="I44"/>
  <c r="H83" l="1"/>
  <c r="H81"/>
  <c r="H78"/>
  <c r="F77"/>
  <c r="H77" s="1"/>
  <c r="I76"/>
  <c r="F76"/>
  <c r="H76" s="1"/>
  <c r="H75"/>
  <c r="H74"/>
  <c r="F70"/>
  <c r="I70" s="1"/>
  <c r="F69"/>
  <c r="I69" s="1"/>
  <c r="F68"/>
  <c r="I68" s="1"/>
  <c r="F67"/>
  <c r="I67" s="1"/>
  <c r="F66"/>
  <c r="I66" s="1"/>
  <c r="F65"/>
  <c r="I65" s="1"/>
  <c r="F64"/>
  <c r="H64" s="1"/>
  <c r="F63"/>
  <c r="H63" s="1"/>
  <c r="I60"/>
  <c r="F60"/>
  <c r="H60" s="1"/>
  <c r="H58"/>
  <c r="F57"/>
  <c r="I57" s="1"/>
  <c r="I56"/>
  <c r="H56"/>
  <c r="F55"/>
  <c r="H55" s="1"/>
  <c r="I52"/>
  <c r="F52"/>
  <c r="H52" s="1"/>
  <c r="H51"/>
  <c r="F50"/>
  <c r="H50" s="1"/>
  <c r="F49"/>
  <c r="H49" s="1"/>
  <c r="F48"/>
  <c r="I48" s="1"/>
  <c r="F47"/>
  <c r="H47" s="1"/>
  <c r="F46"/>
  <c r="H46" s="1"/>
  <c r="F45"/>
  <c r="H45" s="1"/>
  <c r="F44"/>
  <c r="H44" s="1"/>
  <c r="F42"/>
  <c r="H42" s="1"/>
  <c r="I41"/>
  <c r="H41"/>
  <c r="F40"/>
  <c r="I40" s="1"/>
  <c r="F39"/>
  <c r="H39" s="1"/>
  <c r="F38"/>
  <c r="I38" s="1"/>
  <c r="F37"/>
  <c r="H37" s="1"/>
  <c r="I36"/>
  <c r="H36"/>
  <c r="H34"/>
  <c r="H33"/>
  <c r="I32"/>
  <c r="H31"/>
  <c r="I30"/>
  <c r="H29"/>
  <c r="I64" i="32"/>
  <c r="I53"/>
  <c r="H84"/>
  <c r="H82"/>
  <c r="H79"/>
  <c r="F78"/>
  <c r="H78" s="1"/>
  <c r="I77"/>
  <c r="F77"/>
  <c r="H77" s="1"/>
  <c r="H76"/>
  <c r="H75"/>
  <c r="F71"/>
  <c r="H71" s="1"/>
  <c r="F70"/>
  <c r="I70" s="1"/>
  <c r="F69"/>
  <c r="H69" s="1"/>
  <c r="F68"/>
  <c r="I68" s="1"/>
  <c r="F67"/>
  <c r="H67" s="1"/>
  <c r="F66"/>
  <c r="I66" s="1"/>
  <c r="F65"/>
  <c r="H65" s="1"/>
  <c r="F64"/>
  <c r="H64" s="1"/>
  <c r="I61"/>
  <c r="F61"/>
  <c r="H61" s="1"/>
  <c r="I59"/>
  <c r="H59"/>
  <c r="I57"/>
  <c r="H57"/>
  <c r="F56"/>
  <c r="H56" s="1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35"/>
  <c r="H34"/>
  <c r="H33"/>
  <c r="F33"/>
  <c r="I33" s="1"/>
  <c r="E33"/>
  <c r="F32"/>
  <c r="H32" s="1"/>
  <c r="F31"/>
  <c r="I31" s="1"/>
  <c r="F30"/>
  <c r="H30" s="1"/>
  <c r="F29"/>
  <c r="I29" s="1"/>
  <c r="H32" i="33" l="1"/>
  <c r="H68"/>
  <c r="H30"/>
  <c r="H66"/>
  <c r="H70"/>
  <c r="H48"/>
  <c r="H38"/>
  <c r="H40"/>
  <c r="H87"/>
  <c r="I29"/>
  <c r="I31"/>
  <c r="I37"/>
  <c r="I39"/>
  <c r="I42"/>
  <c r="I55"/>
  <c r="H57"/>
  <c r="H65"/>
  <c r="H67"/>
  <c r="H69"/>
  <c r="H31" i="32"/>
  <c r="H29"/>
  <c r="H88"/>
  <c r="I30"/>
  <c r="I32"/>
  <c r="I49"/>
  <c r="I56"/>
  <c r="H66"/>
  <c r="I67"/>
  <c r="H68"/>
  <c r="I69"/>
  <c r="H70"/>
  <c r="I71"/>
  <c r="I104" i="33" l="1"/>
  <c r="I100" i="32"/>
  <c r="H82" i="33"/>
  <c r="H83" i="32"/>
  <c r="I64" i="30" l="1"/>
  <c r="H84" i="31"/>
  <c r="H82"/>
  <c r="I80"/>
  <c r="H79"/>
  <c r="F78"/>
  <c r="H78" s="1"/>
  <c r="I77"/>
  <c r="F77"/>
  <c r="H77" s="1"/>
  <c r="H76"/>
  <c r="H75"/>
  <c r="F71"/>
  <c r="I71" s="1"/>
  <c r="F70"/>
  <c r="I70" s="1"/>
  <c r="F69"/>
  <c r="I69" s="1"/>
  <c r="F68"/>
  <c r="I68" s="1"/>
  <c r="F67"/>
  <c r="I67" s="1"/>
  <c r="F66"/>
  <c r="I66" s="1"/>
  <c r="F65"/>
  <c r="H65" s="1"/>
  <c r="I64"/>
  <c r="H64"/>
  <c r="I62"/>
  <c r="F61"/>
  <c r="I59"/>
  <c r="H59"/>
  <c r="I58"/>
  <c r="I57"/>
  <c r="H57"/>
  <c r="F56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37"/>
  <c r="H35"/>
  <c r="H34"/>
  <c r="H33"/>
  <c r="F33"/>
  <c r="I33" s="1"/>
  <c r="E33"/>
  <c r="F32"/>
  <c r="I32" s="1"/>
  <c r="F31"/>
  <c r="I31" s="1"/>
  <c r="F30"/>
  <c r="I30" s="1"/>
  <c r="F29"/>
  <c r="I29" s="1"/>
  <c r="I88" l="1"/>
  <c r="H61"/>
  <c r="I61"/>
  <c r="H32"/>
  <c r="H67"/>
  <c r="H71"/>
  <c r="H30"/>
  <c r="H69"/>
  <c r="H80"/>
  <c r="H56"/>
  <c r="H49"/>
  <c r="H88"/>
  <c r="H29"/>
  <c r="H31"/>
  <c r="H58"/>
  <c r="H62"/>
  <c r="H66"/>
  <c r="H68"/>
  <c r="H70"/>
  <c r="H83" l="1"/>
  <c r="I97"/>
  <c r="I77" i="30"/>
  <c r="I61"/>
  <c r="I59"/>
  <c r="I57"/>
  <c r="H84"/>
  <c r="H82"/>
  <c r="H79"/>
  <c r="F78"/>
  <c r="H78" s="1"/>
  <c r="F77"/>
  <c r="H77" s="1"/>
  <c r="H76"/>
  <c r="H75"/>
  <c r="F71"/>
  <c r="H71" s="1"/>
  <c r="F70"/>
  <c r="I70" s="1"/>
  <c r="F69"/>
  <c r="H69" s="1"/>
  <c r="F68"/>
  <c r="I68" s="1"/>
  <c r="F67"/>
  <c r="H67" s="1"/>
  <c r="F66"/>
  <c r="I66" s="1"/>
  <c r="F65"/>
  <c r="H65" s="1"/>
  <c r="F64"/>
  <c r="H64" s="1"/>
  <c r="F61"/>
  <c r="H61" s="1"/>
  <c r="H59"/>
  <c r="I58"/>
  <c r="H57"/>
  <c r="H53"/>
  <c r="H52"/>
  <c r="F51"/>
  <c r="H51" s="1"/>
  <c r="F50"/>
  <c r="H50" s="1"/>
  <c r="F48"/>
  <c r="H48" s="1"/>
  <c r="F47"/>
  <c r="H47" s="1"/>
  <c r="F46"/>
  <c r="H46" s="1"/>
  <c r="F45"/>
  <c r="H45" s="1"/>
  <c r="H35"/>
  <c r="H34"/>
  <c r="H33"/>
  <c r="F33"/>
  <c r="I33" s="1"/>
  <c r="E33"/>
  <c r="F32"/>
  <c r="I32" s="1"/>
  <c r="F31"/>
  <c r="H31" s="1"/>
  <c r="F30"/>
  <c r="I30" s="1"/>
  <c r="F29"/>
  <c r="H29" s="1"/>
  <c r="H88" l="1"/>
  <c r="I29"/>
  <c r="H30"/>
  <c r="I31"/>
  <c r="H32"/>
  <c r="H56"/>
  <c r="H58"/>
  <c r="H66"/>
  <c r="I67"/>
  <c r="H68"/>
  <c r="I69"/>
  <c r="H70"/>
  <c r="I71"/>
  <c r="I86" i="17"/>
  <c r="H84"/>
  <c r="H82"/>
  <c r="I80"/>
  <c r="H79"/>
  <c r="F78"/>
  <c r="H78" s="1"/>
  <c r="F77"/>
  <c r="H77" s="1"/>
  <c r="H76"/>
  <c r="H75"/>
  <c r="I73"/>
  <c r="F71"/>
  <c r="F70"/>
  <c r="F69"/>
  <c r="F68"/>
  <c r="F67"/>
  <c r="F66"/>
  <c r="F65"/>
  <c r="H65" s="1"/>
  <c r="I64"/>
  <c r="F64"/>
  <c r="H64" s="1"/>
  <c r="I62"/>
  <c r="F61"/>
  <c r="H61" s="1"/>
  <c r="H59"/>
  <c r="H57"/>
  <c r="F56"/>
  <c r="F53"/>
  <c r="H53" s="1"/>
  <c r="H52"/>
  <c r="F51"/>
  <c r="H51" s="1"/>
  <c r="F50"/>
  <c r="H50" s="1"/>
  <c r="H49"/>
  <c r="F48"/>
  <c r="H48" s="1"/>
  <c r="F47"/>
  <c r="H47" s="1"/>
  <c r="F46"/>
  <c r="H46" s="1"/>
  <c r="F45"/>
  <c r="H45" s="1"/>
  <c r="H43"/>
  <c r="H42"/>
  <c r="H40"/>
  <c r="H38"/>
  <c r="H37"/>
  <c r="H35"/>
  <c r="H34"/>
  <c r="I26"/>
  <c r="H33"/>
  <c r="F33"/>
  <c r="I33" s="1"/>
  <c r="E33"/>
  <c r="F32"/>
  <c r="F31"/>
  <c r="F30"/>
  <c r="F29"/>
  <c r="F25"/>
  <c r="I25" s="1"/>
  <c r="F24"/>
  <c r="H24" s="1"/>
  <c r="F23"/>
  <c r="H23" s="1"/>
  <c r="F22"/>
  <c r="H22" s="1"/>
  <c r="F21"/>
  <c r="H21" s="1"/>
  <c r="F20"/>
  <c r="I20" s="1"/>
  <c r="F19"/>
  <c r="I19" s="1"/>
  <c r="H18"/>
  <c r="H16"/>
  <c r="I93" i="30" l="1"/>
  <c r="H83"/>
  <c r="H67" i="17"/>
  <c r="I67"/>
  <c r="H69"/>
  <c r="I69"/>
  <c r="H71"/>
  <c r="I71"/>
  <c r="H66"/>
  <c r="I66"/>
  <c r="H68"/>
  <c r="I68"/>
  <c r="H70"/>
  <c r="I70"/>
  <c r="H30"/>
  <c r="I30"/>
  <c r="H32"/>
  <c r="I32"/>
  <c r="H29"/>
  <c r="I29"/>
  <c r="H31"/>
  <c r="I31"/>
  <c r="H19"/>
  <c r="H20"/>
  <c r="H25"/>
  <c r="H41"/>
  <c r="I24"/>
  <c r="I22"/>
  <c r="I21"/>
  <c r="H73"/>
  <c r="I23"/>
  <c r="H17"/>
  <c r="H26"/>
  <c r="H58"/>
  <c r="H80"/>
  <c r="H56"/>
  <c r="H62"/>
  <c r="H87"/>
  <c r="I87"/>
  <c r="I38"/>
  <c r="I40"/>
  <c r="I43"/>
  <c r="I49"/>
  <c r="H86"/>
  <c r="I89" l="1"/>
  <c r="H83"/>
  <c r="H89" l="1"/>
  <c r="I97" l="1"/>
</calcChain>
</file>

<file path=xl/sharedStrings.xml><?xml version="1.0" encoding="utf-8"?>
<sst xmlns="http://schemas.openxmlformats.org/spreadsheetml/2006/main" count="2880" uniqueCount="338">
  <si>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</si>
  <si>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</si>
  <si>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</si>
  <si>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</si>
  <si>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</si>
  <si>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</si>
  <si>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</si>
  <si>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</si>
  <si>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</si>
  <si>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</si>
  <si>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</si>
  <si>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</si>
  <si>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</si>
  <si>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</si>
  <si>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</si>
  <si>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</si>
  <si>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</si>
  <si>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</si>
  <si>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</si>
  <si>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</si>
  <si>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</si>
  <si>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</si>
  <si>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</si>
  <si>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</si>
  <si>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</si>
  <si>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</si>
  <si>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</si>
  <si>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</si>
  <si>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</si>
  <si>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</si>
  <si>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</si>
  <si>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</si>
  <si>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</si>
  <si>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</si>
  <si>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</si>
  <si>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</si>
  <si>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</si>
  <si>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</si>
  <si>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</si>
  <si>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</si>
  <si>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</si>
  <si>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</si>
  <si>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</si>
  <si>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</si>
  <si>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</si>
  <si>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</si>
  <si>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</si>
  <si>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</si>
  <si>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</si>
  <si>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</si>
  <si>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</si>
  <si>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</si>
  <si>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</si>
  <si>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</si>
  <si>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</si>
  <si>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</si>
  <si>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</si>
  <si>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</si>
  <si>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</si>
  <si>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</si>
  <si>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</si>
  <si>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</si>
  <si>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</si>
  <si>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</si>
  <si>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</si>
  <si>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</si>
  <si>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</si>
  <si>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</si>
  <si>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</si>
  <si>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</si>
  <si>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</si>
  <si>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</si>
  <si>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</si>
  <si>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</si>
  <si>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</si>
  <si>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</si>
  <si>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</si>
  <si>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</si>
  <si>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</si>
  <si>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</si>
  <si>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</si>
  <si>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</si>
  <si>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</si>
  <si>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</si>
  <si>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</si>
  <si>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</si>
  <si>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</si>
  <si>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</si>
  <si>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</si>
  <si>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</si>
  <si>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</si>
  <si>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</si>
  <si>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</si>
  <si>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</si>
  <si>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</si>
  <si>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контейнерной площадки (16 кв.м.)</t>
  </si>
  <si>
    <t>Уборка газонов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</si>
  <si>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</si>
  <si>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</si>
  <si>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</si>
  <si>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</si>
  <si>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</si>
  <si>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</si>
  <si>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</si>
  <si>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</si>
  <si>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</si>
  <si>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</si>
  <si>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>Подметание территории с усовершенствованным покрытием асф.: крыльца, контейнерн пл., проезд, тротуар</t>
  </si>
  <si>
    <t>Дератизация</t>
  </si>
  <si>
    <t>Влажная протирка шкафов для щитов и слаботочн.ус.</t>
  </si>
  <si>
    <t>Прочистка каналов</t>
  </si>
  <si>
    <t>30 раз за сезон</t>
  </si>
  <si>
    <t>35 раз за сезон</t>
  </si>
  <si>
    <t xml:space="preserve">Осмотр рулонной кровли </t>
  </si>
  <si>
    <t>Очистка края кровли от слежавшегося снега со сбрасыванием сосулек (10% от S кровли и козырьки)</t>
  </si>
  <si>
    <t>Очистка водостоков от наледи</t>
  </si>
  <si>
    <t>Очистка внутреннего водостока</t>
  </si>
  <si>
    <t>водосток</t>
  </si>
  <si>
    <t xml:space="preserve"> </t>
  </si>
  <si>
    <t>Очистка урн от мусора</t>
  </si>
  <si>
    <t>м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</si>
  <si>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</si>
  <si>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</si>
  <si>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</si>
  <si>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</si>
  <si>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5 раз в год</t>
  </si>
  <si>
    <t>АКТ №2</t>
  </si>
  <si>
    <t>Водоотлив из подвала электрическими (механическими) насосами (100 м3 воды)</t>
  </si>
  <si>
    <t>10 м3</t>
  </si>
  <si>
    <t>52 раза в сезон</t>
  </si>
  <si>
    <t>78 раз за сезон</t>
  </si>
  <si>
    <t>Итого затраты за месяц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</si>
  <si>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д.9а</t>
    </r>
  </si>
  <si>
    <t>Сдвигание снега в дни снегопада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</si>
  <si>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</si>
  <si>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</si>
  <si>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</si>
  <si>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</si>
  <si>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Очистка  от мусора</t>
  </si>
  <si>
    <t>Водоснабжение, канализация</t>
  </si>
  <si>
    <t>ТО внутренних сетей водопровода и канализации</t>
  </si>
  <si>
    <t>руб/м2 в мес</t>
  </si>
  <si>
    <t>Смена светодиодных светильников (со стоимостью светильника)</t>
  </si>
  <si>
    <t>Смена выключателей</t>
  </si>
  <si>
    <t>Смена плавкой вставки в электрощитке</t>
  </si>
  <si>
    <t>Смена светодиодных светильников н.о.</t>
  </si>
  <si>
    <t xml:space="preserve">Снятие показаний с общедомовых приборов учёта </t>
  </si>
  <si>
    <t>АКТ №3</t>
  </si>
  <si>
    <t>III. Содержание общего имущества МКД</t>
  </si>
  <si>
    <t>IV. Прочие услуги</t>
  </si>
  <si>
    <t>Очистка канализационной сети внутренней</t>
  </si>
  <si>
    <t>Смена арматуры - вентилей и клапанов обратных муфтовых диаметром до 20 мм</t>
  </si>
  <si>
    <t>1 шт</t>
  </si>
  <si>
    <t>АКТ №4</t>
  </si>
  <si>
    <t>АКТ №5</t>
  </si>
  <si>
    <t>АКТ №6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</si>
  <si>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</si>
  <si>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</si>
  <si>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ООО «Движение»</t>
  </si>
  <si>
    <t>АКТ №8</t>
  </si>
  <si>
    <t>АКТ №7</t>
  </si>
  <si>
    <t xml:space="preserve">приемки оказанных услуг и выполненных работ по содержанию и текущему ремонту
общего имущества в многоквартирном доме №9а по ул.Строительная пгт.Ярега
</t>
  </si>
  <si>
    <t>АКТ №9</t>
  </si>
  <si>
    <t>АКТ №10</t>
  </si>
  <si>
    <t>АКТ №11</t>
  </si>
  <si>
    <t>Осмотр СО ( в начале и конце отопительного сезона дек.,янв., февр.)</t>
  </si>
  <si>
    <t>АКТ №12</t>
  </si>
  <si>
    <t>Осмотр СО</t>
  </si>
  <si>
    <t>4 раза</t>
  </si>
  <si>
    <t>3 раза</t>
  </si>
  <si>
    <t>19 раз</t>
  </si>
  <si>
    <t>5 раз</t>
  </si>
  <si>
    <t xml:space="preserve">6 раз </t>
  </si>
  <si>
    <t>1 раз</t>
  </si>
  <si>
    <t>Установка насоса в подвале для откачки воды</t>
  </si>
  <si>
    <t>подвал</t>
  </si>
  <si>
    <t>Установка хомута диаметром до 50 мм</t>
  </si>
  <si>
    <t>21 раз</t>
  </si>
  <si>
    <t>8 раз</t>
  </si>
  <si>
    <t>25 раз</t>
  </si>
  <si>
    <t>1  раз</t>
  </si>
  <si>
    <t xml:space="preserve">1 раз </t>
  </si>
  <si>
    <t>Организация  и содержание мест накопления ТКО</t>
  </si>
  <si>
    <t>Смена арматуры - вентилей и клапанов обратных муфтовых диаметром до 20 мм ( без материалов)</t>
  </si>
  <si>
    <t>Манжета 110</t>
  </si>
  <si>
    <t>6 раз</t>
  </si>
  <si>
    <t xml:space="preserve">2 раза </t>
  </si>
  <si>
    <t>12 раз</t>
  </si>
  <si>
    <r>
      <t xml:space="preserve">    Собственники помещений в многоквартирном доме, расположенном по адресу: пгт.Ярега, ул.Строительная, д.9а,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27.12.2019г.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</si>
  <si>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Работы по проведению одного общего собрания собственников МКД</t>
  </si>
  <si>
    <t xml:space="preserve">Осмотр водопроводов, канализации, отопления </t>
  </si>
  <si>
    <t>3,13,19 марта</t>
  </si>
  <si>
    <t>Подметание территории с усовершенствованным покрытием асф.: крыльца, вход.площадки</t>
  </si>
  <si>
    <t>Осмотр электросетей, армазуры и электрооборудования на лестничных клетках</t>
  </si>
  <si>
    <t xml:space="preserve">1 раз      </t>
  </si>
  <si>
    <t xml:space="preserve">1 раз    </t>
  </si>
  <si>
    <t>Смена арматуры вентилей диаметром до 32 мм</t>
  </si>
  <si>
    <t>1 шт, р/у</t>
  </si>
  <si>
    <t>2 шт-с/о подвал</t>
  </si>
  <si>
    <t>Смена полипропиленовых канализационных труб ПП 100*1000</t>
  </si>
  <si>
    <t>час</t>
  </si>
  <si>
    <t>генеральный директор Кочанова И.Л.</t>
  </si>
  <si>
    <t>6 шт. ГВС подвал</t>
  </si>
  <si>
    <r>
      <t xml:space="preserve">    Собственники помещений в многоквартирном доме, расположенном по адресу: пгт.Ярега, ул.Строительная, д.9а,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27.12.2019г.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</si>
  <si>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ХВС подвал 1 шт.</t>
  </si>
  <si>
    <r>
      <t xml:space="preserve">    Собственники помещений в многоквартирном доме, расположенном по адресу: пгт.Ярега, ул.Строительная, д.9а,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24.04.2018г.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</si>
  <si>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6 м</t>
  </si>
  <si>
    <t>2 м</t>
  </si>
  <si>
    <t>за период с 01.01.2021 г. по 31.01.2021 г.</t>
  </si>
  <si>
    <t>2,5 ч ( 21,25,26,28 янв.)</t>
  </si>
  <si>
    <t>Внеплановая проверка вентканалов</t>
  </si>
  <si>
    <t>Косметический ремонт после затопления в под. № 1, 2, 3, 4</t>
  </si>
  <si>
    <t>руб.</t>
  </si>
  <si>
    <t>кв.23</t>
  </si>
  <si>
    <t>ХВС кв.9 1 шт.</t>
  </si>
  <si>
    <t>2. Всего за период с 01.01.2021 по 31.01.2021 выполнено работ (оказано услуг) на общую сумму: 90903,50 руб.</t>
  </si>
  <si>
    <t>(девяносто тысяч девятьсот три рубля 50 копеек)</t>
  </si>
  <si>
    <t>за период с 01.02.2021 г. по 29.02.2021 г.</t>
  </si>
  <si>
    <t>1 ч (1 февр)</t>
  </si>
  <si>
    <t>Крепление канализационного стояка</t>
  </si>
  <si>
    <t>2. Всего за период с 01.02.2021 по 28.02.2021 выполнено работ (оказано услуг) на общую сумму: 92234,12 руб.</t>
  </si>
  <si>
    <t>(девяносто две тысячи двести тридцать четыре рубля 12 копеек)</t>
  </si>
  <si>
    <t>за период с 01.03.2021 г. по 31.03.2021 г.</t>
  </si>
  <si>
    <t>2,5,15,30,31 марта</t>
  </si>
  <si>
    <t>12 марта</t>
  </si>
  <si>
    <t>под.№ 2 тамбур</t>
  </si>
  <si>
    <t>Смена внутренних трубопроводов на полипропиленовые трубы PN 20 Dу 25</t>
  </si>
  <si>
    <t>Ремонт штукатурки внутренних стен по камню и бетону цементно-известковым раствором площадью до 10 м2 толщиной слоя до 20 мм</t>
  </si>
  <si>
    <t>10 м2</t>
  </si>
  <si>
    <t>Смена дверных приборов - пружины</t>
  </si>
  <si>
    <t>под.№2 1 шт.</t>
  </si>
  <si>
    <t>ХВС 6 м с кв.62 до 2 эт.</t>
  </si>
  <si>
    <t>под.№ 3</t>
  </si>
  <si>
    <t>ХВС и ГВС 2 шт. кв. 16</t>
  </si>
  <si>
    <t>1 шт. ХВС кв.62</t>
  </si>
  <si>
    <t>2. Всего за период с 01.03.2021 по 31.03.2021 выполнено работ (оказано услуг) на общую сумму: 97132,19 руб.</t>
  </si>
  <si>
    <t>( девяносто семь тысяч сто тридцать два рубля 19 копеек)</t>
  </si>
  <si>
    <t>за период с 01.04.2021 г. по 30.04.2021 г.</t>
  </si>
  <si>
    <t>Смена внутренних трубопроводов на полипропиленовые трубы PN 25 Dу 25</t>
  </si>
  <si>
    <t>Смена внутренних трубопроводов на полипропиленовые трубы PN 25 Dу 20</t>
  </si>
  <si>
    <t>Сварочные  работы</t>
  </si>
  <si>
    <t>Вывоз снега с придомовой территории</t>
  </si>
  <si>
    <t>маш/час</t>
  </si>
  <si>
    <t>65 м3 ( 9 апр)</t>
  </si>
  <si>
    <t>ГВС 2 м кв.29,33,37</t>
  </si>
  <si>
    <t>2 шт. ГВС чердак</t>
  </si>
  <si>
    <t>ГВС кв.20-1 шт.</t>
  </si>
  <si>
    <t>Ремонт и регулировка доводчика (со стоимостью доводчика)</t>
  </si>
  <si>
    <t>1шт.</t>
  </si>
  <si>
    <t>под.№4</t>
  </si>
  <si>
    <t>за период с 01.05.2021 г. по 31.05.2021 г.</t>
  </si>
  <si>
    <t>Герметизация межпанельных швов</t>
  </si>
  <si>
    <t>Перекрытие вентиля</t>
  </si>
  <si>
    <t>Смена внутренних трубопроводов на полипропиленовые трубы PN 20 Dу 20</t>
  </si>
  <si>
    <t>кв.4</t>
  </si>
  <si>
    <t>7 м ХВС кв.33/37/29</t>
  </si>
  <si>
    <t>1 м ХВС кв.33/37/2</t>
  </si>
  <si>
    <t>17 м кв.57; 12 м кв.18; 6 м кв.5</t>
  </si>
  <si>
    <t>за период с 01.06.2021 г. по 30.06.2021 г.</t>
  </si>
  <si>
    <t>переход чугун-пластик 100</t>
  </si>
  <si>
    <t>Крестовина 100*100*100</t>
  </si>
  <si>
    <t>Переход 100*50</t>
  </si>
  <si>
    <t>Патрубок компенсационный</t>
  </si>
  <si>
    <t>Ревизия 110</t>
  </si>
  <si>
    <t>Заглушка 110</t>
  </si>
  <si>
    <t>Заглушка 50</t>
  </si>
  <si>
    <t>Подборка мусора (  придомовая территория)</t>
  </si>
  <si>
    <t>Смена прокладок</t>
  </si>
  <si>
    <t>Подборка мусора ( придомовая территория)</t>
  </si>
  <si>
    <t>кв.2-1 шт</t>
  </si>
  <si>
    <t>1 м кв.48</t>
  </si>
  <si>
    <t>1 шт. ХВС подвал</t>
  </si>
  <si>
    <t>1 шт. ГВС кв.2</t>
  </si>
  <si>
    <t>2. Всего за период с 01.06.2021 по 30.06.2021 выполнено работ (оказано услуг) на общую сумму: 228853,96 руб.</t>
  </si>
  <si>
    <t>( двести двадцать восемь тысяч восемьсот пятьдесят три рубля 96 копеек)</t>
  </si>
  <si>
    <t>генеральный директор Кочановой И.Л.</t>
  </si>
  <si>
    <t xml:space="preserve">Демонтаж радиаторов </t>
  </si>
  <si>
    <t>кв.31</t>
  </si>
  <si>
    <t xml:space="preserve">ГВС 16 м кв.29,33,37; кв.31-2 м байпас </t>
  </si>
  <si>
    <t>2. Всего за период с 01.04.2021 по 30.04.2021 выполнено работ (оказано услуг) на общую сумму: 126040,46 руб.</t>
  </si>
  <si>
    <t>(сто двадцать шесть тысяч сорок рублей 46 копеек)</t>
  </si>
  <si>
    <t>м.п.</t>
  </si>
  <si>
    <t>20 м.п. кв.57-40</t>
  </si>
  <si>
    <t>3 м/часа</t>
  </si>
  <si>
    <t>за период с 01.07.2021 г. по 31.07.2021 г.</t>
  </si>
  <si>
    <t>Прочистка фильтров</t>
  </si>
  <si>
    <t>3м</t>
  </si>
  <si>
    <t>Ревизия вентиля</t>
  </si>
  <si>
    <t xml:space="preserve">1 раз   </t>
  </si>
  <si>
    <t>1 шт. с/о кв.2</t>
  </si>
  <si>
    <t>8 м ГВС с кв.20 до чердака</t>
  </si>
  <si>
    <t>кв.61</t>
  </si>
  <si>
    <t>ХВС подвал</t>
  </si>
  <si>
    <t>кв.48-1 шт</t>
  </si>
  <si>
    <t>2. Всего за период с 01.05.2021 по 31.05.2021 выполнено работ (оказано услуг) на общую сумму: 157707,60 руб.</t>
  </si>
  <si>
    <t>(сто пятьдесят семь тысяч семьсот семь рублей 60 копеек)</t>
  </si>
  <si>
    <t>за период с 01.08.2021 г. по 31.08.2021 г.</t>
  </si>
  <si>
    <t>9 м</t>
  </si>
  <si>
    <t>Подключение наружного освещения</t>
  </si>
  <si>
    <t>с/о кв.44 1 шт.</t>
  </si>
  <si>
    <t>за период с 01.09.2021 г. по 30.09.2021 г.</t>
  </si>
  <si>
    <t>Нумерация подъездов и квартир</t>
  </si>
  <si>
    <t>2. Всего за период с 01.09.2021 по 30.09.2021 выполнено работ (оказано услуг) на общую сумму: 99404,23 руб.</t>
  </si>
  <si>
    <t>(девяносто девять тысяч четыреста четыре рубля 23 копейки )</t>
  </si>
  <si>
    <t>100шт</t>
  </si>
  <si>
    <t>Подключение/отключение дожимного насоса</t>
  </si>
  <si>
    <t>2. Всего за период с 01.07.2021 по 31.07.2021 выполнено работ (оказано услуг) на общую сумму: 78320,87 руб.</t>
  </si>
  <si>
    <t>(семьдесят восем тысяч триста двадцать рублей 87 копеек)</t>
  </si>
  <si>
    <t>1 м кв.53</t>
  </si>
  <si>
    <t>2. Всего за период с 01.08.2021 по 31.08.2021 выполнено работ (оказано услуг) на общую сумму: 64045,84 руб.</t>
  </si>
  <si>
    <t>(шестьдесят четыре тысячи сорок пять рублей 84 копейки)</t>
  </si>
  <si>
    <t>за период с 01.10.2021 г. по 31.10.2021 г.</t>
  </si>
  <si>
    <t>Ремонт и побелка потолка в под.№2</t>
  </si>
  <si>
    <t xml:space="preserve">Смена сгонов у трубопроводов диаметром до 20 мм </t>
  </si>
  <si>
    <t>1 сгон</t>
  </si>
  <si>
    <t>1 шт. с/о кв.9</t>
  </si>
  <si>
    <t>3 м</t>
  </si>
  <si>
    <t>1 шт. кв.73</t>
  </si>
  <si>
    <t>2 раза</t>
  </si>
  <si>
    <t>1 шт. под.№1 эт.1</t>
  </si>
  <si>
    <t>2. Всего за период с 01.10.2021 по 31.10.2021 выполнено работ (оказано услуг) на общую сумму: 73861,94 руб.</t>
  </si>
  <si>
    <t>(семьдесят три тысячи восемьсот шестьдесят один рубль 94 копейки)</t>
  </si>
  <si>
    <t>за период с 01.11.2021 г. по 30.11.2021 г.</t>
  </si>
  <si>
    <t>Подборка мусора, налетевшего с контейнерной площадки</t>
  </si>
  <si>
    <t>Осмотр дверей</t>
  </si>
  <si>
    <t>Ремонт канализационного стояка</t>
  </si>
  <si>
    <t>Подключение и отключение сварочного аппарата/ электрооборудования</t>
  </si>
  <si>
    <t>1 шт. ГВС подвал</t>
  </si>
  <si>
    <t>22,29 ноября</t>
  </si>
  <si>
    <t>2. Всего за период с 01.11.2021 по 30.11.2021 выполнено работ (оказано услуг) на общую сумму: 70576,92 руб.</t>
  </si>
  <si>
    <t>(семьдесят тысяч пятьсот семьдесят шесть рублей 92 копейки)</t>
  </si>
  <si>
    <t>за период с 01.12.2021 г. по 31.12.2021 г.</t>
  </si>
  <si>
    <t>1,16,30 декабря</t>
  </si>
  <si>
    <t>Установка заглушек диаметром трубопроводов до 100 мм</t>
  </si>
  <si>
    <t>заглушка</t>
  </si>
  <si>
    <t>1 шт. с/о кв.53</t>
  </si>
  <si>
    <t>2. Всего за период с 01.12.2021 по 31.12.2021 выполнено работ (оказано услуг) на общую сумму: 81110,63руб.</t>
  </si>
  <si>
    <t>(восемьдесят одна тысяча сто десять рублей 63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</si>
</sst>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3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20" fillId="2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20" fillId="3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 wrapText="1"/>
    </xf>
    <xf numFmtId="4" fontId="20" fillId="3" borderId="3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4" fontId="20" fillId="2" borderId="11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left" vertical="center" wrapText="1"/>
    </xf>
    <xf numFmtId="4" fontId="20" fillId="3" borderId="7" xfId="0" applyNumberFormat="1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 wrapText="1"/>
    </xf>
    <xf numFmtId="4" fontId="20" fillId="2" borderId="11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21" fillId="2" borderId="3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20" fillId="2" borderId="16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14" fontId="11" fillId="2" borderId="11" xfId="0" applyNumberFormat="1" applyFont="1" applyFill="1" applyBorder="1" applyAlignment="1">
      <alignment horizontal="left" vertical="center"/>
    </xf>
    <xf numFmtId="49" fontId="11" fillId="2" borderId="11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center" vertical="center" wrapText="1"/>
    </xf>
    <xf numFmtId="2" fontId="11" fillId="0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8"/>
  <sheetViews>
    <sheetView topLeftCell="A74" workbookViewId="0">
      <selection activeCell="B94" sqref="B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9.85546875" hidden="1" customWidth="1"/>
    <col min="6" max="6" width="14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33" t="s">
        <v>124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13" ht="15.75">
      <c r="A5" s="233" t="s">
        <v>208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1">
        <v>44227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6" t="s">
        <v>203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  <c r="J14" s="8"/>
      <c r="K14" s="8"/>
      <c r="L14" s="8"/>
      <c r="M14" s="8"/>
    </row>
    <row r="15" spans="1:13" ht="1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  <c r="J16" s="22"/>
      <c r="K16" s="8"/>
      <c r="L16" s="8"/>
      <c r="M16" s="8"/>
    </row>
    <row r="17" spans="1:13" ht="15.75" customHeight="1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  <c r="J17" s="23"/>
      <c r="K17" s="8"/>
      <c r="L17" s="8"/>
      <c r="M17" s="8"/>
    </row>
    <row r="18" spans="1:13" ht="15.75" customHeight="1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  <c r="J18" s="23"/>
      <c r="K18" s="8"/>
      <c r="L18" s="8"/>
      <c r="M18" s="8"/>
    </row>
    <row r="19" spans="1:13" ht="15.75" hidden="1" customHeight="1">
      <c r="A19" s="30"/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  <c r="J19" s="23"/>
      <c r="K19" s="8"/>
      <c r="L19" s="8"/>
      <c r="M19" s="8"/>
    </row>
    <row r="20" spans="1:13" ht="15.75" hidden="1" customHeight="1">
      <c r="A20" s="30">
        <v>4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  <c r="J20" s="23"/>
      <c r="K20" s="8"/>
      <c r="L20" s="8"/>
      <c r="M20" s="8"/>
    </row>
    <row r="21" spans="1:13" ht="15.75" hidden="1" customHeight="1">
      <c r="A21" s="30">
        <v>5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  <c r="J21" s="23"/>
      <c r="K21" s="8"/>
      <c r="L21" s="8"/>
      <c r="M21" s="8"/>
    </row>
    <row r="22" spans="1:13" ht="15.75" hidden="1" customHeight="1">
      <c r="A22" s="30"/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  <c r="J22" s="23"/>
      <c r="K22" s="8"/>
      <c r="L22" s="8"/>
      <c r="M22" s="8"/>
    </row>
    <row r="23" spans="1:13" ht="15.75" hidden="1" customHeight="1">
      <c r="A23" s="30"/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  <c r="J23" s="23"/>
      <c r="K23" s="8"/>
      <c r="L23" s="8"/>
      <c r="M23" s="8"/>
    </row>
    <row r="24" spans="1:13" ht="15.75" hidden="1" customHeight="1">
      <c r="A24" s="30"/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  <c r="J24" s="23"/>
      <c r="K24" s="8"/>
      <c r="L24" s="8"/>
      <c r="M24" s="8"/>
    </row>
    <row r="25" spans="1:13" ht="15.75" hidden="1" customHeight="1">
      <c r="A25" s="30"/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  <c r="J25" s="23"/>
      <c r="K25" s="8"/>
      <c r="L25" s="8"/>
      <c r="M25" s="8"/>
    </row>
    <row r="26" spans="1:13" ht="15.75" customHeight="1">
      <c r="A26" s="30">
        <v>4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  <c r="J26" s="23"/>
      <c r="K26" s="8"/>
    </row>
    <row r="27" spans="1:13" ht="15.75" customHeight="1">
      <c r="A27" s="220" t="s">
        <v>78</v>
      </c>
      <c r="B27" s="220"/>
      <c r="C27" s="220"/>
      <c r="D27" s="220"/>
      <c r="E27" s="220"/>
      <c r="F27" s="220"/>
      <c r="G27" s="220"/>
      <c r="H27" s="220"/>
      <c r="I27" s="220"/>
      <c r="J27" s="23"/>
      <c r="K27" s="8"/>
      <c r="L27" s="8"/>
      <c r="M27" s="8"/>
    </row>
    <row r="28" spans="1:13" ht="15.75" hidden="1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  <c r="J28" s="24"/>
    </row>
    <row r="29" spans="1:13" ht="15.75" hidden="1" customHeight="1">
      <c r="A29" s="30"/>
      <c r="B29" s="61" t="s">
        <v>96</v>
      </c>
      <c r="C29" s="62" t="s">
        <v>82</v>
      </c>
      <c r="D29" s="61" t="s">
        <v>129</v>
      </c>
      <c r="E29" s="64">
        <v>436.6</v>
      </c>
      <c r="F29" s="64">
        <f>SUM(E29*52/1000)</f>
        <v>22.703200000000002</v>
      </c>
      <c r="G29" s="64">
        <v>204.44</v>
      </c>
      <c r="H29" s="65">
        <f t="shared" ref="H29:H35" si="2">SUM(F29*G29/1000)</f>
        <v>4.641442208</v>
      </c>
      <c r="I29" s="13">
        <f>F29/6*G29</f>
        <v>773.57370133333336</v>
      </c>
      <c r="J29" s="24"/>
    </row>
    <row r="30" spans="1:13" ht="31.5" hidden="1" customHeight="1">
      <c r="A30" s="30"/>
      <c r="B30" s="61" t="s">
        <v>107</v>
      </c>
      <c r="C30" s="62" t="s">
        <v>82</v>
      </c>
      <c r="D30" s="61" t="s">
        <v>130</v>
      </c>
      <c r="E30" s="64">
        <v>54.4</v>
      </c>
      <c r="F30" s="64">
        <f>SUM(E30*78/1000)</f>
        <v>4.2431999999999999</v>
      </c>
      <c r="G30" s="64">
        <v>339.21</v>
      </c>
      <c r="H30" s="65">
        <f t="shared" si="2"/>
        <v>1.4393358719999998</v>
      </c>
      <c r="I30" s="13">
        <f t="shared" ref="I30:I33" si="3">F30/6*G30</f>
        <v>239.88931199999996</v>
      </c>
      <c r="J30" s="23"/>
      <c r="K30" s="8"/>
      <c r="L30" s="8"/>
      <c r="M30" s="8"/>
    </row>
    <row r="31" spans="1:13" ht="15.75" hidden="1" customHeight="1">
      <c r="A31" s="30"/>
      <c r="B31" s="61" t="s">
        <v>27</v>
      </c>
      <c r="C31" s="62" t="s">
        <v>82</v>
      </c>
      <c r="D31" s="61" t="s">
        <v>51</v>
      </c>
      <c r="E31" s="64">
        <v>436.6</v>
      </c>
      <c r="F31" s="64">
        <f>SUM(E31/1000)</f>
        <v>0.43660000000000004</v>
      </c>
      <c r="G31" s="64">
        <v>3961.23</v>
      </c>
      <c r="H31" s="65">
        <f t="shared" si="2"/>
        <v>1.7294730180000002</v>
      </c>
      <c r="I31" s="13">
        <f>F31*G31</f>
        <v>1729.4730180000001</v>
      </c>
      <c r="J31" s="23"/>
      <c r="K31" s="8"/>
      <c r="L31" s="8"/>
      <c r="M31" s="8"/>
    </row>
    <row r="32" spans="1:13" ht="15.75" hidden="1" customHeight="1">
      <c r="A32" s="30"/>
      <c r="B32" s="61" t="s">
        <v>119</v>
      </c>
      <c r="C32" s="62" t="s">
        <v>38</v>
      </c>
      <c r="D32" s="61" t="s">
        <v>60</v>
      </c>
      <c r="E32" s="64">
        <v>4</v>
      </c>
      <c r="F32" s="64">
        <f>E32*155/100</f>
        <v>6.2</v>
      </c>
      <c r="G32" s="64">
        <v>1707.63</v>
      </c>
      <c r="H32" s="65">
        <f>G32*F32/1000</f>
        <v>10.587306</v>
      </c>
      <c r="I32" s="13">
        <f t="shared" si="3"/>
        <v>1764.5510000000004</v>
      </c>
      <c r="J32" s="23"/>
      <c r="K32" s="8"/>
      <c r="L32" s="8"/>
      <c r="M32" s="8"/>
    </row>
    <row r="33" spans="1:14" ht="15.75" hidden="1" customHeight="1">
      <c r="A33" s="30"/>
      <c r="B33" s="61" t="s">
        <v>95</v>
      </c>
      <c r="C33" s="62" t="s">
        <v>30</v>
      </c>
      <c r="D33" s="61" t="s">
        <v>60</v>
      </c>
      <c r="E33" s="68">
        <f>1/3</f>
        <v>0.33333333333333331</v>
      </c>
      <c r="F33" s="64">
        <f>155/3</f>
        <v>51.666666666666664</v>
      </c>
      <c r="G33" s="64">
        <v>74.349999999999994</v>
      </c>
      <c r="H33" s="65">
        <f>SUM(G33*155/3/1000)</f>
        <v>3.8414166666666665</v>
      </c>
      <c r="I33" s="13">
        <f t="shared" si="3"/>
        <v>640.23611111111109</v>
      </c>
      <c r="J33" s="23"/>
      <c r="K33" s="8"/>
      <c r="L33" s="8"/>
      <c r="M33" s="8"/>
    </row>
    <row r="34" spans="1:14" ht="15.75" hidden="1" customHeight="1">
      <c r="A34" s="30"/>
      <c r="B34" s="61" t="s">
        <v>61</v>
      </c>
      <c r="C34" s="62" t="s">
        <v>32</v>
      </c>
      <c r="D34" s="61" t="s">
        <v>63</v>
      </c>
      <c r="E34" s="63"/>
      <c r="F34" s="64">
        <v>2</v>
      </c>
      <c r="G34" s="64">
        <v>250.92</v>
      </c>
      <c r="H34" s="65">
        <f t="shared" si="2"/>
        <v>0.50183999999999995</v>
      </c>
      <c r="I34" s="13">
        <v>0</v>
      </c>
      <c r="J34" s="24"/>
    </row>
    <row r="35" spans="1:14" ht="15.75" hidden="1" customHeight="1">
      <c r="A35" s="30"/>
      <c r="B35" s="61" t="s">
        <v>62</v>
      </c>
      <c r="C35" s="62" t="s">
        <v>31</v>
      </c>
      <c r="D35" s="61" t="s">
        <v>63</v>
      </c>
      <c r="E35" s="63"/>
      <c r="F35" s="64">
        <v>1</v>
      </c>
      <c r="G35" s="64">
        <v>1490.31</v>
      </c>
      <c r="H35" s="65">
        <f t="shared" si="2"/>
        <v>1.49031</v>
      </c>
      <c r="I35" s="13">
        <v>0</v>
      </c>
      <c r="J35" s="24"/>
    </row>
    <row r="36" spans="1:14" ht="15.75" customHeight="1">
      <c r="A36" s="30"/>
      <c r="B36" s="81" t="s">
        <v>5</v>
      </c>
      <c r="C36" s="62"/>
      <c r="D36" s="61"/>
      <c r="E36" s="63"/>
      <c r="F36" s="64"/>
      <c r="G36" s="64"/>
      <c r="H36" s="65" t="s">
        <v>118</v>
      </c>
      <c r="I36" s="13"/>
      <c r="J36" s="24"/>
      <c r="L36" s="19"/>
      <c r="M36" s="20"/>
      <c r="N36" s="21"/>
    </row>
    <row r="37" spans="1:14" ht="32.25" customHeight="1">
      <c r="A37" s="30">
        <v>5</v>
      </c>
      <c r="B37" s="171" t="s">
        <v>26</v>
      </c>
      <c r="C37" s="114" t="s">
        <v>31</v>
      </c>
      <c r="D37" s="113" t="s">
        <v>209</v>
      </c>
      <c r="E37" s="163"/>
      <c r="F37" s="124">
        <v>3</v>
      </c>
      <c r="G37" s="124">
        <v>1855</v>
      </c>
      <c r="H37" s="65">
        <f t="shared" ref="H37:H43" si="4">SUM(F37*G37/1000)</f>
        <v>5.5650000000000004</v>
      </c>
      <c r="I37" s="13">
        <f>G37*2.5</f>
        <v>4637.5</v>
      </c>
      <c r="J37" s="24"/>
      <c r="L37" s="19"/>
      <c r="M37" s="20"/>
      <c r="N37" s="21"/>
    </row>
    <row r="38" spans="1:14" ht="15.75" customHeight="1">
      <c r="A38" s="30">
        <v>6</v>
      </c>
      <c r="B38" s="171" t="s">
        <v>133</v>
      </c>
      <c r="C38" s="172" t="s">
        <v>29</v>
      </c>
      <c r="D38" s="113" t="s">
        <v>171</v>
      </c>
      <c r="E38" s="163">
        <v>137</v>
      </c>
      <c r="F38" s="154">
        <f>E38*30/1000</f>
        <v>4.1100000000000003</v>
      </c>
      <c r="G38" s="124">
        <v>3014.36</v>
      </c>
      <c r="H38" s="65">
        <f t="shared" si="4"/>
        <v>12.389019600000001</v>
      </c>
      <c r="I38" s="13">
        <f t="shared" ref="I38:I43" si="5">F38/6*G38</f>
        <v>2064.8366000000001</v>
      </c>
      <c r="J38" s="24"/>
      <c r="L38" s="19"/>
      <c r="M38" s="20"/>
      <c r="N38" s="21"/>
    </row>
    <row r="39" spans="1:14" ht="15.75" customHeight="1">
      <c r="A39" s="30">
        <v>7</v>
      </c>
      <c r="B39" s="113" t="s">
        <v>64</v>
      </c>
      <c r="C39" s="114" t="s">
        <v>29</v>
      </c>
      <c r="D39" s="113" t="s">
        <v>170</v>
      </c>
      <c r="E39" s="124">
        <v>137</v>
      </c>
      <c r="F39" s="154">
        <f>SUM(E39*155/1000)</f>
        <v>21.234999999999999</v>
      </c>
      <c r="G39" s="124">
        <v>502.82</v>
      </c>
      <c r="H39" s="65">
        <f t="shared" si="4"/>
        <v>10.677382700000001</v>
      </c>
      <c r="I39" s="13">
        <f>(F39/6*G39)</f>
        <v>1779.5637833333333</v>
      </c>
      <c r="J39" s="24"/>
      <c r="L39" s="19"/>
      <c r="M39" s="20"/>
      <c r="N39" s="21"/>
    </row>
    <row r="40" spans="1:14" ht="47.25" customHeight="1">
      <c r="A40" s="30">
        <v>8</v>
      </c>
      <c r="B40" s="113" t="s">
        <v>76</v>
      </c>
      <c r="C40" s="114" t="s">
        <v>82</v>
      </c>
      <c r="D40" s="113" t="s">
        <v>172</v>
      </c>
      <c r="E40" s="124">
        <v>54.4</v>
      </c>
      <c r="F40" s="154">
        <f>SUM(E40*35/1000)</f>
        <v>1.9039999999999999</v>
      </c>
      <c r="G40" s="124">
        <v>8319.2999999999993</v>
      </c>
      <c r="H40" s="65">
        <f t="shared" si="4"/>
        <v>15.839947199999999</v>
      </c>
      <c r="I40" s="13">
        <f t="shared" si="5"/>
        <v>2639.9911999999995</v>
      </c>
      <c r="J40" s="24"/>
      <c r="L40" s="19"/>
      <c r="M40" s="20"/>
      <c r="N40" s="21"/>
    </row>
    <row r="41" spans="1:14" ht="15.75" hidden="1" customHeight="1">
      <c r="A41" s="30">
        <v>9</v>
      </c>
      <c r="B41" s="113" t="s">
        <v>83</v>
      </c>
      <c r="C41" s="114" t="s">
        <v>82</v>
      </c>
      <c r="D41" s="113"/>
      <c r="E41" s="124">
        <v>137</v>
      </c>
      <c r="F41" s="154">
        <f>E41*30/1000</f>
        <v>4.1100000000000003</v>
      </c>
      <c r="G41" s="124">
        <v>614.55999999999995</v>
      </c>
      <c r="H41" s="65">
        <f t="shared" si="4"/>
        <v>2.5258416000000001</v>
      </c>
      <c r="I41" s="13">
        <f>G41*F41/6</f>
        <v>420.97360000000003</v>
      </c>
      <c r="J41" s="24"/>
      <c r="L41" s="19"/>
      <c r="M41" s="20"/>
      <c r="N41" s="21"/>
    </row>
    <row r="42" spans="1:14" ht="15.75" hidden="1" customHeight="1">
      <c r="A42" s="30">
        <v>10</v>
      </c>
      <c r="B42" s="171" t="s">
        <v>66</v>
      </c>
      <c r="C42" s="172" t="s">
        <v>32</v>
      </c>
      <c r="D42" s="171"/>
      <c r="E42" s="184"/>
      <c r="F42" s="154">
        <v>0.9</v>
      </c>
      <c r="G42" s="154">
        <v>900</v>
      </c>
      <c r="H42" s="65">
        <f t="shared" si="4"/>
        <v>0.81</v>
      </c>
      <c r="I42" s="13">
        <f>G42*F42/6</f>
        <v>135</v>
      </c>
      <c r="J42" s="24"/>
      <c r="L42" s="19"/>
      <c r="M42" s="20"/>
      <c r="N42" s="21"/>
    </row>
    <row r="43" spans="1:14" ht="32.25" customHeight="1">
      <c r="A43" s="30">
        <v>9</v>
      </c>
      <c r="B43" s="105" t="s">
        <v>134</v>
      </c>
      <c r="C43" s="106" t="s">
        <v>29</v>
      </c>
      <c r="D43" s="171" t="s">
        <v>186</v>
      </c>
      <c r="E43" s="184">
        <v>3</v>
      </c>
      <c r="F43" s="154">
        <f>SUM(E43*12/1000)</f>
        <v>3.5999999999999997E-2</v>
      </c>
      <c r="G43" s="154">
        <v>19757.060000000001</v>
      </c>
      <c r="H43" s="65">
        <f t="shared" si="4"/>
        <v>0.71125415999999997</v>
      </c>
      <c r="I43" s="13">
        <f t="shared" si="5"/>
        <v>118.54235999999999</v>
      </c>
      <c r="J43" s="24"/>
      <c r="L43" s="19"/>
      <c r="M43" s="20"/>
      <c r="N43" s="21"/>
    </row>
    <row r="44" spans="1:14" ht="15.75" customHeight="1">
      <c r="A44" s="221" t="s">
        <v>121</v>
      </c>
      <c r="B44" s="222"/>
      <c r="C44" s="222"/>
      <c r="D44" s="222"/>
      <c r="E44" s="222"/>
      <c r="F44" s="222"/>
      <c r="G44" s="222"/>
      <c r="H44" s="222"/>
      <c r="I44" s="223"/>
      <c r="J44" s="24"/>
      <c r="L44" s="19"/>
      <c r="M44" s="20"/>
      <c r="N44" s="21"/>
    </row>
    <row r="45" spans="1:14" ht="15.75" hidden="1" customHeight="1">
      <c r="A45" s="30"/>
      <c r="B45" s="61" t="s">
        <v>113</v>
      </c>
      <c r="C45" s="62" t="s">
        <v>82</v>
      </c>
      <c r="D45" s="61" t="s">
        <v>40</v>
      </c>
      <c r="E45" s="63">
        <v>1320.9</v>
      </c>
      <c r="F45" s="64">
        <f>SUM(E45*2/1000)</f>
        <v>2.6418000000000004</v>
      </c>
      <c r="G45" s="13">
        <v>1114.1300000000001</v>
      </c>
      <c r="H45" s="65">
        <f t="shared" ref="H45:H53" si="6">SUM(F45*G45/1000)</f>
        <v>2.943308634000001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61" t="s">
        <v>33</v>
      </c>
      <c r="C46" s="62" t="s">
        <v>82</v>
      </c>
      <c r="D46" s="61" t="s">
        <v>40</v>
      </c>
      <c r="E46" s="63">
        <v>52</v>
      </c>
      <c r="F46" s="64">
        <f>E46*2/1000</f>
        <v>0.104</v>
      </c>
      <c r="G46" s="13">
        <v>4419.05</v>
      </c>
      <c r="H46" s="65">
        <f t="shared" si="6"/>
        <v>0.45958120000000002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61" t="s">
        <v>34</v>
      </c>
      <c r="C47" s="62" t="s">
        <v>82</v>
      </c>
      <c r="D47" s="61" t="s">
        <v>40</v>
      </c>
      <c r="E47" s="63">
        <v>1520.8</v>
      </c>
      <c r="F47" s="64">
        <f>SUM(E47*2/1000)</f>
        <v>3.0415999999999999</v>
      </c>
      <c r="G47" s="13">
        <v>1803.69</v>
      </c>
      <c r="H47" s="65">
        <f t="shared" si="6"/>
        <v>5.4861035039999999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61" t="s">
        <v>35</v>
      </c>
      <c r="C48" s="62" t="s">
        <v>82</v>
      </c>
      <c r="D48" s="61" t="s">
        <v>40</v>
      </c>
      <c r="E48" s="63">
        <v>3433.81</v>
      </c>
      <c r="F48" s="64">
        <f>SUM(E48*2/1000)</f>
        <v>6.8676199999999996</v>
      </c>
      <c r="G48" s="13">
        <v>1243.43</v>
      </c>
      <c r="H48" s="65">
        <f t="shared" si="6"/>
        <v>8.5394047365999999</v>
      </c>
      <c r="I48" s="13">
        <v>0</v>
      </c>
      <c r="J48" s="24"/>
      <c r="L48" s="19"/>
      <c r="M48" s="20"/>
      <c r="N48" s="21"/>
    </row>
    <row r="49" spans="1:22" ht="15" customHeight="1">
      <c r="A49" s="30">
        <v>10</v>
      </c>
      <c r="B49" s="113" t="s">
        <v>167</v>
      </c>
      <c r="C49" s="114" t="s">
        <v>82</v>
      </c>
      <c r="D49" s="113" t="s">
        <v>173</v>
      </c>
      <c r="E49" s="163">
        <v>4731.7</v>
      </c>
      <c r="F49" s="124">
        <f>SUM(E49*5/1000)</f>
        <v>23.6585</v>
      </c>
      <c r="G49" s="115">
        <v>1739.68</v>
      </c>
      <c r="H49" s="65">
        <f t="shared" si="6"/>
        <v>41.158219280000004</v>
      </c>
      <c r="I49" s="13">
        <f>F49/5*G49</f>
        <v>8231.6438560000006</v>
      </c>
      <c r="J49" s="24"/>
      <c r="L49" s="19"/>
      <c r="M49" s="20"/>
      <c r="N49" s="21"/>
    </row>
    <row r="50" spans="1:22" ht="31.5" hidden="1" customHeight="1">
      <c r="A50" s="30"/>
      <c r="B50" s="61" t="s">
        <v>84</v>
      </c>
      <c r="C50" s="62" t="s">
        <v>82</v>
      </c>
      <c r="D50" s="61" t="s">
        <v>40</v>
      </c>
      <c r="E50" s="63">
        <v>4731.7</v>
      </c>
      <c r="F50" s="64">
        <f>SUM(E50*2/1000)</f>
        <v>9.4634</v>
      </c>
      <c r="G50" s="13">
        <v>1591.6</v>
      </c>
      <c r="H50" s="65">
        <f t="shared" si="6"/>
        <v>15.061947439999999</v>
      </c>
      <c r="I50" s="13">
        <v>0</v>
      </c>
      <c r="J50" s="24"/>
      <c r="L50" s="19"/>
      <c r="M50" s="20"/>
      <c r="N50" s="21"/>
    </row>
    <row r="51" spans="1:22" ht="31.5" hidden="1" customHeight="1">
      <c r="A51" s="30"/>
      <c r="B51" s="61" t="s">
        <v>85</v>
      </c>
      <c r="C51" s="62" t="s">
        <v>36</v>
      </c>
      <c r="D51" s="61" t="s">
        <v>40</v>
      </c>
      <c r="E51" s="63">
        <v>20</v>
      </c>
      <c r="F51" s="64">
        <f>SUM(E51*2/100)</f>
        <v>0.4</v>
      </c>
      <c r="G51" s="13">
        <v>4058.32</v>
      </c>
      <c r="H51" s="65">
        <f>SUM(F51*G51/1000)</f>
        <v>1.6233280000000001</v>
      </c>
      <c r="I51" s="13">
        <v>0</v>
      </c>
      <c r="J51" s="24"/>
      <c r="L51" s="19"/>
      <c r="M51" s="20"/>
      <c r="N51" s="21"/>
    </row>
    <row r="52" spans="1:22" ht="15.75" hidden="1" customHeight="1">
      <c r="A52" s="30"/>
      <c r="B52" s="61" t="s">
        <v>37</v>
      </c>
      <c r="C52" s="62" t="s">
        <v>38</v>
      </c>
      <c r="D52" s="61" t="s">
        <v>40</v>
      </c>
      <c r="E52" s="63">
        <v>1</v>
      </c>
      <c r="F52" s="64">
        <v>0.02</v>
      </c>
      <c r="G52" s="13">
        <v>7412.92</v>
      </c>
      <c r="H52" s="65">
        <f t="shared" si="6"/>
        <v>0.14825839999999998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61" t="s">
        <v>39</v>
      </c>
      <c r="C53" s="62" t="s">
        <v>97</v>
      </c>
      <c r="D53" s="61" t="s">
        <v>51</v>
      </c>
      <c r="E53" s="63">
        <v>160</v>
      </c>
      <c r="F53" s="64">
        <f>SUM(E53)</f>
        <v>160</v>
      </c>
      <c r="G53" s="13">
        <v>86.15</v>
      </c>
      <c r="H53" s="65">
        <f t="shared" si="6"/>
        <v>13.784000000000001</v>
      </c>
      <c r="I53" s="13">
        <v>0</v>
      </c>
      <c r="J53" s="24"/>
      <c r="L53" s="19"/>
    </row>
    <row r="54" spans="1:22" ht="15.75" customHeight="1">
      <c r="A54" s="221" t="s">
        <v>122</v>
      </c>
      <c r="B54" s="222"/>
      <c r="C54" s="222"/>
      <c r="D54" s="222"/>
      <c r="E54" s="222"/>
      <c r="F54" s="222"/>
      <c r="G54" s="222"/>
      <c r="H54" s="222"/>
      <c r="I54" s="223"/>
    </row>
    <row r="55" spans="1:22" ht="15.75" customHeight="1">
      <c r="A55" s="30"/>
      <c r="B55" s="81" t="s">
        <v>41</v>
      </c>
      <c r="C55" s="62"/>
      <c r="D55" s="61"/>
      <c r="E55" s="63"/>
      <c r="F55" s="64"/>
      <c r="G55" s="64"/>
      <c r="H55" s="65"/>
      <c r="I55" s="13"/>
    </row>
    <row r="56" spans="1:22" ht="31.5" customHeight="1">
      <c r="A56" s="30">
        <v>11</v>
      </c>
      <c r="B56" s="61" t="s">
        <v>114</v>
      </c>
      <c r="C56" s="62" t="s">
        <v>80</v>
      </c>
      <c r="D56" s="61"/>
      <c r="E56" s="63">
        <v>107.21</v>
      </c>
      <c r="F56" s="64">
        <f>SUM(E56*6/100)</f>
        <v>6.4325999999999999</v>
      </c>
      <c r="G56" s="115">
        <v>2218.11</v>
      </c>
      <c r="H56" s="65">
        <f>SUM(F56*G56/1000)</f>
        <v>14.268214386</v>
      </c>
      <c r="I56" s="13">
        <f>G56*0.288</f>
        <v>638.81568000000004</v>
      </c>
    </row>
    <row r="57" spans="1:22" ht="15.75" hidden="1" customHeight="1">
      <c r="A57" s="30"/>
      <c r="B57" s="70" t="s">
        <v>116</v>
      </c>
      <c r="C57" s="71" t="s">
        <v>117</v>
      </c>
      <c r="D57" s="70" t="s">
        <v>40</v>
      </c>
      <c r="E57" s="72">
        <v>4</v>
      </c>
      <c r="F57" s="73">
        <v>0.8</v>
      </c>
      <c r="G57" s="13">
        <v>237.1</v>
      </c>
      <c r="H57" s="65">
        <f t="shared" ref="H57:H58" si="7">SUM(F57*G57/1000)</f>
        <v>0.18968000000000002</v>
      </c>
      <c r="I57" s="13">
        <v>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customHeight="1">
      <c r="A58" s="30">
        <v>12</v>
      </c>
      <c r="B58" s="113" t="s">
        <v>115</v>
      </c>
      <c r="C58" s="114" t="s">
        <v>80</v>
      </c>
      <c r="D58" s="113" t="s">
        <v>173</v>
      </c>
      <c r="E58" s="165">
        <v>3.8</v>
      </c>
      <c r="F58" s="116">
        <f>SUM(E58*6/100)</f>
        <v>0.22799999999999998</v>
      </c>
      <c r="G58" s="115">
        <v>2218.11</v>
      </c>
      <c r="H58" s="65">
        <f t="shared" si="7"/>
        <v>0.50572908000000005</v>
      </c>
      <c r="I58" s="13">
        <f>G58*0.038</f>
        <v>84.288179999999997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/>
      <c r="B59" s="61" t="s">
        <v>136</v>
      </c>
      <c r="C59" s="62" t="s">
        <v>137</v>
      </c>
      <c r="D59" s="61" t="s">
        <v>63</v>
      </c>
      <c r="E59" s="63"/>
      <c r="F59" s="64">
        <v>3</v>
      </c>
      <c r="G59" s="13">
        <v>1582.05</v>
      </c>
      <c r="H59" s="65">
        <f>SUM(F59*G59/1000)</f>
        <v>4.7461499999999992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customHeight="1">
      <c r="A60" s="30"/>
      <c r="B60" s="82" t="s">
        <v>42</v>
      </c>
      <c r="C60" s="71"/>
      <c r="D60" s="70"/>
      <c r="E60" s="72"/>
      <c r="F60" s="73"/>
      <c r="G60" s="13"/>
      <c r="H60" s="74"/>
      <c r="I60" s="13"/>
      <c r="J60" s="5"/>
      <c r="K60" s="5"/>
      <c r="L60" s="5"/>
      <c r="M60" s="5"/>
      <c r="N60" s="5"/>
      <c r="O60" s="5"/>
      <c r="P60" s="5"/>
      <c r="Q60" s="5"/>
      <c r="R60" s="217"/>
      <c r="S60" s="217"/>
      <c r="T60" s="217"/>
      <c r="U60" s="217"/>
    </row>
    <row r="61" spans="1:22" ht="15.75" hidden="1" customHeight="1">
      <c r="A61" s="30"/>
      <c r="B61" s="70" t="s">
        <v>138</v>
      </c>
      <c r="C61" s="71" t="s">
        <v>50</v>
      </c>
      <c r="D61" s="70" t="s">
        <v>51</v>
      </c>
      <c r="E61" s="72">
        <v>660.45</v>
      </c>
      <c r="F61" s="73">
        <f>E61/100</f>
        <v>6.6045000000000007</v>
      </c>
      <c r="G61" s="13">
        <v>1040.8399999999999</v>
      </c>
      <c r="H61" s="74">
        <f>F61*G61/1000</f>
        <v>6.87422778</v>
      </c>
      <c r="I61" s="13">
        <v>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5.75" customHeight="1">
      <c r="A62" s="30">
        <v>13</v>
      </c>
      <c r="B62" s="173" t="s">
        <v>108</v>
      </c>
      <c r="C62" s="174" t="s">
        <v>25</v>
      </c>
      <c r="D62" s="173" t="s">
        <v>173</v>
      </c>
      <c r="E62" s="185">
        <v>200</v>
      </c>
      <c r="F62" s="186">
        <f>E62*12</f>
        <v>2400</v>
      </c>
      <c r="G62" s="187">
        <v>1.4</v>
      </c>
      <c r="H62" s="73">
        <f>F62*G62/1000</f>
        <v>3.36</v>
      </c>
      <c r="I62" s="13">
        <f>F62/12*G62</f>
        <v>280</v>
      </c>
    </row>
    <row r="63" spans="1:22" ht="15.75" hidden="1" customHeight="1">
      <c r="A63" s="30"/>
      <c r="B63" s="82" t="s">
        <v>43</v>
      </c>
      <c r="C63" s="71"/>
      <c r="D63" s="70"/>
      <c r="E63" s="72"/>
      <c r="F63" s="75"/>
      <c r="G63" s="75"/>
      <c r="H63" s="73" t="s">
        <v>118</v>
      </c>
      <c r="I63" s="13"/>
    </row>
    <row r="64" spans="1:22" ht="15.75" hidden="1" customHeight="1">
      <c r="A64" s="30">
        <v>12</v>
      </c>
      <c r="B64" s="14" t="s">
        <v>44</v>
      </c>
      <c r="C64" s="16" t="s">
        <v>97</v>
      </c>
      <c r="D64" s="14" t="s">
        <v>173</v>
      </c>
      <c r="E64" s="18">
        <v>10</v>
      </c>
      <c r="F64" s="64">
        <f>SUM(E64)</f>
        <v>10</v>
      </c>
      <c r="G64" s="13">
        <v>291.68</v>
      </c>
      <c r="H64" s="76">
        <f t="shared" ref="H64:H82" si="8">SUM(F64*G64/1000)</f>
        <v>2.9168000000000003</v>
      </c>
      <c r="I64" s="13">
        <f>G64</f>
        <v>291.68</v>
      </c>
    </row>
    <row r="65" spans="1:9" ht="15.75" hidden="1" customHeight="1">
      <c r="A65" s="30"/>
      <c r="B65" s="14" t="s">
        <v>45</v>
      </c>
      <c r="C65" s="16" t="s">
        <v>97</v>
      </c>
      <c r="D65" s="14" t="s">
        <v>63</v>
      </c>
      <c r="E65" s="18">
        <v>9</v>
      </c>
      <c r="F65" s="64">
        <f>SUM(E65)</f>
        <v>9</v>
      </c>
      <c r="G65" s="13">
        <v>100.01</v>
      </c>
      <c r="H65" s="76">
        <f t="shared" si="8"/>
        <v>0.90009000000000006</v>
      </c>
      <c r="I65" s="13">
        <v>0</v>
      </c>
    </row>
    <row r="66" spans="1:9" ht="15.75" hidden="1" customHeight="1">
      <c r="A66" s="30"/>
      <c r="B66" s="14" t="s">
        <v>46</v>
      </c>
      <c r="C66" s="16" t="s">
        <v>99</v>
      </c>
      <c r="D66" s="14" t="s">
        <v>51</v>
      </c>
      <c r="E66" s="63">
        <v>19836</v>
      </c>
      <c r="F66" s="13">
        <f>SUM(E66/100)</f>
        <v>198.36</v>
      </c>
      <c r="G66" s="13">
        <v>278.24</v>
      </c>
      <c r="H66" s="76">
        <f t="shared" si="8"/>
        <v>55.191686400000009</v>
      </c>
      <c r="I66" s="13">
        <f>F66*G66</f>
        <v>55191.686400000006</v>
      </c>
    </row>
    <row r="67" spans="1:9" ht="15.75" hidden="1" customHeight="1">
      <c r="A67" s="30"/>
      <c r="B67" s="14" t="s">
        <v>47</v>
      </c>
      <c r="C67" s="16" t="s">
        <v>100</v>
      </c>
      <c r="D67" s="14"/>
      <c r="E67" s="63">
        <v>19836</v>
      </c>
      <c r="F67" s="13">
        <f>SUM(E67/1000)</f>
        <v>19.835999999999999</v>
      </c>
      <c r="G67" s="13">
        <v>216.68</v>
      </c>
      <c r="H67" s="76">
        <f t="shared" si="8"/>
        <v>4.2980644799999999</v>
      </c>
      <c r="I67" s="13">
        <f t="shared" ref="I67:I71" si="9">F67*G67</f>
        <v>4298.06448</v>
      </c>
    </row>
    <row r="68" spans="1:9" ht="15.75" hidden="1" customHeight="1">
      <c r="A68" s="30"/>
      <c r="B68" s="14" t="s">
        <v>48</v>
      </c>
      <c r="C68" s="16" t="s">
        <v>71</v>
      </c>
      <c r="D68" s="14" t="s">
        <v>51</v>
      </c>
      <c r="E68" s="63">
        <v>3155</v>
      </c>
      <c r="F68" s="13">
        <f>SUM(E68/100)</f>
        <v>31.55</v>
      </c>
      <c r="G68" s="13">
        <v>2720.94</v>
      </c>
      <c r="H68" s="76">
        <f t="shared" si="8"/>
        <v>85.845657000000003</v>
      </c>
      <c r="I68" s="13">
        <f t="shared" si="9"/>
        <v>85845.657000000007</v>
      </c>
    </row>
    <row r="69" spans="1:9" ht="15.75" hidden="1" customHeight="1">
      <c r="A69" s="30"/>
      <c r="B69" s="77" t="s">
        <v>101</v>
      </c>
      <c r="C69" s="16" t="s">
        <v>32</v>
      </c>
      <c r="D69" s="14"/>
      <c r="E69" s="63">
        <v>34.5</v>
      </c>
      <c r="F69" s="13">
        <f>SUM(E69)</f>
        <v>34.5</v>
      </c>
      <c r="G69" s="13">
        <v>44.31</v>
      </c>
      <c r="H69" s="76">
        <f t="shared" si="8"/>
        <v>1.5286950000000001</v>
      </c>
      <c r="I69" s="13">
        <f t="shared" si="9"/>
        <v>1528.6950000000002</v>
      </c>
    </row>
    <row r="70" spans="1:9" ht="15.75" hidden="1" customHeight="1">
      <c r="A70" s="30"/>
      <c r="B70" s="77" t="s">
        <v>102</v>
      </c>
      <c r="C70" s="16" t="s">
        <v>32</v>
      </c>
      <c r="D70" s="14"/>
      <c r="E70" s="63">
        <v>34.5</v>
      </c>
      <c r="F70" s="13">
        <f t="shared" ref="F70:F71" si="10">SUM(E70)</f>
        <v>34.5</v>
      </c>
      <c r="G70" s="13">
        <v>47.79</v>
      </c>
      <c r="H70" s="76">
        <f t="shared" si="8"/>
        <v>1.648755</v>
      </c>
      <c r="I70" s="13">
        <f t="shared" si="9"/>
        <v>1648.7549999999999</v>
      </c>
    </row>
    <row r="71" spans="1:9" ht="15.75" hidden="1" customHeight="1">
      <c r="A71" s="30"/>
      <c r="B71" s="14" t="s">
        <v>54</v>
      </c>
      <c r="C71" s="16" t="s">
        <v>55</v>
      </c>
      <c r="D71" s="14" t="s">
        <v>51</v>
      </c>
      <c r="E71" s="18">
        <v>5</v>
      </c>
      <c r="F71" s="13">
        <f t="shared" si="10"/>
        <v>5</v>
      </c>
      <c r="G71" s="13">
        <v>53.32</v>
      </c>
      <c r="H71" s="76">
        <f t="shared" si="8"/>
        <v>0.2666</v>
      </c>
      <c r="I71" s="13">
        <f t="shared" si="9"/>
        <v>266.60000000000002</v>
      </c>
    </row>
    <row r="72" spans="1:9" ht="15.75" customHeight="1">
      <c r="A72" s="30"/>
      <c r="B72" s="95" t="s">
        <v>139</v>
      </c>
      <c r="C72" s="49"/>
      <c r="D72" s="14"/>
      <c r="E72" s="18"/>
      <c r="F72" s="13"/>
      <c r="G72" s="13"/>
      <c r="H72" s="76"/>
      <c r="I72" s="13"/>
    </row>
    <row r="73" spans="1:9" ht="15.75" customHeight="1">
      <c r="A73" s="30">
        <v>14</v>
      </c>
      <c r="B73" s="36" t="s">
        <v>140</v>
      </c>
      <c r="C73" s="176" t="s">
        <v>141</v>
      </c>
      <c r="D73" s="36"/>
      <c r="E73" s="188">
        <v>4731.7</v>
      </c>
      <c r="F73" s="115">
        <f>SUM(E73*12)</f>
        <v>56780.399999999994</v>
      </c>
      <c r="G73" s="115">
        <v>2.4900000000000002</v>
      </c>
      <c r="H73" s="76">
        <f t="shared" ref="H73" si="11">SUM(F73*G73/1000)</f>
        <v>141.383196</v>
      </c>
      <c r="I73" s="13">
        <f>F73/12*G73</f>
        <v>11781.933000000001</v>
      </c>
    </row>
    <row r="74" spans="1:9" ht="15.75" customHeight="1">
      <c r="A74" s="30"/>
      <c r="B74" s="166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1.5" hidden="1" customHeight="1">
      <c r="A75" s="30"/>
      <c r="B75" s="14" t="s">
        <v>142</v>
      </c>
      <c r="C75" s="16" t="s">
        <v>97</v>
      </c>
      <c r="D75" s="14" t="s">
        <v>63</v>
      </c>
      <c r="E75" s="18">
        <v>1</v>
      </c>
      <c r="F75" s="13">
        <v>1</v>
      </c>
      <c r="G75" s="13">
        <v>1543.4</v>
      </c>
      <c r="H75" s="76">
        <f t="shared" ref="H75:H78" si="12">SUM(F75*G75/1000)</f>
        <v>1.5434000000000001</v>
      </c>
      <c r="I75" s="13">
        <v>0</v>
      </c>
    </row>
    <row r="76" spans="1:9" ht="15.75" hidden="1" customHeight="1">
      <c r="A76" s="30">
        <v>19</v>
      </c>
      <c r="B76" s="47" t="s">
        <v>143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t="15.75" hidden="1" customHeight="1">
      <c r="A77" s="30"/>
      <c r="B77" s="14" t="s">
        <v>68</v>
      </c>
      <c r="C77" s="16" t="s">
        <v>69</v>
      </c>
      <c r="D77" s="14" t="s">
        <v>63</v>
      </c>
      <c r="E77" s="18">
        <v>8</v>
      </c>
      <c r="F77" s="13">
        <f>E77/10</f>
        <v>0.8</v>
      </c>
      <c r="G77" s="13">
        <v>657.87</v>
      </c>
      <c r="H77" s="76">
        <f t="shared" si="12"/>
        <v>0.5262960000000001</v>
      </c>
      <c r="I77" s="13">
        <v>0</v>
      </c>
    </row>
    <row r="78" spans="1:9" ht="15.75" hidden="1" customHeight="1">
      <c r="A78" s="30"/>
      <c r="B78" s="14" t="s">
        <v>144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2"/>
        <v>1.1187199999999999</v>
      </c>
      <c r="I78" s="13">
        <v>0</v>
      </c>
    </row>
    <row r="79" spans="1:9" ht="15.75" hidden="1" customHeight="1">
      <c r="A79" s="30"/>
      <c r="B79" s="47" t="s">
        <v>145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 ht="15.75" customHeight="1">
      <c r="A80" s="30">
        <v>15</v>
      </c>
      <c r="B80" s="105" t="s">
        <v>146</v>
      </c>
      <c r="C80" s="106" t="s">
        <v>97</v>
      </c>
      <c r="D80" s="36" t="s">
        <v>173</v>
      </c>
      <c r="E80" s="189">
        <v>2</v>
      </c>
      <c r="F80" s="186">
        <f>E80*12</f>
        <v>24</v>
      </c>
      <c r="G80" s="182">
        <v>404</v>
      </c>
      <c r="H80" s="76">
        <f t="shared" ref="H80" si="13">SUM(F80*G80/1000)</f>
        <v>9.6959999999999997</v>
      </c>
      <c r="I80" s="13">
        <f>F80/12*G80</f>
        <v>808</v>
      </c>
    </row>
    <row r="81" spans="1:9" ht="15.75" hidden="1" customHeight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t="15.75" hidden="1" customHeight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8"/>
        <v>1.0857270000000001</v>
      </c>
      <c r="I82" s="13">
        <v>0</v>
      </c>
    </row>
    <row r="83" spans="1:9" ht="15.75" hidden="1" customHeight="1">
      <c r="A83" s="30"/>
      <c r="B83" s="96" t="s">
        <v>86</v>
      </c>
      <c r="C83" s="79"/>
      <c r="D83" s="32"/>
      <c r="E83" s="33"/>
      <c r="F83" s="67"/>
      <c r="G83" s="67"/>
      <c r="H83" s="80">
        <f>SUM(H56:H82)</f>
        <v>341.78166812600011</v>
      </c>
      <c r="I83" s="67"/>
    </row>
    <row r="84" spans="1:9" ht="15.75" hidden="1" customHeight="1">
      <c r="A84" s="30"/>
      <c r="B84" s="61" t="s">
        <v>103</v>
      </c>
      <c r="C84" s="16"/>
      <c r="D84" s="14"/>
      <c r="E84" s="57"/>
      <c r="F84" s="13">
        <v>1</v>
      </c>
      <c r="G84" s="13">
        <v>20512</v>
      </c>
      <c r="H84" s="76">
        <f>G84*F84/1000</f>
        <v>20.512</v>
      </c>
      <c r="I84" s="13">
        <v>0</v>
      </c>
    </row>
    <row r="85" spans="1:9" ht="15.75" customHeight="1">
      <c r="A85" s="230" t="s">
        <v>123</v>
      </c>
      <c r="B85" s="231"/>
      <c r="C85" s="231"/>
      <c r="D85" s="231"/>
      <c r="E85" s="231"/>
      <c r="F85" s="231"/>
      <c r="G85" s="231"/>
      <c r="H85" s="231"/>
      <c r="I85" s="232"/>
    </row>
    <row r="86" spans="1:9" ht="15.75" customHeight="1">
      <c r="A86" s="30">
        <v>16</v>
      </c>
      <c r="B86" s="113" t="s">
        <v>104</v>
      </c>
      <c r="C86" s="168" t="s">
        <v>52</v>
      </c>
      <c r="D86" s="169"/>
      <c r="E86" s="115">
        <v>4731.7</v>
      </c>
      <c r="F86" s="115">
        <f>SUM(E86*12)</f>
        <v>56780.399999999994</v>
      </c>
      <c r="G86" s="191">
        <v>3.38</v>
      </c>
      <c r="H86" s="76">
        <f>SUM(F86*G86/1000)</f>
        <v>191.91775199999998</v>
      </c>
      <c r="I86" s="13">
        <f>F86/12*G86</f>
        <v>15993.145999999999</v>
      </c>
    </row>
    <row r="87" spans="1:9" ht="31.5" customHeight="1">
      <c r="A87" s="30">
        <v>17</v>
      </c>
      <c r="B87" s="36" t="s">
        <v>72</v>
      </c>
      <c r="C87" s="168"/>
      <c r="D87" s="48"/>
      <c r="E87" s="163">
        <f>E86</f>
        <v>4731.7</v>
      </c>
      <c r="F87" s="115">
        <f>E87*12</f>
        <v>56780.399999999994</v>
      </c>
      <c r="G87" s="115">
        <v>3.05</v>
      </c>
      <c r="H87" s="76">
        <f>F87*G87/1000</f>
        <v>173.18021999999996</v>
      </c>
      <c r="I87" s="13">
        <f>F87/12*G87</f>
        <v>14431.684999999999</v>
      </c>
    </row>
    <row r="88" spans="1:9" ht="31.5" hidden="1" customHeight="1">
      <c r="A88" s="30">
        <v>16</v>
      </c>
      <c r="B88" s="36" t="s">
        <v>189</v>
      </c>
      <c r="C88" s="168"/>
      <c r="D88" s="36"/>
      <c r="E88" s="190">
        <v>4731.7</v>
      </c>
      <c r="F88" s="35">
        <f>E88*1</f>
        <v>4731.7</v>
      </c>
      <c r="G88" s="35">
        <v>3.05</v>
      </c>
      <c r="H88" s="76"/>
      <c r="I88" s="13">
        <f>G88*F88/1</f>
        <v>14431.684999999999</v>
      </c>
    </row>
    <row r="89" spans="1:9" ht="15.75" customHeight="1">
      <c r="A89" s="30"/>
      <c r="B89" s="37" t="s">
        <v>74</v>
      </c>
      <c r="C89" s="79"/>
      <c r="D89" s="78"/>
      <c r="E89" s="67"/>
      <c r="F89" s="67"/>
      <c r="G89" s="67"/>
      <c r="H89" s="80">
        <f>H87</f>
        <v>173.18021999999996</v>
      </c>
      <c r="I89" s="67">
        <f>I87+I86+I80+I73+I62+I56+I49+I43+I40+I39+I38+I37+I26+I18+I17+I16+I58</f>
        <v>81487.813088499999</v>
      </c>
    </row>
    <row r="90" spans="1:9" ht="15.75" customHeight="1">
      <c r="A90" s="227" t="s">
        <v>57</v>
      </c>
      <c r="B90" s="228"/>
      <c r="C90" s="228"/>
      <c r="D90" s="228"/>
      <c r="E90" s="228"/>
      <c r="F90" s="228"/>
      <c r="G90" s="228"/>
      <c r="H90" s="228"/>
      <c r="I90" s="229"/>
    </row>
    <row r="91" spans="1:9" ht="35.25" customHeight="1">
      <c r="A91" s="30">
        <v>18</v>
      </c>
      <c r="B91" s="105" t="s">
        <v>151</v>
      </c>
      <c r="C91" s="106" t="s">
        <v>152</v>
      </c>
      <c r="D91" s="192" t="s">
        <v>214</v>
      </c>
      <c r="E91" s="167"/>
      <c r="F91" s="167">
        <v>1</v>
      </c>
      <c r="G91" s="167">
        <v>697.33</v>
      </c>
      <c r="H91" s="76"/>
      <c r="I91" s="13">
        <f>G91*1</f>
        <v>697.33</v>
      </c>
    </row>
    <row r="92" spans="1:9" ht="18" customHeight="1">
      <c r="A92" s="30">
        <v>19</v>
      </c>
      <c r="B92" s="105" t="s">
        <v>210</v>
      </c>
      <c r="C92" s="106" t="s">
        <v>97</v>
      </c>
      <c r="D92" s="192" t="s">
        <v>213</v>
      </c>
      <c r="E92" s="167"/>
      <c r="F92" s="167">
        <v>1</v>
      </c>
      <c r="G92" s="167">
        <v>101.85</v>
      </c>
      <c r="H92" s="76"/>
      <c r="I92" s="13">
        <v>0</v>
      </c>
    </row>
    <row r="93" spans="1:9" ht="33.75" customHeight="1">
      <c r="A93" s="30">
        <v>20</v>
      </c>
      <c r="B93" s="105" t="s">
        <v>193</v>
      </c>
      <c r="C93" s="106" t="s">
        <v>36</v>
      </c>
      <c r="D93" s="192"/>
      <c r="E93" s="167"/>
      <c r="F93" s="167">
        <v>0.01</v>
      </c>
      <c r="G93" s="167">
        <v>4273.32</v>
      </c>
      <c r="H93" s="76"/>
      <c r="I93" s="13">
        <v>0</v>
      </c>
    </row>
    <row r="94" spans="1:9" ht="32.25" customHeight="1">
      <c r="A94" s="30">
        <v>21</v>
      </c>
      <c r="B94" s="105" t="s">
        <v>211</v>
      </c>
      <c r="C94" s="106" t="s">
        <v>212</v>
      </c>
      <c r="D94" s="192"/>
      <c r="E94" s="167"/>
      <c r="F94" s="167">
        <v>1</v>
      </c>
      <c r="G94" s="167">
        <v>8718.36</v>
      </c>
      <c r="H94" s="76"/>
      <c r="I94" s="13">
        <f>G94*1</f>
        <v>8718.36</v>
      </c>
    </row>
    <row r="95" spans="1:9" ht="15.75" customHeight="1">
      <c r="A95" s="30"/>
      <c r="B95" s="42" t="s">
        <v>49</v>
      </c>
      <c r="C95" s="38"/>
      <c r="D95" s="45"/>
      <c r="E95" s="38">
        <v>1</v>
      </c>
      <c r="F95" s="38"/>
      <c r="G95" s="38"/>
      <c r="H95" s="38"/>
      <c r="I95" s="33">
        <f>SUM(I91:I94)</f>
        <v>9415.69</v>
      </c>
    </row>
    <row r="96" spans="1:9" ht="15.75" customHeight="1">
      <c r="A96" s="30"/>
      <c r="B96" s="44" t="s">
        <v>73</v>
      </c>
      <c r="C96" s="15"/>
      <c r="D96" s="15"/>
      <c r="E96" s="39"/>
      <c r="F96" s="39"/>
      <c r="G96" s="40"/>
      <c r="H96" s="40"/>
      <c r="I96" s="17">
        <v>0</v>
      </c>
    </row>
    <row r="97" spans="1:9" ht="15.75" customHeight="1">
      <c r="A97" s="46"/>
      <c r="B97" s="43" t="s">
        <v>131</v>
      </c>
      <c r="C97" s="34"/>
      <c r="D97" s="34"/>
      <c r="E97" s="34"/>
      <c r="F97" s="34"/>
      <c r="G97" s="34"/>
      <c r="H97" s="34"/>
      <c r="I97" s="41">
        <f>I89+I95</f>
        <v>90903.503088500001</v>
      </c>
    </row>
    <row r="98" spans="1:9" ht="15.75" customHeight="1">
      <c r="A98" s="224" t="s">
        <v>215</v>
      </c>
      <c r="B98" s="224"/>
      <c r="C98" s="224"/>
      <c r="D98" s="224"/>
      <c r="E98" s="224"/>
      <c r="F98" s="224"/>
      <c r="G98" s="224"/>
      <c r="H98" s="224"/>
      <c r="I98" s="224"/>
    </row>
    <row r="99" spans="1:9" ht="15.75" customHeight="1">
      <c r="A99" s="55"/>
      <c r="B99" s="225" t="s">
        <v>216</v>
      </c>
      <c r="C99" s="225"/>
      <c r="D99" s="225"/>
      <c r="E99" s="225"/>
      <c r="F99" s="225"/>
      <c r="G99" s="225"/>
      <c r="H99" s="60"/>
      <c r="I99" s="3"/>
    </row>
    <row r="100" spans="1:9" ht="15.75" customHeight="1">
      <c r="A100" s="52"/>
      <c r="B100" s="215" t="s">
        <v>6</v>
      </c>
      <c r="C100" s="215"/>
      <c r="D100" s="215"/>
      <c r="E100" s="215"/>
      <c r="F100" s="215"/>
      <c r="G100" s="215"/>
      <c r="H100" s="25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226" t="s">
        <v>7</v>
      </c>
      <c r="B102" s="226"/>
      <c r="C102" s="226"/>
      <c r="D102" s="226"/>
      <c r="E102" s="226"/>
      <c r="F102" s="226"/>
      <c r="G102" s="226"/>
      <c r="H102" s="226"/>
      <c r="I102" s="226"/>
    </row>
    <row r="103" spans="1:9" ht="15.75" customHeight="1">
      <c r="A103" s="226" t="s">
        <v>8</v>
      </c>
      <c r="B103" s="226"/>
      <c r="C103" s="226"/>
      <c r="D103" s="226"/>
      <c r="E103" s="226"/>
      <c r="F103" s="226"/>
      <c r="G103" s="226"/>
      <c r="H103" s="226"/>
      <c r="I103" s="226"/>
    </row>
    <row r="104" spans="1:9" ht="23.25" customHeight="1">
      <c r="A104" s="219" t="s">
        <v>58</v>
      </c>
      <c r="B104" s="219"/>
      <c r="C104" s="219"/>
      <c r="D104" s="219"/>
      <c r="E104" s="219"/>
      <c r="F104" s="219"/>
      <c r="G104" s="219"/>
      <c r="H104" s="219"/>
      <c r="I104" s="219"/>
    </row>
    <row r="105" spans="1:9" ht="15.75">
      <c r="A105" s="11"/>
    </row>
    <row r="106" spans="1:9" ht="15.75">
      <c r="A106" s="213" t="s">
        <v>9</v>
      </c>
      <c r="B106" s="213"/>
      <c r="C106" s="213"/>
      <c r="D106" s="213"/>
      <c r="E106" s="213"/>
      <c r="F106" s="213"/>
      <c r="G106" s="213"/>
      <c r="H106" s="213"/>
      <c r="I106" s="213"/>
    </row>
    <row r="107" spans="1:9" ht="15.75" customHeight="1">
      <c r="A107" s="4"/>
    </row>
    <row r="108" spans="1:9" ht="15.75" customHeight="1">
      <c r="B108" s="53" t="s">
        <v>10</v>
      </c>
      <c r="C108" s="214" t="s">
        <v>201</v>
      </c>
      <c r="D108" s="214"/>
      <c r="E108" s="214"/>
      <c r="F108" s="58"/>
      <c r="I108" s="51"/>
    </row>
    <row r="109" spans="1:9" ht="15.75" customHeight="1">
      <c r="A109" s="52"/>
      <c r="C109" s="215" t="s">
        <v>11</v>
      </c>
      <c r="D109" s="215"/>
      <c r="E109" s="215"/>
      <c r="F109" s="25"/>
      <c r="I109" s="50" t="s">
        <v>12</v>
      </c>
    </row>
    <row r="110" spans="1:9" ht="15.75" customHeight="1">
      <c r="A110" s="26"/>
      <c r="C110" s="12"/>
      <c r="D110" s="12"/>
      <c r="G110" s="12"/>
      <c r="H110" s="12"/>
    </row>
    <row r="111" spans="1:9" ht="15.75" customHeight="1">
      <c r="B111" s="53" t="s">
        <v>13</v>
      </c>
      <c r="C111" s="216"/>
      <c r="D111" s="216"/>
      <c r="E111" s="216"/>
      <c r="F111" s="59"/>
      <c r="I111" s="51"/>
    </row>
    <row r="112" spans="1:9">
      <c r="A112" s="52"/>
      <c r="C112" s="217" t="s">
        <v>11</v>
      </c>
      <c r="D112" s="217"/>
      <c r="E112" s="217"/>
      <c r="F112" s="52"/>
      <c r="I112" s="50" t="s">
        <v>12</v>
      </c>
    </row>
    <row r="113" spans="1:9" ht="15.75">
      <c r="A113" s="4" t="s">
        <v>14</v>
      </c>
    </row>
    <row r="114" spans="1:9" ht="15.75" customHeight="1">
      <c r="A114" s="218" t="s">
        <v>15</v>
      </c>
      <c r="B114" s="218"/>
      <c r="C114" s="218"/>
      <c r="D114" s="218"/>
      <c r="E114" s="218"/>
      <c r="F114" s="218"/>
      <c r="G114" s="218"/>
      <c r="H114" s="218"/>
      <c r="I114" s="218"/>
    </row>
    <row r="115" spans="1:9" ht="45" customHeight="1">
      <c r="A115" s="212" t="s">
        <v>16</v>
      </c>
      <c r="B115" s="212"/>
      <c r="C115" s="212"/>
      <c r="D115" s="212"/>
      <c r="E115" s="212"/>
      <c r="F115" s="212"/>
      <c r="G115" s="212"/>
      <c r="H115" s="212"/>
      <c r="I115" s="212"/>
    </row>
    <row r="116" spans="1:9" ht="30" customHeight="1">
      <c r="A116" s="212" t="s">
        <v>17</v>
      </c>
      <c r="B116" s="212"/>
      <c r="C116" s="212"/>
      <c r="D116" s="212"/>
      <c r="E116" s="212"/>
      <c r="F116" s="212"/>
      <c r="G116" s="212"/>
      <c r="H116" s="212"/>
      <c r="I116" s="212"/>
    </row>
    <row r="117" spans="1:9" ht="30" customHeight="1">
      <c r="A117" s="212" t="s">
        <v>21</v>
      </c>
      <c r="B117" s="212"/>
      <c r="C117" s="212"/>
      <c r="D117" s="212"/>
      <c r="E117" s="212"/>
      <c r="F117" s="212"/>
      <c r="G117" s="212"/>
      <c r="H117" s="212"/>
      <c r="I117" s="212"/>
    </row>
    <row r="118" spans="1:9" ht="15" customHeight="1">
      <c r="A118" s="212" t="s">
        <v>20</v>
      </c>
      <c r="B118" s="212"/>
      <c r="C118" s="212"/>
      <c r="D118" s="212"/>
      <c r="E118" s="212"/>
      <c r="F118" s="212"/>
      <c r="G118" s="212"/>
      <c r="H118" s="212"/>
      <c r="I118" s="212"/>
    </row>
  </sheetData>
  <autoFilter ref="I12:I55"/>
  <mergeCells count="29">
    <mergeCell ref="R60:U60"/>
    <mergeCell ref="A3:I3"/>
    <mergeCell ref="A4:I4"/>
    <mergeCell ref="A5:I5"/>
    <mergeCell ref="A8:I8"/>
    <mergeCell ref="A10:I10"/>
    <mergeCell ref="A14:I14"/>
    <mergeCell ref="A104:I104"/>
    <mergeCell ref="A15:I15"/>
    <mergeCell ref="A44:I44"/>
    <mergeCell ref="A98:I98"/>
    <mergeCell ref="B99:G99"/>
    <mergeCell ref="B100:G100"/>
    <mergeCell ref="A102:I102"/>
    <mergeCell ref="A103:I103"/>
    <mergeCell ref="A90:I90"/>
    <mergeCell ref="A27:I27"/>
    <mergeCell ref="A54:I54"/>
    <mergeCell ref="A85:I85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11811023622047245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8"/>
  <sheetViews>
    <sheetView topLeftCell="A53" workbookViewId="0">
      <selection activeCell="A103" sqref="A103:I103"/>
    </sheetView>
  </sheetViews>
  <sheetFormatPr defaultRowHeight="15"/>
  <cols>
    <col min="1" max="1" width="12.85546875" customWidth="1"/>
    <col min="2" max="2" width="47.140625" customWidth="1"/>
    <col min="3" max="3" width="18.28515625" customWidth="1"/>
    <col min="4" max="4" width="18.5703125" customWidth="1"/>
    <col min="5" max="6" width="0" hidden="1" customWidth="1"/>
    <col min="7" max="7" width="16.5703125" customWidth="1"/>
    <col min="8" max="8" width="0" hidden="1" customWidth="1"/>
    <col min="9" max="9" width="15.5703125" customWidth="1"/>
  </cols>
  <sheetData>
    <row r="1" spans="1:9" ht="15.75">
      <c r="A1" s="28" t="s">
        <v>158</v>
      </c>
      <c r="I1" s="27"/>
    </row>
    <row r="2" spans="1:9" ht="15.75">
      <c r="A2" s="29" t="s">
        <v>59</v>
      </c>
    </row>
    <row r="3" spans="1:9" ht="15.75">
      <c r="A3" s="233" t="s">
        <v>163</v>
      </c>
      <c r="B3" s="233"/>
      <c r="C3" s="233"/>
      <c r="D3" s="233"/>
      <c r="E3" s="233"/>
      <c r="F3" s="233"/>
      <c r="G3" s="233"/>
      <c r="H3" s="233"/>
      <c r="I3" s="233"/>
    </row>
    <row r="4" spans="1:9" ht="34.5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311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47"/>
      <c r="C6" s="147"/>
      <c r="D6" s="147"/>
      <c r="E6" s="147"/>
      <c r="F6" s="147"/>
      <c r="G6" s="147"/>
      <c r="H6" s="147"/>
      <c r="I6" s="31">
        <v>44500</v>
      </c>
    </row>
    <row r="7" spans="1:9" ht="15.75">
      <c r="B7" s="146"/>
      <c r="C7" s="146"/>
      <c r="D7" s="146"/>
      <c r="E7" s="3"/>
      <c r="F7" s="3"/>
      <c r="G7" s="3"/>
      <c r="H7" s="3"/>
    </row>
    <row r="8" spans="1:9" ht="97.5" customHeight="1">
      <c r="A8" s="236" t="s">
        <v>188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74.25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68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</row>
    <row r="16" spans="1:9" ht="18" customHeight="1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9.5" customHeight="1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8" customHeight="1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idden="1">
      <c r="A20" s="30">
        <v>4</v>
      </c>
      <c r="B20" s="113" t="s">
        <v>90</v>
      </c>
      <c r="C20" s="114" t="s">
        <v>80</v>
      </c>
      <c r="D20" s="113" t="s">
        <v>173</v>
      </c>
      <c r="E20" s="165">
        <v>14</v>
      </c>
      <c r="F20" s="116">
        <f>SUM(E20*2/100)</f>
        <v>0.28000000000000003</v>
      </c>
      <c r="G20" s="116">
        <v>312.35000000000002</v>
      </c>
      <c r="H20" s="65">
        <f t="shared" si="0"/>
        <v>8.7458000000000008E-2</v>
      </c>
      <c r="I20" s="13">
        <f>F20/2*G20</f>
        <v>43.729000000000006</v>
      </c>
    </row>
    <row r="21" spans="1:9" hidden="1">
      <c r="A21" s="30">
        <v>5</v>
      </c>
      <c r="B21" s="61" t="s">
        <v>91</v>
      </c>
      <c r="C21" s="62" t="s">
        <v>80</v>
      </c>
      <c r="D21" s="61" t="s">
        <v>173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t="30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6.5" hidden="1" customHeight="1">
      <c r="A26" s="30">
        <v>4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20" t="s">
        <v>78</v>
      </c>
      <c r="B27" s="220"/>
      <c r="C27" s="220"/>
      <c r="D27" s="220"/>
      <c r="E27" s="220"/>
      <c r="F27" s="220"/>
      <c r="G27" s="220"/>
      <c r="H27" s="220"/>
      <c r="I27" s="220"/>
    </row>
    <row r="28" spans="1:9" ht="17.25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t="16.5" customHeight="1">
      <c r="A29" s="30">
        <v>4</v>
      </c>
      <c r="B29" s="113" t="s">
        <v>96</v>
      </c>
      <c r="C29" s="114" t="s">
        <v>82</v>
      </c>
      <c r="D29" s="113" t="s">
        <v>178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1" si="2">SUM(F29*G29/1000)</f>
        <v>5.8264066560000014</v>
      </c>
      <c r="I29" s="13">
        <f>F29/6*G29</f>
        <v>971.06777600000009</v>
      </c>
    </row>
    <row r="30" spans="1:9" ht="46.5" customHeight="1">
      <c r="A30" s="30">
        <v>5</v>
      </c>
      <c r="B30" s="113" t="s">
        <v>192</v>
      </c>
      <c r="C30" s="114" t="s">
        <v>82</v>
      </c>
      <c r="D30" s="113" t="s">
        <v>168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 hidden="1">
      <c r="A31" s="30">
        <v>15</v>
      </c>
      <c r="B31" s="113" t="s">
        <v>27</v>
      </c>
      <c r="C31" s="114" t="s">
        <v>82</v>
      </c>
      <c r="D31" s="113" t="s">
        <v>173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 ht="18" customHeight="1">
      <c r="A32" s="30">
        <v>6</v>
      </c>
      <c r="B32" s="113" t="s">
        <v>119</v>
      </c>
      <c r="C32" s="114" t="s">
        <v>38</v>
      </c>
      <c r="D32" s="113" t="s">
        <v>178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ref="H33:H34" si="4">SUM(F33*G33/1000)</f>
        <v>0.50183999999999995</v>
      </c>
      <c r="I33" s="13">
        <v>0</v>
      </c>
    </row>
    <row r="34" spans="1:9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4"/>
        <v>1.49031</v>
      </c>
      <c r="I34" s="13">
        <v>0</v>
      </c>
    </row>
    <row r="35" spans="1:9" hidden="1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5">SUM(F36*G36/1000)</f>
        <v>10.015000000000001</v>
      </c>
      <c r="I36" s="13">
        <f t="shared" ref="I36:I39" si="6">F36/6*G36</f>
        <v>1669.1666666666667</v>
      </c>
    </row>
    <row r="37" spans="1:9" hidden="1">
      <c r="A37" s="30">
        <v>7</v>
      </c>
      <c r="B37" s="61" t="s">
        <v>133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5"/>
        <v>4.50069696</v>
      </c>
      <c r="I37" s="13">
        <f t="shared" si="6"/>
        <v>750.11615999999992</v>
      </c>
    </row>
    <row r="38" spans="1:9" ht="30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5"/>
        <v>3.87888864</v>
      </c>
      <c r="I38" s="13">
        <f t="shared" si="6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5"/>
        <v>8.3113867199999998</v>
      </c>
      <c r="I39" s="13">
        <f t="shared" si="6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5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5"/>
        <v>0.8773470000000001</v>
      </c>
      <c r="I41" s="13">
        <f>(F41/7.5*1.5)*G41</f>
        <v>175.46940000000004</v>
      </c>
    </row>
    <row r="42" spans="1:9" ht="30" hidden="1">
      <c r="A42" s="30">
        <v>8</v>
      </c>
      <c r="B42" s="47" t="s">
        <v>134</v>
      </c>
      <c r="C42" s="49" t="s">
        <v>29</v>
      </c>
      <c r="D42" s="61" t="s">
        <v>173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5"/>
        <v>9.3671999999999991E-3</v>
      </c>
      <c r="I42" s="13">
        <f>F42/6*G42/2</f>
        <v>0.78059999999999985</v>
      </c>
    </row>
    <row r="43" spans="1:9" hidden="1">
      <c r="A43" s="221" t="s">
        <v>121</v>
      </c>
      <c r="B43" s="222"/>
      <c r="C43" s="222"/>
      <c r="D43" s="222"/>
      <c r="E43" s="222"/>
      <c r="F43" s="222"/>
      <c r="G43" s="222"/>
      <c r="H43" s="222"/>
      <c r="I43" s="223"/>
    </row>
    <row r="44" spans="1:9" hidden="1">
      <c r="A44" s="30">
        <v>12</v>
      </c>
      <c r="B44" s="61" t="s">
        <v>113</v>
      </c>
      <c r="C44" s="62" t="s">
        <v>82</v>
      </c>
      <c r="D44" s="61" t="s">
        <v>40</v>
      </c>
      <c r="E44" s="63">
        <v>1320.9</v>
      </c>
      <c r="F44" s="64">
        <f>SUM(E44*2/1000)</f>
        <v>2.6418000000000004</v>
      </c>
      <c r="G44" s="35">
        <v>1114.1300000000001</v>
      </c>
      <c r="H44" s="65">
        <f t="shared" ref="H44:H52" si="7">SUM(F44*G44/1000)</f>
        <v>2.943308634000001</v>
      </c>
      <c r="I44" s="13">
        <f>2.6418/2*G44</f>
        <v>1471.654317</v>
      </c>
    </row>
    <row r="45" spans="1:9" hidden="1">
      <c r="A45" s="30">
        <v>13</v>
      </c>
      <c r="B45" s="61" t="s">
        <v>33</v>
      </c>
      <c r="C45" s="62" t="s">
        <v>82</v>
      </c>
      <c r="D45" s="61" t="s">
        <v>40</v>
      </c>
      <c r="E45" s="63">
        <v>52</v>
      </c>
      <c r="F45" s="64">
        <f>E45*2/1000</f>
        <v>0.104</v>
      </c>
      <c r="G45" s="35">
        <v>4419.05</v>
      </c>
      <c r="H45" s="65">
        <f t="shared" si="7"/>
        <v>0.45958120000000002</v>
      </c>
      <c r="I45" s="13">
        <f>0.104/2*G45</f>
        <v>229.79060000000001</v>
      </c>
    </row>
    <row r="46" spans="1:9" hidden="1">
      <c r="A46" s="30">
        <v>14</v>
      </c>
      <c r="B46" s="61" t="s">
        <v>34</v>
      </c>
      <c r="C46" s="62" t="s">
        <v>82</v>
      </c>
      <c r="D46" s="61" t="s">
        <v>40</v>
      </c>
      <c r="E46" s="63">
        <v>1520.8</v>
      </c>
      <c r="F46" s="64">
        <f>SUM(E46*2/1000)</f>
        <v>3.0415999999999999</v>
      </c>
      <c r="G46" s="35">
        <v>1803.69</v>
      </c>
      <c r="H46" s="65">
        <f t="shared" si="7"/>
        <v>5.4861035039999999</v>
      </c>
      <c r="I46" s="13">
        <f>3.0416/2*G46</f>
        <v>2743.0517519999999</v>
      </c>
    </row>
    <row r="47" spans="1:9" hidden="1">
      <c r="A47" s="30">
        <v>15</v>
      </c>
      <c r="B47" s="61" t="s">
        <v>35</v>
      </c>
      <c r="C47" s="62" t="s">
        <v>82</v>
      </c>
      <c r="D47" s="61" t="s">
        <v>40</v>
      </c>
      <c r="E47" s="63">
        <v>3433.81</v>
      </c>
      <c r="F47" s="64">
        <f>SUM(E47*2/1000)</f>
        <v>6.8676199999999996</v>
      </c>
      <c r="G47" s="35">
        <v>1243.43</v>
      </c>
      <c r="H47" s="65">
        <f t="shared" si="7"/>
        <v>8.5394047365999999</v>
      </c>
      <c r="I47" s="13">
        <f>6.86762/2*G47</f>
        <v>4269.7023682999998</v>
      </c>
    </row>
    <row r="48" spans="1:9" hidden="1">
      <c r="A48" s="30">
        <v>16</v>
      </c>
      <c r="B48" s="61" t="s">
        <v>53</v>
      </c>
      <c r="C48" s="62" t="s">
        <v>82</v>
      </c>
      <c r="D48" s="61" t="s">
        <v>125</v>
      </c>
      <c r="E48" s="63">
        <v>4731.7</v>
      </c>
      <c r="F48" s="64">
        <f>SUM(E48*5/1000)</f>
        <v>23.6585</v>
      </c>
      <c r="G48" s="35">
        <v>1803.69</v>
      </c>
      <c r="H48" s="65">
        <f t="shared" si="7"/>
        <v>42.672599865000002</v>
      </c>
      <c r="I48" s="13">
        <f>F48/5*G48</f>
        <v>8534.5199730000004</v>
      </c>
    </row>
    <row r="49" spans="1:9" ht="34.5" hidden="1" customHeight="1">
      <c r="A49" s="30">
        <v>10</v>
      </c>
      <c r="B49" s="61" t="s">
        <v>84</v>
      </c>
      <c r="C49" s="62" t="s">
        <v>82</v>
      </c>
      <c r="D49" s="61" t="s">
        <v>40</v>
      </c>
      <c r="E49" s="63">
        <v>4731.7</v>
      </c>
      <c r="F49" s="64">
        <f>SUM(E49*2/1000)</f>
        <v>9.4634</v>
      </c>
      <c r="G49" s="35">
        <v>1591.6</v>
      </c>
      <c r="H49" s="65">
        <f t="shared" si="7"/>
        <v>15.061947439999999</v>
      </c>
      <c r="I49" s="13">
        <f>9.4634/2*G49</f>
        <v>7530.97372</v>
      </c>
    </row>
    <row r="50" spans="1:9" ht="33.75" hidden="1" customHeight="1">
      <c r="A50" s="30">
        <v>11</v>
      </c>
      <c r="B50" s="61" t="s">
        <v>85</v>
      </c>
      <c r="C50" s="62" t="s">
        <v>36</v>
      </c>
      <c r="D50" s="61" t="s">
        <v>40</v>
      </c>
      <c r="E50" s="63">
        <v>20</v>
      </c>
      <c r="F50" s="64">
        <f>SUM(E50*2/100)</f>
        <v>0.4</v>
      </c>
      <c r="G50" s="35">
        <v>4058.32</v>
      </c>
      <c r="H50" s="65">
        <f>SUM(F50*G50/1000)</f>
        <v>1.6233280000000001</v>
      </c>
      <c r="I50" s="13">
        <f>0.4/2*G50</f>
        <v>811.6640000000001</v>
      </c>
    </row>
    <row r="51" spans="1:9" ht="16.5" hidden="1" customHeight="1">
      <c r="A51" s="30">
        <v>12</v>
      </c>
      <c r="B51" s="61" t="s">
        <v>37</v>
      </c>
      <c r="C51" s="62" t="s">
        <v>38</v>
      </c>
      <c r="D51" s="61" t="s">
        <v>40</v>
      </c>
      <c r="E51" s="63">
        <v>1</v>
      </c>
      <c r="F51" s="64">
        <v>0.02</v>
      </c>
      <c r="G51" s="35">
        <v>7412.92</v>
      </c>
      <c r="H51" s="65">
        <f t="shared" si="7"/>
        <v>0.14825839999999998</v>
      </c>
      <c r="I51" s="13">
        <f>0.02/2*G51</f>
        <v>74.129199999999997</v>
      </c>
    </row>
    <row r="52" spans="1:9" hidden="1">
      <c r="A52" s="30">
        <v>10</v>
      </c>
      <c r="B52" s="61" t="s">
        <v>39</v>
      </c>
      <c r="C52" s="62" t="s">
        <v>97</v>
      </c>
      <c r="D52" s="61" t="s">
        <v>51</v>
      </c>
      <c r="E52" s="63">
        <v>160</v>
      </c>
      <c r="F52" s="64">
        <f>SUM(E52)</f>
        <v>160</v>
      </c>
      <c r="G52" s="117">
        <v>86.15</v>
      </c>
      <c r="H52" s="65">
        <f t="shared" si="7"/>
        <v>13.784000000000001</v>
      </c>
      <c r="I52" s="13">
        <f>G52*160</f>
        <v>13784</v>
      </c>
    </row>
    <row r="53" spans="1:9">
      <c r="A53" s="221" t="s">
        <v>148</v>
      </c>
      <c r="B53" s="222"/>
      <c r="C53" s="222"/>
      <c r="D53" s="222"/>
      <c r="E53" s="222"/>
      <c r="F53" s="222"/>
      <c r="G53" s="222"/>
      <c r="H53" s="222"/>
      <c r="I53" s="223"/>
    </row>
    <row r="54" spans="1:9" hidden="1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45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8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8"/>
        <v>0.46268039999999994</v>
      </c>
      <c r="I57" s="13">
        <f>F57/6*G57</f>
        <v>77.113399999999999</v>
      </c>
    </row>
    <row r="58" spans="1:9" hidden="1">
      <c r="A58" s="30">
        <v>11</v>
      </c>
      <c r="B58" s="61" t="s">
        <v>136</v>
      </c>
      <c r="C58" s="62" t="s">
        <v>137</v>
      </c>
      <c r="D58" s="61" t="s">
        <v>63</v>
      </c>
      <c r="E58" s="63"/>
      <c r="F58" s="64">
        <v>3</v>
      </c>
      <c r="G58" s="13">
        <v>1582.05</v>
      </c>
      <c r="H58" s="65">
        <f>SUM(F58*G58/1000)</f>
        <v>4.7461499999999992</v>
      </c>
      <c r="I58" s="13">
        <f>G58*10</f>
        <v>15820.5</v>
      </c>
    </row>
    <row r="59" spans="1:9" ht="16.5" customHeight="1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138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 ht="17.25" customHeight="1">
      <c r="A61" s="30">
        <v>7</v>
      </c>
      <c r="B61" s="70" t="s">
        <v>108</v>
      </c>
      <c r="C61" s="71" t="s">
        <v>25</v>
      </c>
      <c r="D61" s="70" t="s">
        <v>173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15.75" hidden="1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15" hidden="1" customHeight="1">
      <c r="A63" s="30">
        <v>9</v>
      </c>
      <c r="B63" s="14" t="s">
        <v>44</v>
      </c>
      <c r="C63" s="16" t="s">
        <v>97</v>
      </c>
      <c r="D63" s="44" t="s">
        <v>173</v>
      </c>
      <c r="E63" s="18">
        <v>10</v>
      </c>
      <c r="F63" s="64">
        <f>SUM(E63)</f>
        <v>10</v>
      </c>
      <c r="G63" s="115">
        <v>318.82</v>
      </c>
      <c r="H63" s="76">
        <f t="shared" ref="H63:H82" si="9">SUM(F63*G63/1000)</f>
        <v>3.1881999999999997</v>
      </c>
      <c r="I63" s="13">
        <f>G63*1</f>
        <v>318.82</v>
      </c>
    </row>
    <row r="64" spans="1:9" hidden="1">
      <c r="A64" s="30"/>
      <c r="B64" s="14" t="s">
        <v>45</v>
      </c>
      <c r="C64" s="16" t="s">
        <v>97</v>
      </c>
      <c r="D64" s="14" t="s">
        <v>63</v>
      </c>
      <c r="E64" s="18">
        <v>9</v>
      </c>
      <c r="F64" s="64">
        <f>SUM(E64)</f>
        <v>9</v>
      </c>
      <c r="G64" s="13">
        <v>100.01</v>
      </c>
      <c r="H64" s="76">
        <f t="shared" si="9"/>
        <v>0.90009000000000006</v>
      </c>
      <c r="I64" s="13">
        <v>0</v>
      </c>
    </row>
    <row r="65" spans="1:9" hidden="1">
      <c r="A65" s="30">
        <v>16</v>
      </c>
      <c r="B65" s="14" t="s">
        <v>46</v>
      </c>
      <c r="C65" s="16" t="s">
        <v>99</v>
      </c>
      <c r="D65" s="14" t="s">
        <v>51</v>
      </c>
      <c r="E65" s="63">
        <v>19836</v>
      </c>
      <c r="F65" s="13">
        <f>SUM(E65/100)</f>
        <v>198.36</v>
      </c>
      <c r="G65" s="13">
        <v>278.24</v>
      </c>
      <c r="H65" s="76">
        <f t="shared" si="9"/>
        <v>55.191686400000009</v>
      </c>
      <c r="I65" s="13">
        <f>F65*G65</f>
        <v>55191.686400000006</v>
      </c>
    </row>
    <row r="66" spans="1:9" hidden="1">
      <c r="A66" s="30">
        <v>27</v>
      </c>
      <c r="B66" s="14" t="s">
        <v>47</v>
      </c>
      <c r="C66" s="16" t="s">
        <v>100</v>
      </c>
      <c r="D66" s="14"/>
      <c r="E66" s="63">
        <v>19836</v>
      </c>
      <c r="F66" s="13">
        <f>SUM(E66/1000)</f>
        <v>19.835999999999999</v>
      </c>
      <c r="G66" s="13">
        <v>216.68</v>
      </c>
      <c r="H66" s="76">
        <f t="shared" si="9"/>
        <v>4.2980644799999999</v>
      </c>
      <c r="I66" s="13">
        <f t="shared" ref="I66:I70" si="10">F66*G66</f>
        <v>4298.06448</v>
      </c>
    </row>
    <row r="67" spans="1:9" hidden="1">
      <c r="A67" s="30">
        <v>28</v>
      </c>
      <c r="B67" s="14" t="s">
        <v>48</v>
      </c>
      <c r="C67" s="16" t="s">
        <v>71</v>
      </c>
      <c r="D67" s="14" t="s">
        <v>51</v>
      </c>
      <c r="E67" s="63">
        <v>3155</v>
      </c>
      <c r="F67" s="13">
        <f>SUM(E67/100)</f>
        <v>31.55</v>
      </c>
      <c r="G67" s="13">
        <v>2720.94</v>
      </c>
      <c r="H67" s="76">
        <f t="shared" si="9"/>
        <v>85.845657000000003</v>
      </c>
      <c r="I67" s="13">
        <f t="shared" si="10"/>
        <v>85845.657000000007</v>
      </c>
    </row>
    <row r="68" spans="1:9" hidden="1">
      <c r="A68" s="30">
        <v>29</v>
      </c>
      <c r="B68" s="77" t="s">
        <v>101</v>
      </c>
      <c r="C68" s="16" t="s">
        <v>32</v>
      </c>
      <c r="D68" s="14"/>
      <c r="E68" s="63">
        <v>34.5</v>
      </c>
      <c r="F68" s="13">
        <f>SUM(E68)</f>
        <v>34.5</v>
      </c>
      <c r="G68" s="13">
        <v>44.31</v>
      </c>
      <c r="H68" s="76">
        <f t="shared" si="9"/>
        <v>1.5286950000000001</v>
      </c>
      <c r="I68" s="13">
        <f t="shared" si="10"/>
        <v>1528.6950000000002</v>
      </c>
    </row>
    <row r="69" spans="1:9" hidden="1">
      <c r="A69" s="30">
        <v>30</v>
      </c>
      <c r="B69" s="77" t="s">
        <v>102</v>
      </c>
      <c r="C69" s="16" t="s">
        <v>32</v>
      </c>
      <c r="D69" s="14"/>
      <c r="E69" s="63">
        <v>34.5</v>
      </c>
      <c r="F69" s="13">
        <f t="shared" ref="F69:F70" si="11">SUM(E69)</f>
        <v>34.5</v>
      </c>
      <c r="G69" s="13">
        <v>47.79</v>
      </c>
      <c r="H69" s="76">
        <f t="shared" si="9"/>
        <v>1.648755</v>
      </c>
      <c r="I69" s="13">
        <f t="shared" si="10"/>
        <v>1648.7549999999999</v>
      </c>
    </row>
    <row r="70" spans="1:9" hidden="1">
      <c r="A70" s="30">
        <v>19</v>
      </c>
      <c r="B70" s="14" t="s">
        <v>54</v>
      </c>
      <c r="C70" s="16" t="s">
        <v>55</v>
      </c>
      <c r="D70" s="14" t="s">
        <v>51</v>
      </c>
      <c r="E70" s="18">
        <v>5</v>
      </c>
      <c r="F70" s="13">
        <f t="shared" si="11"/>
        <v>5</v>
      </c>
      <c r="G70" s="13">
        <v>65.42</v>
      </c>
      <c r="H70" s="76">
        <f t="shared" si="9"/>
        <v>0.3271</v>
      </c>
      <c r="I70" s="13">
        <f t="shared" si="10"/>
        <v>327.10000000000002</v>
      </c>
    </row>
    <row r="71" spans="1:9" hidden="1">
      <c r="A71" s="30">
        <v>10</v>
      </c>
      <c r="B71" s="36" t="s">
        <v>196</v>
      </c>
      <c r="C71" s="168"/>
      <c r="D71" s="36" t="s">
        <v>202</v>
      </c>
      <c r="E71" s="17">
        <v>12</v>
      </c>
      <c r="F71" s="35">
        <f>E71*1</f>
        <v>12</v>
      </c>
      <c r="G71" s="35">
        <v>968.66</v>
      </c>
      <c r="H71" s="76"/>
      <c r="I71" s="13">
        <f>G71*6</f>
        <v>5811.96</v>
      </c>
    </row>
    <row r="72" spans="1:9" ht="15.75" customHeight="1">
      <c r="A72" s="30"/>
      <c r="B72" s="95" t="s">
        <v>139</v>
      </c>
      <c r="C72" s="49"/>
      <c r="D72" s="14"/>
      <c r="E72" s="18"/>
      <c r="F72" s="13"/>
      <c r="G72" s="13"/>
      <c r="H72" s="76"/>
      <c r="I72" s="13"/>
    </row>
    <row r="73" spans="1:9" ht="18.75" customHeight="1">
      <c r="A73" s="30">
        <v>8</v>
      </c>
      <c r="B73" s="36" t="s">
        <v>140</v>
      </c>
      <c r="C73" s="176" t="s">
        <v>141</v>
      </c>
      <c r="D73" s="36"/>
      <c r="E73" s="17">
        <v>4731.7</v>
      </c>
      <c r="F73" s="35">
        <f>SUM(E73*12)</f>
        <v>56780.399999999994</v>
      </c>
      <c r="G73" s="35">
        <v>2.4900000000000002</v>
      </c>
      <c r="H73" s="76">
        <f t="shared" ref="H73" si="12">SUM(F73*G73/1000)</f>
        <v>141.383196</v>
      </c>
      <c r="I73" s="13">
        <f>F73/12*G73</f>
        <v>11781.933000000001</v>
      </c>
    </row>
    <row r="74" spans="1:9" ht="15" customHeight="1">
      <c r="A74" s="30"/>
      <c r="B74" s="198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0">
      <c r="A75" s="30">
        <v>9</v>
      </c>
      <c r="B75" s="14" t="s">
        <v>142</v>
      </c>
      <c r="C75" s="16" t="s">
        <v>97</v>
      </c>
      <c r="D75" s="14" t="s">
        <v>319</v>
      </c>
      <c r="E75" s="18">
        <v>1</v>
      </c>
      <c r="F75" s="13">
        <v>1</v>
      </c>
      <c r="G75" s="35">
        <v>2151.87</v>
      </c>
      <c r="H75" s="76">
        <f t="shared" ref="H75:H78" si="13">SUM(F75*G75/1000)</f>
        <v>2.1518699999999997</v>
      </c>
      <c r="I75" s="13">
        <f>G75*1</f>
        <v>2151.87</v>
      </c>
    </row>
    <row r="76" spans="1:9" hidden="1">
      <c r="A76" s="30">
        <v>19</v>
      </c>
      <c r="B76" s="47" t="s">
        <v>143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idden="1">
      <c r="A77" s="30">
        <v>13</v>
      </c>
      <c r="B77" s="14" t="s">
        <v>68</v>
      </c>
      <c r="C77" s="16" t="s">
        <v>69</v>
      </c>
      <c r="D77" s="44" t="s">
        <v>63</v>
      </c>
      <c r="E77" s="18">
        <v>8</v>
      </c>
      <c r="F77" s="13">
        <f>E77/10</f>
        <v>0.8</v>
      </c>
      <c r="G77" s="13">
        <v>657.87</v>
      </c>
      <c r="H77" s="76">
        <f t="shared" si="13"/>
        <v>0.5262960000000001</v>
      </c>
      <c r="I77" s="13">
        <f>G77*0.2</f>
        <v>131.57400000000001</v>
      </c>
    </row>
    <row r="78" spans="1:9" hidden="1">
      <c r="A78" s="30"/>
      <c r="B78" s="14" t="s">
        <v>144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3"/>
        <v>1.1187199999999999</v>
      </c>
      <c r="I78" s="13">
        <v>0</v>
      </c>
    </row>
    <row r="79" spans="1:9" hidden="1">
      <c r="A79" s="30"/>
      <c r="B79" s="47" t="s">
        <v>145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 ht="17.25" customHeight="1">
      <c r="A80" s="30">
        <v>10</v>
      </c>
      <c r="B80" s="105" t="s">
        <v>146</v>
      </c>
      <c r="C80" s="106" t="s">
        <v>97</v>
      </c>
      <c r="D80" s="36" t="s">
        <v>173</v>
      </c>
      <c r="E80" s="177">
        <v>2</v>
      </c>
      <c r="F80" s="175">
        <f>E80*12</f>
        <v>24</v>
      </c>
      <c r="G80" s="167">
        <v>404</v>
      </c>
      <c r="H80" s="76">
        <f t="shared" ref="H80" si="14">SUM(F80*G80/1000)</f>
        <v>9.6959999999999997</v>
      </c>
      <c r="I80" s="13">
        <f>F80/12*G80</f>
        <v>808</v>
      </c>
    </row>
    <row r="81" spans="1:9" hidden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idden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9"/>
        <v>1.0857270000000001</v>
      </c>
      <c r="I82" s="13">
        <v>0</v>
      </c>
    </row>
    <row r="83" spans="1:9" ht="28.5" hidden="1">
      <c r="A83" s="30"/>
      <c r="B83" s="96" t="s">
        <v>86</v>
      </c>
      <c r="C83" s="79"/>
      <c r="D83" s="32"/>
      <c r="E83" s="33"/>
      <c r="F83" s="67"/>
      <c r="G83" s="67"/>
      <c r="H83" s="80">
        <f>SUM(H55:H82)</f>
        <v>341.46445024000002</v>
      </c>
      <c r="I83" s="67"/>
    </row>
    <row r="84" spans="1:9" hidden="1">
      <c r="A84" s="30"/>
      <c r="B84" s="61" t="s">
        <v>103</v>
      </c>
      <c r="C84" s="16"/>
      <c r="D84" s="14"/>
      <c r="E84" s="57"/>
      <c r="F84" s="13">
        <v>1</v>
      </c>
      <c r="G84" s="13">
        <v>20512</v>
      </c>
      <c r="H84" s="76">
        <f>G84*F84/1000</f>
        <v>20.512</v>
      </c>
      <c r="I84" s="13">
        <v>0</v>
      </c>
    </row>
    <row r="85" spans="1:9">
      <c r="A85" s="230" t="s">
        <v>149</v>
      </c>
      <c r="B85" s="231"/>
      <c r="C85" s="231"/>
      <c r="D85" s="231"/>
      <c r="E85" s="231"/>
      <c r="F85" s="231"/>
      <c r="G85" s="231"/>
      <c r="H85" s="231"/>
      <c r="I85" s="232"/>
    </row>
    <row r="86" spans="1:9" ht="15" customHeight="1">
      <c r="A86" s="30">
        <v>11</v>
      </c>
      <c r="B86" s="113" t="s">
        <v>104</v>
      </c>
      <c r="C86" s="168" t="s">
        <v>52</v>
      </c>
      <c r="D86" s="169"/>
      <c r="E86" s="35">
        <v>4731.7</v>
      </c>
      <c r="F86" s="35">
        <f>SUM(E86*12)</f>
        <v>56780.399999999994</v>
      </c>
      <c r="G86" s="35">
        <v>3.38</v>
      </c>
      <c r="H86" s="76">
        <f>SUM(F86*G86/1000)</f>
        <v>191.91775199999998</v>
      </c>
      <c r="I86" s="13">
        <f>F86/12*G86</f>
        <v>15993.145999999999</v>
      </c>
    </row>
    <row r="87" spans="1:9" ht="30.75" customHeight="1">
      <c r="A87" s="30">
        <v>12</v>
      </c>
      <c r="B87" s="36" t="s">
        <v>72</v>
      </c>
      <c r="C87" s="168"/>
      <c r="D87" s="48"/>
      <c r="E87" s="165">
        <f>E86</f>
        <v>4731.7</v>
      </c>
      <c r="F87" s="35">
        <f>E87*12</f>
        <v>56780.399999999994</v>
      </c>
      <c r="G87" s="35">
        <v>3.05</v>
      </c>
      <c r="H87" s="76">
        <f>F87*G87/1000</f>
        <v>173.18021999999996</v>
      </c>
      <c r="I87" s="13">
        <f>F87/12*G87</f>
        <v>14431.684999999999</v>
      </c>
    </row>
    <row r="88" spans="1:9">
      <c r="A88" s="30"/>
      <c r="B88" s="37" t="s">
        <v>74</v>
      </c>
      <c r="C88" s="79"/>
      <c r="D88" s="78"/>
      <c r="E88" s="67"/>
      <c r="F88" s="67"/>
      <c r="G88" s="67"/>
      <c r="H88" s="80">
        <f>H87</f>
        <v>173.18021999999996</v>
      </c>
      <c r="I88" s="67">
        <f>I87+I86+I80+I75+I73+I61+I32+I30+I29+I18+I17+I16</f>
        <v>63587.55771516668</v>
      </c>
    </row>
    <row r="89" spans="1:9">
      <c r="A89" s="227" t="s">
        <v>57</v>
      </c>
      <c r="B89" s="228"/>
      <c r="C89" s="228"/>
      <c r="D89" s="228"/>
      <c r="E89" s="228"/>
      <c r="F89" s="228"/>
      <c r="G89" s="228"/>
      <c r="H89" s="228"/>
      <c r="I89" s="229"/>
    </row>
    <row r="90" spans="1:9" ht="45">
      <c r="A90" s="30">
        <v>13</v>
      </c>
      <c r="B90" s="105" t="s">
        <v>183</v>
      </c>
      <c r="C90" s="106" t="s">
        <v>152</v>
      </c>
      <c r="D90" s="192" t="s">
        <v>317</v>
      </c>
      <c r="E90" s="167"/>
      <c r="F90" s="167">
        <v>3</v>
      </c>
      <c r="G90" s="167">
        <v>614.47</v>
      </c>
      <c r="H90" s="38"/>
      <c r="I90" s="104">
        <f>G90*1</f>
        <v>614.47</v>
      </c>
    </row>
    <row r="91" spans="1:9">
      <c r="A91" s="30">
        <v>14</v>
      </c>
      <c r="B91" s="105" t="s">
        <v>312</v>
      </c>
      <c r="C91" s="106" t="s">
        <v>212</v>
      </c>
      <c r="D91" s="192"/>
      <c r="E91" s="167"/>
      <c r="F91" s="167">
        <v>1</v>
      </c>
      <c r="G91" s="167">
        <v>9415.74</v>
      </c>
      <c r="H91" s="38"/>
      <c r="I91" s="30">
        <f>G91*1</f>
        <v>9415.74</v>
      </c>
    </row>
    <row r="92" spans="1:9">
      <c r="A92" s="30">
        <v>15</v>
      </c>
      <c r="B92" s="105" t="s">
        <v>150</v>
      </c>
      <c r="C92" s="106" t="s">
        <v>120</v>
      </c>
      <c r="D92" s="192" t="s">
        <v>316</v>
      </c>
      <c r="E92" s="167"/>
      <c r="F92" s="167">
        <v>20</v>
      </c>
      <c r="G92" s="167">
        <v>295.36</v>
      </c>
      <c r="H92" s="38"/>
      <c r="I92" s="104">
        <v>0</v>
      </c>
    </row>
    <row r="93" spans="1:9">
      <c r="A93" s="30">
        <v>16</v>
      </c>
      <c r="B93" s="105" t="s">
        <v>190</v>
      </c>
      <c r="C93" s="106" t="s">
        <v>38</v>
      </c>
      <c r="D93" s="192" t="s">
        <v>318</v>
      </c>
      <c r="E93" s="167"/>
      <c r="F93" s="167">
        <v>0.03</v>
      </c>
      <c r="G93" s="167">
        <v>28224.75</v>
      </c>
      <c r="H93" s="38"/>
      <c r="I93" s="211">
        <v>0</v>
      </c>
    </row>
    <row r="94" spans="1:9" ht="30">
      <c r="A94" s="30">
        <v>17</v>
      </c>
      <c r="B94" s="105" t="s">
        <v>313</v>
      </c>
      <c r="C94" s="106" t="s">
        <v>314</v>
      </c>
      <c r="D94" s="192" t="s">
        <v>315</v>
      </c>
      <c r="E94" s="167"/>
      <c r="F94" s="167">
        <v>1</v>
      </c>
      <c r="G94" s="167">
        <v>244.17</v>
      </c>
      <c r="H94" s="38"/>
      <c r="I94" s="104">
        <f>G94*1</f>
        <v>244.17</v>
      </c>
    </row>
    <row r="95" spans="1:9" ht="18.75" customHeight="1">
      <c r="A95" s="30"/>
      <c r="B95" s="32" t="s">
        <v>49</v>
      </c>
      <c r="C95" s="38"/>
      <c r="D95" s="45"/>
      <c r="E95" s="38">
        <v>1</v>
      </c>
      <c r="F95" s="38"/>
      <c r="G95" s="38"/>
      <c r="H95" s="38"/>
      <c r="I95" s="33">
        <f>SUM(I90:I94)</f>
        <v>10274.379999999999</v>
      </c>
    </row>
    <row r="96" spans="1:9">
      <c r="A96" s="30"/>
      <c r="B96" s="44" t="s">
        <v>73</v>
      </c>
      <c r="C96" s="15"/>
      <c r="D96" s="15"/>
      <c r="E96" s="39"/>
      <c r="F96" s="39"/>
      <c r="G96" s="40"/>
      <c r="H96" s="40"/>
      <c r="I96" s="17">
        <v>0</v>
      </c>
    </row>
    <row r="97" spans="1:9">
      <c r="A97" s="46"/>
      <c r="B97" s="43" t="s">
        <v>131</v>
      </c>
      <c r="C97" s="34"/>
      <c r="D97" s="34"/>
      <c r="E97" s="34"/>
      <c r="F97" s="34"/>
      <c r="G97" s="34"/>
      <c r="H97" s="34"/>
      <c r="I97" s="41">
        <f>I88+I95</f>
        <v>73861.937715166685</v>
      </c>
    </row>
    <row r="98" spans="1:9" ht="15.75">
      <c r="A98" s="224" t="s">
        <v>320</v>
      </c>
      <c r="B98" s="224"/>
      <c r="C98" s="224"/>
      <c r="D98" s="224"/>
      <c r="E98" s="224"/>
      <c r="F98" s="224"/>
      <c r="G98" s="224"/>
      <c r="H98" s="224"/>
      <c r="I98" s="224"/>
    </row>
    <row r="99" spans="1:9" ht="15.75">
      <c r="A99" s="55"/>
      <c r="B99" s="225" t="s">
        <v>321</v>
      </c>
      <c r="C99" s="225"/>
      <c r="D99" s="225"/>
      <c r="E99" s="225"/>
      <c r="F99" s="225"/>
      <c r="G99" s="225"/>
      <c r="H99" s="60"/>
      <c r="I99" s="3"/>
    </row>
    <row r="100" spans="1:9">
      <c r="A100" s="145"/>
      <c r="B100" s="215" t="s">
        <v>6</v>
      </c>
      <c r="C100" s="215"/>
      <c r="D100" s="215"/>
      <c r="E100" s="215"/>
      <c r="F100" s="215"/>
      <c r="G100" s="215"/>
      <c r="H100" s="25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226" t="s">
        <v>7</v>
      </c>
      <c r="B102" s="226"/>
      <c r="C102" s="226"/>
      <c r="D102" s="226"/>
      <c r="E102" s="226"/>
      <c r="F102" s="226"/>
      <c r="G102" s="226"/>
      <c r="H102" s="226"/>
      <c r="I102" s="226"/>
    </row>
    <row r="103" spans="1:9" ht="15.75">
      <c r="A103" s="226" t="s">
        <v>8</v>
      </c>
      <c r="B103" s="226"/>
      <c r="C103" s="226"/>
      <c r="D103" s="226"/>
      <c r="E103" s="226"/>
      <c r="F103" s="226"/>
      <c r="G103" s="226"/>
      <c r="H103" s="226"/>
      <c r="I103" s="226"/>
    </row>
    <row r="104" spans="1:9" ht="15.75">
      <c r="A104" s="219" t="s">
        <v>58</v>
      </c>
      <c r="B104" s="219"/>
      <c r="C104" s="219"/>
      <c r="D104" s="219"/>
      <c r="E104" s="219"/>
      <c r="F104" s="219"/>
      <c r="G104" s="219"/>
      <c r="H104" s="219"/>
      <c r="I104" s="219"/>
    </row>
    <row r="105" spans="1:9" ht="15.75">
      <c r="A105" s="11"/>
    </row>
    <row r="106" spans="1:9" ht="15.75">
      <c r="A106" s="213" t="s">
        <v>9</v>
      </c>
      <c r="B106" s="213"/>
      <c r="C106" s="213"/>
      <c r="D106" s="213"/>
      <c r="E106" s="213"/>
      <c r="F106" s="213"/>
      <c r="G106" s="213"/>
      <c r="H106" s="213"/>
      <c r="I106" s="213"/>
    </row>
    <row r="107" spans="1:9" ht="15.75">
      <c r="A107" s="4"/>
    </row>
    <row r="108" spans="1:9" ht="15.75">
      <c r="B108" s="146" t="s">
        <v>10</v>
      </c>
      <c r="C108" s="214" t="s">
        <v>201</v>
      </c>
      <c r="D108" s="214"/>
      <c r="E108" s="214"/>
      <c r="F108" s="58"/>
      <c r="I108" s="144"/>
    </row>
    <row r="109" spans="1:9">
      <c r="A109" s="145"/>
      <c r="C109" s="215" t="s">
        <v>11</v>
      </c>
      <c r="D109" s="215"/>
      <c r="E109" s="215"/>
      <c r="F109" s="25"/>
      <c r="I109" s="143" t="s">
        <v>12</v>
      </c>
    </row>
    <row r="110" spans="1:9" ht="15.75">
      <c r="A110" s="26"/>
      <c r="C110" s="12"/>
      <c r="D110" s="12"/>
      <c r="G110" s="12"/>
      <c r="H110" s="12"/>
    </row>
    <row r="111" spans="1:9" ht="15.75">
      <c r="B111" s="146" t="s">
        <v>13</v>
      </c>
      <c r="C111" s="216"/>
      <c r="D111" s="216"/>
      <c r="E111" s="216"/>
      <c r="F111" s="59"/>
      <c r="I111" s="144"/>
    </row>
    <row r="112" spans="1:9">
      <c r="A112" s="145"/>
      <c r="C112" s="217" t="s">
        <v>11</v>
      </c>
      <c r="D112" s="217"/>
      <c r="E112" s="217"/>
      <c r="F112" s="145"/>
      <c r="I112" s="143" t="s">
        <v>12</v>
      </c>
    </row>
    <row r="113" spans="1:9" ht="15.75">
      <c r="A113" s="4" t="s">
        <v>14</v>
      </c>
    </row>
    <row r="114" spans="1:9">
      <c r="A114" s="218" t="s">
        <v>15</v>
      </c>
      <c r="B114" s="218"/>
      <c r="C114" s="218"/>
      <c r="D114" s="218"/>
      <c r="E114" s="218"/>
      <c r="F114" s="218"/>
      <c r="G114" s="218"/>
      <c r="H114" s="218"/>
      <c r="I114" s="218"/>
    </row>
    <row r="115" spans="1:9" ht="40.5" customHeight="1">
      <c r="A115" s="212" t="s">
        <v>16</v>
      </c>
      <c r="B115" s="212"/>
      <c r="C115" s="212"/>
      <c r="D115" s="212"/>
      <c r="E115" s="212"/>
      <c r="F115" s="212"/>
      <c r="G115" s="212"/>
      <c r="H115" s="212"/>
      <c r="I115" s="212"/>
    </row>
    <row r="116" spans="1:9" ht="33.75" customHeight="1">
      <c r="A116" s="212" t="s">
        <v>17</v>
      </c>
      <c r="B116" s="212"/>
      <c r="C116" s="212"/>
      <c r="D116" s="212"/>
      <c r="E116" s="212"/>
      <c r="F116" s="212"/>
      <c r="G116" s="212"/>
      <c r="H116" s="212"/>
      <c r="I116" s="212"/>
    </row>
    <row r="117" spans="1:9" ht="36" customHeight="1">
      <c r="A117" s="212" t="s">
        <v>21</v>
      </c>
      <c r="B117" s="212"/>
      <c r="C117" s="212"/>
      <c r="D117" s="212"/>
      <c r="E117" s="212"/>
      <c r="F117" s="212"/>
      <c r="G117" s="212"/>
      <c r="H117" s="212"/>
      <c r="I117" s="212"/>
    </row>
    <row r="118" spans="1:9" ht="15.75">
      <c r="A118" s="212" t="s">
        <v>20</v>
      </c>
      <c r="B118" s="212"/>
      <c r="C118" s="212"/>
      <c r="D118" s="212"/>
      <c r="E118" s="212"/>
      <c r="F118" s="212"/>
      <c r="G118" s="212"/>
      <c r="H118" s="212"/>
      <c r="I118" s="212"/>
    </row>
  </sheetData>
  <mergeCells count="28">
    <mergeCell ref="A89:I89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3:I53"/>
    <mergeCell ref="A85:I85"/>
    <mergeCell ref="C112:E112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114:I114"/>
    <mergeCell ref="A115:I115"/>
    <mergeCell ref="A116:I116"/>
    <mergeCell ref="A117:I117"/>
    <mergeCell ref="A118:I118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3"/>
  <sheetViews>
    <sheetView topLeftCell="A82" workbookViewId="0">
      <selection activeCell="K100" sqref="K100"/>
    </sheetView>
  </sheetViews>
  <sheetFormatPr defaultRowHeight="15"/>
  <cols>
    <col min="1" max="1" width="11.28515625" customWidth="1"/>
    <col min="2" max="2" width="47.140625" customWidth="1"/>
    <col min="3" max="3" width="15.28515625" customWidth="1"/>
    <col min="4" max="4" width="22.28515625" customWidth="1"/>
    <col min="5" max="5" width="12.42578125" hidden="1" customWidth="1"/>
    <col min="6" max="6" width="13" hidden="1" customWidth="1"/>
    <col min="7" max="7" width="13.85546875" customWidth="1"/>
    <col min="8" max="8" width="0" hidden="1" customWidth="1"/>
    <col min="9" max="9" width="15" customWidth="1"/>
  </cols>
  <sheetData>
    <row r="1" spans="1:9" ht="15.75">
      <c r="A1" s="28" t="s">
        <v>158</v>
      </c>
      <c r="I1" s="27"/>
    </row>
    <row r="2" spans="1:9" ht="15.75">
      <c r="A2" s="29" t="s">
        <v>59</v>
      </c>
    </row>
    <row r="3" spans="1:9" ht="15.75">
      <c r="A3" s="233" t="s">
        <v>164</v>
      </c>
      <c r="B3" s="233"/>
      <c r="C3" s="233"/>
      <c r="D3" s="233"/>
      <c r="E3" s="233"/>
      <c r="F3" s="233"/>
      <c r="G3" s="233"/>
      <c r="H3" s="233"/>
      <c r="I3" s="233"/>
    </row>
    <row r="4" spans="1:9" ht="31.5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322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49"/>
      <c r="C6" s="149"/>
      <c r="D6" s="149"/>
      <c r="E6" s="149"/>
      <c r="F6" s="149"/>
      <c r="G6" s="149"/>
      <c r="H6" s="149"/>
      <c r="I6" s="31">
        <v>44530</v>
      </c>
    </row>
    <row r="7" spans="1:9" ht="15.75">
      <c r="B7" s="151"/>
      <c r="C7" s="151"/>
      <c r="D7" s="151"/>
      <c r="E7" s="3"/>
      <c r="F7" s="3"/>
      <c r="G7" s="3"/>
      <c r="H7" s="3"/>
    </row>
    <row r="8" spans="1:9" ht="102" customHeight="1">
      <c r="A8" s="236" t="s">
        <v>203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72.75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83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</row>
    <row r="16" spans="1:9" ht="18" customHeight="1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21.75" customHeight="1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9.5" customHeight="1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idden="1">
      <c r="A20" s="30">
        <v>4</v>
      </c>
      <c r="B20" s="113" t="s">
        <v>90</v>
      </c>
      <c r="C20" s="114" t="s">
        <v>80</v>
      </c>
      <c r="D20" s="113" t="s">
        <v>173</v>
      </c>
      <c r="E20" s="165">
        <v>14</v>
      </c>
      <c r="F20" s="116">
        <f>SUM(E20*2/100)</f>
        <v>0.28000000000000003</v>
      </c>
      <c r="G20" s="116">
        <v>312.35000000000002</v>
      </c>
      <c r="H20" s="65">
        <f t="shared" si="0"/>
        <v>8.7458000000000008E-2</v>
      </c>
      <c r="I20" s="13">
        <f>F20/2*G20</f>
        <v>43.729000000000006</v>
      </c>
    </row>
    <row r="21" spans="1:9" hidden="1">
      <c r="A21" s="30">
        <v>5</v>
      </c>
      <c r="B21" s="61" t="s">
        <v>91</v>
      </c>
      <c r="C21" s="62" t="s">
        <v>80</v>
      </c>
      <c r="D21" s="61" t="s">
        <v>173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t="30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7.25" hidden="1" customHeight="1">
      <c r="A26" s="30">
        <v>4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 hidden="1">
      <c r="A27" s="30">
        <v>5</v>
      </c>
      <c r="B27" s="69" t="s">
        <v>23</v>
      </c>
      <c r="C27" s="62" t="s">
        <v>24</v>
      </c>
      <c r="D27" s="61"/>
      <c r="E27" s="63">
        <v>4731.7</v>
      </c>
      <c r="F27" s="64">
        <f>SUM(E27*12)</f>
        <v>56780.399999999994</v>
      </c>
      <c r="G27" s="64">
        <v>4.5199999999999996</v>
      </c>
      <c r="H27" s="65">
        <f>SUM(F27*G27/1000)</f>
        <v>256.64740799999993</v>
      </c>
      <c r="I27" s="13">
        <f>F27/12*G27</f>
        <v>21387.283999999996</v>
      </c>
    </row>
    <row r="28" spans="1:9" ht="15.75" customHeight="1">
      <c r="A28" s="220" t="s">
        <v>78</v>
      </c>
      <c r="B28" s="220"/>
      <c r="C28" s="220"/>
      <c r="D28" s="220"/>
      <c r="E28" s="220"/>
      <c r="F28" s="220"/>
      <c r="G28" s="220"/>
      <c r="H28" s="220"/>
      <c r="I28" s="220"/>
    </row>
    <row r="29" spans="1:9" ht="33.75" hidden="1" customHeight="1">
      <c r="A29" s="30"/>
      <c r="B29" s="81" t="s">
        <v>28</v>
      </c>
      <c r="C29" s="62"/>
      <c r="D29" s="61"/>
      <c r="E29" s="63"/>
      <c r="F29" s="64"/>
      <c r="G29" s="64"/>
      <c r="H29" s="65"/>
      <c r="I29" s="13"/>
    </row>
    <row r="30" spans="1:9" ht="31.5" hidden="1" customHeight="1">
      <c r="A30" s="30">
        <v>6</v>
      </c>
      <c r="B30" s="61" t="s">
        <v>96</v>
      </c>
      <c r="C30" s="62" t="s">
        <v>82</v>
      </c>
      <c r="D30" s="61" t="s">
        <v>129</v>
      </c>
      <c r="E30" s="64">
        <v>436.6</v>
      </c>
      <c r="F30" s="64">
        <f>SUM(E30*52/1000)</f>
        <v>22.703200000000002</v>
      </c>
      <c r="G30" s="116">
        <v>204.44</v>
      </c>
      <c r="H30" s="65">
        <f t="shared" ref="H30:H36" si="2">SUM(F30*G30/1000)</f>
        <v>4.641442208</v>
      </c>
      <c r="I30" s="13">
        <f>F30/6*G30</f>
        <v>773.57370133333336</v>
      </c>
    </row>
    <row r="31" spans="1:9" ht="25.5" hidden="1" customHeight="1">
      <c r="A31" s="30">
        <v>7</v>
      </c>
      <c r="B31" s="61" t="s">
        <v>107</v>
      </c>
      <c r="C31" s="62" t="s">
        <v>82</v>
      </c>
      <c r="D31" s="61" t="s">
        <v>130</v>
      </c>
      <c r="E31" s="64">
        <v>54.4</v>
      </c>
      <c r="F31" s="64">
        <f>SUM(E31*78/1000)</f>
        <v>4.2431999999999999</v>
      </c>
      <c r="G31" s="116">
        <v>339.21</v>
      </c>
      <c r="H31" s="65">
        <f t="shared" si="2"/>
        <v>1.4393358719999998</v>
      </c>
      <c r="I31" s="13">
        <f t="shared" ref="I31:I34" si="3">F31/6*G31</f>
        <v>239.88931199999996</v>
      </c>
    </row>
    <row r="32" spans="1:9" ht="24.75" hidden="1" customHeight="1">
      <c r="A32" s="30">
        <v>15</v>
      </c>
      <c r="B32" s="61" t="s">
        <v>27</v>
      </c>
      <c r="C32" s="62" t="s">
        <v>82</v>
      </c>
      <c r="D32" s="61" t="s">
        <v>51</v>
      </c>
      <c r="E32" s="64">
        <v>436.6</v>
      </c>
      <c r="F32" s="64">
        <f>SUM(E32/1000)</f>
        <v>0.43660000000000004</v>
      </c>
      <c r="G32" s="116">
        <v>3961.23</v>
      </c>
      <c r="H32" s="65">
        <f t="shared" si="2"/>
        <v>1.7294730180000002</v>
      </c>
      <c r="I32" s="13">
        <f>F32*G32</f>
        <v>1729.4730180000001</v>
      </c>
    </row>
    <row r="33" spans="1:9" ht="24" hidden="1" customHeight="1">
      <c r="A33" s="30">
        <v>8</v>
      </c>
      <c r="B33" s="61" t="s">
        <v>119</v>
      </c>
      <c r="C33" s="62" t="s">
        <v>38</v>
      </c>
      <c r="D33" s="61" t="s">
        <v>60</v>
      </c>
      <c r="E33" s="64">
        <v>4</v>
      </c>
      <c r="F33" s="64">
        <f>E33*155/100</f>
        <v>6.2</v>
      </c>
      <c r="G33" s="116">
        <v>1707.63</v>
      </c>
      <c r="H33" s="65">
        <f>G33*F33/1000</f>
        <v>10.587306</v>
      </c>
      <c r="I33" s="13">
        <f t="shared" si="3"/>
        <v>1764.5510000000004</v>
      </c>
    </row>
    <row r="34" spans="1:9" ht="26.25" hidden="1" customHeight="1">
      <c r="A34" s="30">
        <v>9</v>
      </c>
      <c r="B34" s="61" t="s">
        <v>95</v>
      </c>
      <c r="C34" s="62" t="s">
        <v>30</v>
      </c>
      <c r="D34" s="61" t="s">
        <v>60</v>
      </c>
      <c r="E34" s="68">
        <f>1/3</f>
        <v>0.33333333333333331</v>
      </c>
      <c r="F34" s="64">
        <f>155/3</f>
        <v>51.666666666666664</v>
      </c>
      <c r="G34" s="116">
        <v>74.349999999999994</v>
      </c>
      <c r="H34" s="65">
        <f>SUM(G34*155/3/1000)</f>
        <v>3.8414166666666665</v>
      </c>
      <c r="I34" s="13">
        <f t="shared" si="3"/>
        <v>640.23611111111109</v>
      </c>
    </row>
    <row r="35" spans="1:9" ht="25.5" hidden="1" customHeight="1">
      <c r="A35" s="30"/>
      <c r="B35" s="61" t="s">
        <v>61</v>
      </c>
      <c r="C35" s="62" t="s">
        <v>32</v>
      </c>
      <c r="D35" s="61" t="s">
        <v>63</v>
      </c>
      <c r="E35" s="63"/>
      <c r="F35" s="64">
        <v>2</v>
      </c>
      <c r="G35" s="64">
        <v>250.92</v>
      </c>
      <c r="H35" s="65">
        <f t="shared" si="2"/>
        <v>0.50183999999999995</v>
      </c>
      <c r="I35" s="13">
        <v>0</v>
      </c>
    </row>
    <row r="36" spans="1:9" ht="16.5" hidden="1" customHeight="1">
      <c r="A36" s="30"/>
      <c r="B36" s="61" t="s">
        <v>62</v>
      </c>
      <c r="C36" s="62" t="s">
        <v>31</v>
      </c>
      <c r="D36" s="61" t="s">
        <v>63</v>
      </c>
      <c r="E36" s="63"/>
      <c r="F36" s="64">
        <v>1</v>
      </c>
      <c r="G36" s="64">
        <v>1490.31</v>
      </c>
      <c r="H36" s="65">
        <f t="shared" si="2"/>
        <v>1.49031</v>
      </c>
      <c r="I36" s="13">
        <v>0</v>
      </c>
    </row>
    <row r="37" spans="1:9" ht="15.75" customHeight="1">
      <c r="A37" s="30"/>
      <c r="B37" s="81" t="s">
        <v>5</v>
      </c>
      <c r="C37" s="62"/>
      <c r="D37" s="61"/>
      <c r="E37" s="63"/>
      <c r="F37" s="64"/>
      <c r="G37" s="64"/>
      <c r="H37" s="65" t="s">
        <v>118</v>
      </c>
      <c r="I37" s="13"/>
    </row>
    <row r="38" spans="1:9" ht="18.75" customHeight="1">
      <c r="A38" s="30">
        <v>4</v>
      </c>
      <c r="B38" s="61" t="s">
        <v>26</v>
      </c>
      <c r="C38" s="62" t="s">
        <v>31</v>
      </c>
      <c r="D38" s="61" t="s">
        <v>328</v>
      </c>
      <c r="E38" s="63"/>
      <c r="F38" s="64">
        <v>5</v>
      </c>
      <c r="G38" s="124">
        <v>1855</v>
      </c>
      <c r="H38" s="65">
        <f t="shared" ref="H38:H44" si="4">SUM(F38*G38/1000)</f>
        <v>9.2750000000000004</v>
      </c>
      <c r="I38" s="13">
        <f>G38*1</f>
        <v>1855</v>
      </c>
    </row>
    <row r="39" spans="1:9" ht="17.25" customHeight="1">
      <c r="A39" s="30">
        <v>5</v>
      </c>
      <c r="B39" s="171" t="s">
        <v>133</v>
      </c>
      <c r="C39" s="172" t="s">
        <v>29</v>
      </c>
      <c r="D39" s="113" t="s">
        <v>171</v>
      </c>
      <c r="E39" s="165">
        <v>137</v>
      </c>
      <c r="F39" s="199">
        <f>E39*30/1000</f>
        <v>4.1100000000000003</v>
      </c>
      <c r="G39" s="116">
        <v>3014.36</v>
      </c>
      <c r="H39" s="65">
        <f t="shared" si="4"/>
        <v>12.389019600000001</v>
      </c>
      <c r="I39" s="13">
        <f t="shared" ref="I39:I44" si="5">F39/6*G39</f>
        <v>2064.8366000000001</v>
      </c>
    </row>
    <row r="40" spans="1:9" ht="33" customHeight="1">
      <c r="A40" s="30">
        <v>6</v>
      </c>
      <c r="B40" s="113" t="s">
        <v>64</v>
      </c>
      <c r="C40" s="114" t="s">
        <v>29</v>
      </c>
      <c r="D40" s="113" t="s">
        <v>179</v>
      </c>
      <c r="E40" s="116">
        <v>137</v>
      </c>
      <c r="F40" s="199">
        <f>SUM(E40*155/1000)</f>
        <v>21.234999999999999</v>
      </c>
      <c r="G40" s="116">
        <v>502.82</v>
      </c>
      <c r="H40" s="65">
        <f t="shared" si="4"/>
        <v>10.677382700000001</v>
      </c>
      <c r="I40" s="13">
        <f t="shared" si="5"/>
        <v>1779.5637833333333</v>
      </c>
    </row>
    <row r="41" spans="1:9" ht="63" customHeight="1">
      <c r="A41" s="30">
        <v>7</v>
      </c>
      <c r="B41" s="113" t="s">
        <v>76</v>
      </c>
      <c r="C41" s="114" t="s">
        <v>82</v>
      </c>
      <c r="D41" s="113" t="s">
        <v>185</v>
      </c>
      <c r="E41" s="116">
        <v>54.4</v>
      </c>
      <c r="F41" s="199">
        <f>SUM(E41*35/1000)</f>
        <v>1.9039999999999999</v>
      </c>
      <c r="G41" s="116">
        <v>8319.2999999999993</v>
      </c>
      <c r="H41" s="65">
        <f t="shared" si="4"/>
        <v>15.839947199999999</v>
      </c>
      <c r="I41" s="13">
        <f t="shared" si="5"/>
        <v>2639.9911999999995</v>
      </c>
    </row>
    <row r="42" spans="1:9" ht="15" hidden="1" customHeight="1">
      <c r="A42" s="30">
        <v>8</v>
      </c>
      <c r="B42" s="113" t="s">
        <v>83</v>
      </c>
      <c r="C42" s="114" t="s">
        <v>82</v>
      </c>
      <c r="D42" s="113" t="s">
        <v>173</v>
      </c>
      <c r="E42" s="116">
        <v>137</v>
      </c>
      <c r="F42" s="199">
        <f>E42*30/1000</f>
        <v>4.1100000000000003</v>
      </c>
      <c r="G42" s="116">
        <v>614.55999999999995</v>
      </c>
      <c r="H42" s="65">
        <f t="shared" si="4"/>
        <v>2.5258416000000001</v>
      </c>
      <c r="I42" s="13">
        <f>G42*F42/30*1</f>
        <v>84.194720000000004</v>
      </c>
    </row>
    <row r="43" spans="1:9" ht="14.25" hidden="1" customHeight="1">
      <c r="A43" s="30">
        <v>9</v>
      </c>
      <c r="B43" s="171" t="s">
        <v>66</v>
      </c>
      <c r="C43" s="172" t="s">
        <v>32</v>
      </c>
      <c r="D43" s="171"/>
      <c r="E43" s="170"/>
      <c r="F43" s="199">
        <v>0.9</v>
      </c>
      <c r="G43" s="199">
        <v>900</v>
      </c>
      <c r="H43" s="65">
        <f t="shared" si="4"/>
        <v>0.81</v>
      </c>
      <c r="I43" s="13">
        <f>G43*F43/30*1</f>
        <v>27</v>
      </c>
    </row>
    <row r="44" spans="1:9" ht="36" customHeight="1">
      <c r="A44" s="30">
        <v>8</v>
      </c>
      <c r="B44" s="105" t="s">
        <v>134</v>
      </c>
      <c r="C44" s="106" t="s">
        <v>29</v>
      </c>
      <c r="D44" s="171" t="s">
        <v>186</v>
      </c>
      <c r="E44" s="170">
        <v>3</v>
      </c>
      <c r="F44" s="199">
        <f>SUM(E44*12/1000)</f>
        <v>3.5999999999999997E-2</v>
      </c>
      <c r="G44" s="199">
        <v>19757.060000000001</v>
      </c>
      <c r="H44" s="65">
        <f t="shared" si="4"/>
        <v>0.71125415999999997</v>
      </c>
      <c r="I44" s="13">
        <f t="shared" si="5"/>
        <v>118.54235999999999</v>
      </c>
    </row>
    <row r="45" spans="1:9" hidden="1">
      <c r="A45" s="221" t="s">
        <v>121</v>
      </c>
      <c r="B45" s="222"/>
      <c r="C45" s="222"/>
      <c r="D45" s="222"/>
      <c r="E45" s="222"/>
      <c r="F45" s="222"/>
      <c r="G45" s="222"/>
      <c r="H45" s="222"/>
      <c r="I45" s="223"/>
    </row>
    <row r="46" spans="1:9" hidden="1">
      <c r="A46" s="30">
        <v>12</v>
      </c>
      <c r="B46" s="61" t="s">
        <v>113</v>
      </c>
      <c r="C46" s="62" t="s">
        <v>82</v>
      </c>
      <c r="D46" s="61" t="s">
        <v>40</v>
      </c>
      <c r="E46" s="63">
        <v>1320.9</v>
      </c>
      <c r="F46" s="64">
        <f>SUM(E46*2/1000)</f>
        <v>2.6418000000000004</v>
      </c>
      <c r="G46" s="35">
        <v>1114.1300000000001</v>
      </c>
      <c r="H46" s="65">
        <f t="shared" ref="H46:H54" si="6">SUM(F46*G46/1000)</f>
        <v>2.943308634000001</v>
      </c>
      <c r="I46" s="13">
        <f>2.6418/2*G46</f>
        <v>1471.654317</v>
      </c>
    </row>
    <row r="47" spans="1:9" hidden="1">
      <c r="A47" s="30">
        <v>13</v>
      </c>
      <c r="B47" s="61" t="s">
        <v>33</v>
      </c>
      <c r="C47" s="62" t="s">
        <v>82</v>
      </c>
      <c r="D47" s="61" t="s">
        <v>40</v>
      </c>
      <c r="E47" s="63">
        <v>52</v>
      </c>
      <c r="F47" s="64">
        <f>E47*2/1000</f>
        <v>0.104</v>
      </c>
      <c r="G47" s="35">
        <v>4419.05</v>
      </c>
      <c r="H47" s="65">
        <f t="shared" si="6"/>
        <v>0.45958120000000002</v>
      </c>
      <c r="I47" s="13">
        <f>0.104/2*G47</f>
        <v>229.79060000000001</v>
      </c>
    </row>
    <row r="48" spans="1:9" hidden="1">
      <c r="A48" s="30">
        <v>14</v>
      </c>
      <c r="B48" s="61" t="s">
        <v>34</v>
      </c>
      <c r="C48" s="62" t="s">
        <v>82</v>
      </c>
      <c r="D48" s="61" t="s">
        <v>40</v>
      </c>
      <c r="E48" s="63">
        <v>1520.8</v>
      </c>
      <c r="F48" s="64">
        <f>SUM(E48*2/1000)</f>
        <v>3.0415999999999999</v>
      </c>
      <c r="G48" s="35">
        <v>1803.69</v>
      </c>
      <c r="H48" s="65">
        <f t="shared" si="6"/>
        <v>5.4861035039999999</v>
      </c>
      <c r="I48" s="13">
        <f>3.0416/2*G48</f>
        <v>2743.0517519999999</v>
      </c>
    </row>
    <row r="49" spans="1:9" hidden="1">
      <c r="A49" s="30">
        <v>15</v>
      </c>
      <c r="B49" s="61" t="s">
        <v>35</v>
      </c>
      <c r="C49" s="62" t="s">
        <v>82</v>
      </c>
      <c r="D49" s="61" t="s">
        <v>40</v>
      </c>
      <c r="E49" s="63">
        <v>3433.81</v>
      </c>
      <c r="F49" s="64">
        <f>SUM(E49*2/1000)</f>
        <v>6.8676199999999996</v>
      </c>
      <c r="G49" s="35">
        <v>1243.43</v>
      </c>
      <c r="H49" s="65">
        <f t="shared" si="6"/>
        <v>8.5394047365999999</v>
      </c>
      <c r="I49" s="13">
        <f>6.86762/2*G49</f>
        <v>4269.7023682999998</v>
      </c>
    </row>
    <row r="50" spans="1:9" hidden="1">
      <c r="A50" s="30">
        <v>16</v>
      </c>
      <c r="B50" s="61" t="s">
        <v>53</v>
      </c>
      <c r="C50" s="62" t="s">
        <v>82</v>
      </c>
      <c r="D50" s="61" t="s">
        <v>125</v>
      </c>
      <c r="E50" s="63">
        <v>4731.7</v>
      </c>
      <c r="F50" s="64">
        <f>SUM(E50*5/1000)</f>
        <v>23.6585</v>
      </c>
      <c r="G50" s="35">
        <v>1803.69</v>
      </c>
      <c r="H50" s="65">
        <f t="shared" si="6"/>
        <v>42.672599865000002</v>
      </c>
      <c r="I50" s="13">
        <f>F50/5*G50</f>
        <v>8534.5199730000004</v>
      </c>
    </row>
    <row r="51" spans="1:9" ht="45" hidden="1">
      <c r="A51" s="30">
        <v>10</v>
      </c>
      <c r="B51" s="61" t="s">
        <v>84</v>
      </c>
      <c r="C51" s="62" t="s">
        <v>82</v>
      </c>
      <c r="D51" s="61" t="s">
        <v>40</v>
      </c>
      <c r="E51" s="63">
        <v>4731.7</v>
      </c>
      <c r="F51" s="64">
        <f>SUM(E51*2/1000)</f>
        <v>9.4634</v>
      </c>
      <c r="G51" s="35">
        <v>1591.6</v>
      </c>
      <c r="H51" s="65">
        <f t="shared" si="6"/>
        <v>15.061947439999999</v>
      </c>
      <c r="I51" s="13">
        <f>9.4634/2*G51</f>
        <v>7530.97372</v>
      </c>
    </row>
    <row r="52" spans="1:9" ht="30" hidden="1">
      <c r="A52" s="30">
        <v>11</v>
      </c>
      <c r="B52" s="61" t="s">
        <v>85</v>
      </c>
      <c r="C52" s="62" t="s">
        <v>36</v>
      </c>
      <c r="D52" s="61" t="s">
        <v>40</v>
      </c>
      <c r="E52" s="63">
        <v>20</v>
      </c>
      <c r="F52" s="64">
        <f>SUM(E52*2/100)</f>
        <v>0.4</v>
      </c>
      <c r="G52" s="35">
        <v>4058.32</v>
      </c>
      <c r="H52" s="65">
        <f>SUM(F52*G52/1000)</f>
        <v>1.6233280000000001</v>
      </c>
      <c r="I52" s="13">
        <f>0.4/2*G52</f>
        <v>811.6640000000001</v>
      </c>
    </row>
    <row r="53" spans="1:9" hidden="1">
      <c r="A53" s="30">
        <v>12</v>
      </c>
      <c r="B53" s="61" t="s">
        <v>37</v>
      </c>
      <c r="C53" s="62" t="s">
        <v>38</v>
      </c>
      <c r="D53" s="61" t="s">
        <v>40</v>
      </c>
      <c r="E53" s="63">
        <v>1</v>
      </c>
      <c r="F53" s="64">
        <v>0.02</v>
      </c>
      <c r="G53" s="35">
        <v>7412.92</v>
      </c>
      <c r="H53" s="65">
        <f t="shared" si="6"/>
        <v>0.14825839999999998</v>
      </c>
      <c r="I53" s="13">
        <f>0.02/2*G53</f>
        <v>74.129199999999997</v>
      </c>
    </row>
    <row r="54" spans="1:9" hidden="1">
      <c r="A54" s="30">
        <v>11</v>
      </c>
      <c r="B54" s="61" t="s">
        <v>39</v>
      </c>
      <c r="C54" s="62" t="s">
        <v>97</v>
      </c>
      <c r="D54" s="183">
        <v>44148</v>
      </c>
      <c r="E54" s="63">
        <v>160</v>
      </c>
      <c r="F54" s="64">
        <f>SUM(E54)</f>
        <v>160</v>
      </c>
      <c r="G54" s="164">
        <v>87.32</v>
      </c>
      <c r="H54" s="65">
        <f t="shared" si="6"/>
        <v>13.9712</v>
      </c>
      <c r="I54" s="13">
        <f>G54*160</f>
        <v>13971.199999999999</v>
      </c>
    </row>
    <row r="55" spans="1:9">
      <c r="A55" s="221" t="s">
        <v>148</v>
      </c>
      <c r="B55" s="222"/>
      <c r="C55" s="222"/>
      <c r="D55" s="222"/>
      <c r="E55" s="222"/>
      <c r="F55" s="222"/>
      <c r="G55" s="222"/>
      <c r="H55" s="222"/>
      <c r="I55" s="223"/>
    </row>
    <row r="56" spans="1:9" hidden="1">
      <c r="A56" s="30"/>
      <c r="B56" s="81" t="s">
        <v>41</v>
      </c>
      <c r="C56" s="62"/>
      <c r="D56" s="61"/>
      <c r="E56" s="63"/>
      <c r="F56" s="64"/>
      <c r="G56" s="64"/>
      <c r="H56" s="65"/>
      <c r="I56" s="13"/>
    </row>
    <row r="57" spans="1:9" ht="45" hidden="1">
      <c r="A57" s="30">
        <v>14</v>
      </c>
      <c r="B57" s="61" t="s">
        <v>114</v>
      </c>
      <c r="C57" s="62" t="s">
        <v>80</v>
      </c>
      <c r="D57" s="61" t="s">
        <v>98</v>
      </c>
      <c r="E57" s="63">
        <v>107.21</v>
      </c>
      <c r="F57" s="64">
        <f>SUM(E57*6/100)</f>
        <v>6.4325999999999999</v>
      </c>
      <c r="G57" s="13">
        <v>2029.3</v>
      </c>
      <c r="H57" s="65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0" t="s">
        <v>116</v>
      </c>
      <c r="C58" s="71" t="s">
        <v>117</v>
      </c>
      <c r="D58" s="70" t="s">
        <v>40</v>
      </c>
      <c r="E58" s="72">
        <v>4</v>
      </c>
      <c r="F58" s="73">
        <v>0.8</v>
      </c>
      <c r="G58" s="13">
        <v>237.1</v>
      </c>
      <c r="H58" s="65">
        <f t="shared" ref="H58:H59" si="7">SUM(F58*G58/1000)</f>
        <v>0.18968000000000002</v>
      </c>
      <c r="I58" s="13">
        <f>F58/2*G58</f>
        <v>94.84</v>
      </c>
    </row>
    <row r="59" spans="1:9" ht="18.75" hidden="1" customHeight="1">
      <c r="A59" s="30">
        <v>12</v>
      </c>
      <c r="B59" s="61" t="s">
        <v>115</v>
      </c>
      <c r="C59" s="62" t="s">
        <v>80</v>
      </c>
      <c r="D59" s="61" t="s">
        <v>173</v>
      </c>
      <c r="E59" s="63">
        <v>3.8</v>
      </c>
      <c r="F59" s="64">
        <f>SUM(E59*6/100)</f>
        <v>0.22799999999999998</v>
      </c>
      <c r="G59" s="13">
        <v>2029.3</v>
      </c>
      <c r="H59" s="65">
        <f t="shared" si="7"/>
        <v>0.46268039999999994</v>
      </c>
      <c r="I59" s="13">
        <f>F59/6*G59</f>
        <v>77.113399999999999</v>
      </c>
    </row>
    <row r="60" spans="1:9" hidden="1">
      <c r="A60" s="30">
        <v>11</v>
      </c>
      <c r="B60" s="61" t="s">
        <v>136</v>
      </c>
      <c r="C60" s="62" t="s">
        <v>137</v>
      </c>
      <c r="D60" s="61" t="s">
        <v>63</v>
      </c>
      <c r="E60" s="63"/>
      <c r="F60" s="64">
        <v>3</v>
      </c>
      <c r="G60" s="13">
        <v>1582.05</v>
      </c>
      <c r="H60" s="65">
        <f>SUM(F60*G60/1000)</f>
        <v>4.7461499999999992</v>
      </c>
      <c r="I60" s="13">
        <f>G60*10</f>
        <v>15820.5</v>
      </c>
    </row>
    <row r="61" spans="1:9" ht="15.75" customHeight="1">
      <c r="A61" s="30"/>
      <c r="B61" s="82" t="s">
        <v>42</v>
      </c>
      <c r="C61" s="71"/>
      <c r="D61" s="70"/>
      <c r="E61" s="72"/>
      <c r="F61" s="73"/>
      <c r="G61" s="13"/>
      <c r="H61" s="74"/>
      <c r="I61" s="13"/>
    </row>
    <row r="62" spans="1:9" hidden="1">
      <c r="A62" s="30">
        <v>18</v>
      </c>
      <c r="B62" s="70" t="s">
        <v>138</v>
      </c>
      <c r="C62" s="71" t="s">
        <v>50</v>
      </c>
      <c r="D62" s="70" t="s">
        <v>51</v>
      </c>
      <c r="E62" s="72">
        <v>660.45</v>
      </c>
      <c r="F62" s="73">
        <f>E62/100</f>
        <v>6.6045000000000007</v>
      </c>
      <c r="G62" s="13">
        <v>1040.8399999999999</v>
      </c>
      <c r="H62" s="74">
        <f>F62*G62/1000</f>
        <v>6.87422778</v>
      </c>
      <c r="I62" s="13">
        <f>G62*(1.2/100)</f>
        <v>12.490079999999999</v>
      </c>
    </row>
    <row r="63" spans="1:9" ht="15.75" customHeight="1">
      <c r="A63" s="30">
        <v>9</v>
      </c>
      <c r="B63" s="70" t="s">
        <v>108</v>
      </c>
      <c r="C63" s="71" t="s">
        <v>25</v>
      </c>
      <c r="D63" s="70" t="s">
        <v>173</v>
      </c>
      <c r="E63" s="72">
        <v>200</v>
      </c>
      <c r="F63" s="175">
        <v>2400</v>
      </c>
      <c r="G63" s="56">
        <v>1.4</v>
      </c>
      <c r="H63" s="73">
        <f>F63*G63/1000</f>
        <v>3.36</v>
      </c>
      <c r="I63" s="13">
        <f>F63/12*G63</f>
        <v>280</v>
      </c>
    </row>
    <row r="64" spans="1:9" ht="13.5" hidden="1" customHeight="1">
      <c r="A64" s="30"/>
      <c r="B64" s="82" t="s">
        <v>43</v>
      </c>
      <c r="C64" s="71"/>
      <c r="D64" s="70"/>
      <c r="E64" s="72"/>
      <c r="F64" s="75"/>
      <c r="G64" s="75"/>
      <c r="H64" s="73" t="s">
        <v>118</v>
      </c>
      <c r="I64" s="13"/>
    </row>
    <row r="65" spans="1:9" ht="16.5" hidden="1" customHeight="1">
      <c r="A65" s="30">
        <v>13</v>
      </c>
      <c r="B65" s="14" t="s">
        <v>44</v>
      </c>
      <c r="C65" s="16" t="s">
        <v>97</v>
      </c>
      <c r="D65" s="44" t="s">
        <v>169</v>
      </c>
      <c r="E65" s="18">
        <v>10</v>
      </c>
      <c r="F65" s="64">
        <f>SUM(E65)</f>
        <v>10</v>
      </c>
      <c r="G65" s="115">
        <v>318.82</v>
      </c>
      <c r="H65" s="76">
        <f t="shared" ref="H65:H84" si="8">SUM(F65*G65/1000)</f>
        <v>3.1881999999999997</v>
      </c>
      <c r="I65" s="13">
        <f>G65*3</f>
        <v>956.46</v>
      </c>
    </row>
    <row r="66" spans="1:9" hidden="1">
      <c r="A66" s="30"/>
      <c r="B66" s="14" t="s">
        <v>45</v>
      </c>
      <c r="C66" s="16" t="s">
        <v>97</v>
      </c>
      <c r="D66" s="14" t="s">
        <v>63</v>
      </c>
      <c r="E66" s="18">
        <v>9</v>
      </c>
      <c r="F66" s="64">
        <f>SUM(E66)</f>
        <v>9</v>
      </c>
      <c r="G66" s="13">
        <v>100.01</v>
      </c>
      <c r="H66" s="76">
        <f t="shared" si="8"/>
        <v>0.90009000000000006</v>
      </c>
      <c r="I66" s="13">
        <v>0</v>
      </c>
    </row>
    <row r="67" spans="1:9" hidden="1">
      <c r="A67" s="30">
        <v>16</v>
      </c>
      <c r="B67" s="14" t="s">
        <v>46</v>
      </c>
      <c r="C67" s="16" t="s">
        <v>99</v>
      </c>
      <c r="D67" s="14" t="s">
        <v>51</v>
      </c>
      <c r="E67" s="63">
        <v>19836</v>
      </c>
      <c r="F67" s="13">
        <f>SUM(E67/100)</f>
        <v>198.36</v>
      </c>
      <c r="G67" s="13">
        <v>278.24</v>
      </c>
      <c r="H67" s="76">
        <f t="shared" si="8"/>
        <v>55.191686400000009</v>
      </c>
      <c r="I67" s="13">
        <f>F67*G67</f>
        <v>55191.686400000006</v>
      </c>
    </row>
    <row r="68" spans="1:9" hidden="1">
      <c r="A68" s="30">
        <v>27</v>
      </c>
      <c r="B68" s="14" t="s">
        <v>47</v>
      </c>
      <c r="C68" s="16" t="s">
        <v>100</v>
      </c>
      <c r="D68" s="14"/>
      <c r="E68" s="63">
        <v>19836</v>
      </c>
      <c r="F68" s="13">
        <f>SUM(E68/1000)</f>
        <v>19.835999999999999</v>
      </c>
      <c r="G68" s="13">
        <v>216.68</v>
      </c>
      <c r="H68" s="76">
        <f t="shared" si="8"/>
        <v>4.2980644799999999</v>
      </c>
      <c r="I68" s="13">
        <f t="shared" ref="I68:I72" si="9">F68*G68</f>
        <v>4298.06448</v>
      </c>
    </row>
    <row r="69" spans="1:9" hidden="1">
      <c r="A69" s="30">
        <v>28</v>
      </c>
      <c r="B69" s="14" t="s">
        <v>48</v>
      </c>
      <c r="C69" s="16" t="s">
        <v>71</v>
      </c>
      <c r="D69" s="14" t="s">
        <v>51</v>
      </c>
      <c r="E69" s="63">
        <v>3155</v>
      </c>
      <c r="F69" s="13">
        <f>SUM(E69/100)</f>
        <v>31.55</v>
      </c>
      <c r="G69" s="13">
        <v>2720.94</v>
      </c>
      <c r="H69" s="76">
        <f t="shared" si="8"/>
        <v>85.845657000000003</v>
      </c>
      <c r="I69" s="13">
        <f t="shared" si="9"/>
        <v>85845.657000000007</v>
      </c>
    </row>
    <row r="70" spans="1:9" hidden="1">
      <c r="A70" s="30">
        <v>29</v>
      </c>
      <c r="B70" s="77" t="s">
        <v>101</v>
      </c>
      <c r="C70" s="16" t="s">
        <v>32</v>
      </c>
      <c r="D70" s="14"/>
      <c r="E70" s="63">
        <v>34.5</v>
      </c>
      <c r="F70" s="13">
        <f>SUM(E70)</f>
        <v>34.5</v>
      </c>
      <c r="G70" s="13">
        <v>44.31</v>
      </c>
      <c r="H70" s="76">
        <f t="shared" si="8"/>
        <v>1.5286950000000001</v>
      </c>
      <c r="I70" s="13">
        <f t="shared" si="9"/>
        <v>1528.6950000000002</v>
      </c>
    </row>
    <row r="71" spans="1:9" hidden="1">
      <c r="A71" s="30">
        <v>30</v>
      </c>
      <c r="B71" s="77" t="s">
        <v>102</v>
      </c>
      <c r="C71" s="16" t="s">
        <v>32</v>
      </c>
      <c r="D71" s="14"/>
      <c r="E71" s="63">
        <v>34.5</v>
      </c>
      <c r="F71" s="13">
        <f t="shared" ref="F71:F72" si="10">SUM(E71)</f>
        <v>34.5</v>
      </c>
      <c r="G71" s="13">
        <v>47.79</v>
      </c>
      <c r="H71" s="76">
        <f t="shared" si="8"/>
        <v>1.648755</v>
      </c>
      <c r="I71" s="13">
        <f t="shared" si="9"/>
        <v>1648.7549999999999</v>
      </c>
    </row>
    <row r="72" spans="1:9" hidden="1">
      <c r="A72" s="30">
        <v>19</v>
      </c>
      <c r="B72" s="14" t="s">
        <v>54</v>
      </c>
      <c r="C72" s="16" t="s">
        <v>55</v>
      </c>
      <c r="D72" s="14" t="s">
        <v>51</v>
      </c>
      <c r="E72" s="18">
        <v>5</v>
      </c>
      <c r="F72" s="13">
        <f t="shared" si="10"/>
        <v>5</v>
      </c>
      <c r="G72" s="13">
        <v>65.42</v>
      </c>
      <c r="H72" s="76">
        <f t="shared" si="8"/>
        <v>0.3271</v>
      </c>
      <c r="I72" s="13">
        <f t="shared" si="9"/>
        <v>327.10000000000002</v>
      </c>
    </row>
    <row r="73" spans="1:9" hidden="1">
      <c r="A73" s="30">
        <v>14</v>
      </c>
      <c r="B73" s="36" t="s">
        <v>196</v>
      </c>
      <c r="C73" s="168"/>
      <c r="D73" s="36" t="s">
        <v>204</v>
      </c>
      <c r="E73" s="17">
        <v>12</v>
      </c>
      <c r="F73" s="35">
        <f>E73*1</f>
        <v>12</v>
      </c>
      <c r="G73" s="35">
        <v>968.66</v>
      </c>
      <c r="H73" s="76"/>
      <c r="I73" s="13">
        <f>G73*1</f>
        <v>968.66</v>
      </c>
    </row>
    <row r="74" spans="1:9" ht="17.25" customHeight="1">
      <c r="A74" s="30"/>
      <c r="B74" s="95" t="s">
        <v>139</v>
      </c>
      <c r="C74" s="49"/>
      <c r="D74" s="14"/>
      <c r="E74" s="18"/>
      <c r="F74" s="13"/>
      <c r="G74" s="13"/>
      <c r="H74" s="76"/>
      <c r="I74" s="13"/>
    </row>
    <row r="75" spans="1:9" ht="25.5" customHeight="1">
      <c r="A75" s="30">
        <v>10</v>
      </c>
      <c r="B75" s="36" t="s">
        <v>140</v>
      </c>
      <c r="C75" s="176" t="s">
        <v>141</v>
      </c>
      <c r="D75" s="36"/>
      <c r="E75" s="17">
        <v>4731.7</v>
      </c>
      <c r="F75" s="35">
        <f>SUM(E75*12)</f>
        <v>56780.399999999994</v>
      </c>
      <c r="G75" s="35">
        <v>2.4900000000000002</v>
      </c>
      <c r="H75" s="76">
        <f t="shared" ref="H75" si="11">SUM(F75*G75/1000)</f>
        <v>141.383196</v>
      </c>
      <c r="I75" s="13">
        <f>F75/12*G75</f>
        <v>11781.933000000001</v>
      </c>
    </row>
    <row r="76" spans="1:9" ht="18.75" customHeight="1">
      <c r="A76" s="30"/>
      <c r="B76" s="150" t="s">
        <v>67</v>
      </c>
      <c r="C76" s="16"/>
      <c r="D76" s="14"/>
      <c r="E76" s="18"/>
      <c r="F76" s="13"/>
      <c r="G76" s="13"/>
      <c r="H76" s="76" t="s">
        <v>118</v>
      </c>
      <c r="I76" s="13"/>
    </row>
    <row r="77" spans="1:9" ht="30" hidden="1">
      <c r="A77" s="30"/>
      <c r="B77" s="14" t="s">
        <v>142</v>
      </c>
      <c r="C77" s="16" t="s">
        <v>97</v>
      </c>
      <c r="D77" s="14" t="s">
        <v>63</v>
      </c>
      <c r="E77" s="18">
        <v>1</v>
      </c>
      <c r="F77" s="13">
        <v>1</v>
      </c>
      <c r="G77" s="13">
        <v>1543.4</v>
      </c>
      <c r="H77" s="76">
        <f t="shared" ref="H77:H80" si="12">SUM(F77*G77/1000)</f>
        <v>1.5434000000000001</v>
      </c>
      <c r="I77" s="13">
        <v>0</v>
      </c>
    </row>
    <row r="78" spans="1:9" hidden="1">
      <c r="A78" s="30">
        <v>19</v>
      </c>
      <c r="B78" s="47" t="s">
        <v>143</v>
      </c>
      <c r="C78" s="49" t="s">
        <v>97</v>
      </c>
      <c r="D78" s="14" t="s">
        <v>63</v>
      </c>
      <c r="E78" s="18">
        <v>4</v>
      </c>
      <c r="F78" s="13">
        <v>1</v>
      </c>
      <c r="G78" s="13">
        <v>130.96</v>
      </c>
      <c r="H78" s="76">
        <f>SUM(F78*G78/1000)</f>
        <v>0.13096000000000002</v>
      </c>
      <c r="I78" s="13">
        <v>0</v>
      </c>
    </row>
    <row r="79" spans="1:9" hidden="1">
      <c r="A79" s="30">
        <v>13</v>
      </c>
      <c r="B79" s="14" t="s">
        <v>68</v>
      </c>
      <c r="C79" s="16" t="s">
        <v>69</v>
      </c>
      <c r="D79" s="44" t="s">
        <v>63</v>
      </c>
      <c r="E79" s="18">
        <v>8</v>
      </c>
      <c r="F79" s="13">
        <f>E79/10</f>
        <v>0.8</v>
      </c>
      <c r="G79" s="13">
        <v>657.87</v>
      </c>
      <c r="H79" s="76">
        <f t="shared" si="12"/>
        <v>0.5262960000000001</v>
      </c>
      <c r="I79" s="13">
        <f>G79*0.2</f>
        <v>131.57400000000001</v>
      </c>
    </row>
    <row r="80" spans="1:9" hidden="1">
      <c r="A80" s="30"/>
      <c r="B80" s="14" t="s">
        <v>144</v>
      </c>
      <c r="C80" s="16" t="s">
        <v>97</v>
      </c>
      <c r="D80" s="14" t="s">
        <v>63</v>
      </c>
      <c r="E80" s="18">
        <v>1</v>
      </c>
      <c r="F80" s="64">
        <f>SUM(E80)</f>
        <v>1</v>
      </c>
      <c r="G80" s="13">
        <v>1118.72</v>
      </c>
      <c r="H80" s="76">
        <f t="shared" si="12"/>
        <v>1.1187199999999999</v>
      </c>
      <c r="I80" s="13">
        <v>0</v>
      </c>
    </row>
    <row r="81" spans="1:9" hidden="1">
      <c r="A81" s="30"/>
      <c r="B81" s="47" t="s">
        <v>145</v>
      </c>
      <c r="C81" s="49" t="s">
        <v>97</v>
      </c>
      <c r="D81" s="14" t="s">
        <v>63</v>
      </c>
      <c r="E81" s="18">
        <v>1</v>
      </c>
      <c r="F81" s="56">
        <v>1</v>
      </c>
      <c r="G81" s="13">
        <v>3757.02</v>
      </c>
      <c r="H81" s="76">
        <f>SUM(F81*G81/1000)</f>
        <v>3.7570199999999998</v>
      </c>
      <c r="I81" s="13">
        <v>0</v>
      </c>
    </row>
    <row r="82" spans="1:9" ht="16.5" customHeight="1">
      <c r="A82" s="30">
        <v>11</v>
      </c>
      <c r="B82" s="105" t="s">
        <v>146</v>
      </c>
      <c r="C82" s="106" t="s">
        <v>97</v>
      </c>
      <c r="D82" s="36" t="s">
        <v>173</v>
      </c>
      <c r="E82" s="177">
        <v>2</v>
      </c>
      <c r="F82" s="175">
        <f>E82*12</f>
        <v>24</v>
      </c>
      <c r="G82" s="167">
        <v>404</v>
      </c>
      <c r="H82" s="76">
        <f t="shared" ref="H82" si="13">SUM(F82*G82/1000)</f>
        <v>9.6959999999999997</v>
      </c>
      <c r="I82" s="13">
        <f>F82/12*G82</f>
        <v>808</v>
      </c>
    </row>
    <row r="83" spans="1:9" hidden="1">
      <c r="A83" s="30"/>
      <c r="B83" s="79" t="s">
        <v>70</v>
      </c>
      <c r="C83" s="16"/>
      <c r="D83" s="14"/>
      <c r="E83" s="18"/>
      <c r="F83" s="13"/>
      <c r="G83" s="13" t="s">
        <v>118</v>
      </c>
      <c r="H83" s="76" t="s">
        <v>118</v>
      </c>
      <c r="I83" s="13"/>
    </row>
    <row r="84" spans="1:9" hidden="1">
      <c r="A84" s="30"/>
      <c r="B84" s="44" t="s">
        <v>110</v>
      </c>
      <c r="C84" s="16" t="s">
        <v>71</v>
      </c>
      <c r="D84" s="14"/>
      <c r="E84" s="18"/>
      <c r="F84" s="13">
        <v>0.3</v>
      </c>
      <c r="G84" s="13">
        <v>3619.09</v>
      </c>
      <c r="H84" s="76">
        <f t="shared" si="8"/>
        <v>1.0857270000000001</v>
      </c>
      <c r="I84" s="13">
        <v>0</v>
      </c>
    </row>
    <row r="85" spans="1:9" ht="28.5" hidden="1">
      <c r="A85" s="30"/>
      <c r="B85" s="96" t="s">
        <v>86</v>
      </c>
      <c r="C85" s="79"/>
      <c r="D85" s="32"/>
      <c r="E85" s="33"/>
      <c r="F85" s="67"/>
      <c r="G85" s="67"/>
      <c r="H85" s="80">
        <f>SUM(H57:H84)</f>
        <v>340.85598024000006</v>
      </c>
      <c r="I85" s="67"/>
    </row>
    <row r="86" spans="1:9" hidden="1">
      <c r="A86" s="30"/>
      <c r="B86" s="61" t="s">
        <v>103</v>
      </c>
      <c r="C86" s="16"/>
      <c r="D86" s="14"/>
      <c r="E86" s="57"/>
      <c r="F86" s="13">
        <v>1</v>
      </c>
      <c r="G86" s="13">
        <v>20512</v>
      </c>
      <c r="H86" s="76">
        <f>G86*F86/1000</f>
        <v>20.512</v>
      </c>
      <c r="I86" s="13">
        <v>0</v>
      </c>
    </row>
    <row r="87" spans="1:9">
      <c r="A87" s="230" t="s">
        <v>149</v>
      </c>
      <c r="B87" s="231"/>
      <c r="C87" s="231"/>
      <c r="D87" s="231"/>
      <c r="E87" s="231"/>
      <c r="F87" s="231"/>
      <c r="G87" s="231"/>
      <c r="H87" s="231"/>
      <c r="I87" s="232"/>
    </row>
    <row r="88" spans="1:9" ht="15.75" customHeight="1">
      <c r="A88" s="30">
        <v>12</v>
      </c>
      <c r="B88" s="113" t="s">
        <v>104</v>
      </c>
      <c r="C88" s="168" t="s">
        <v>52</v>
      </c>
      <c r="D88" s="169"/>
      <c r="E88" s="35">
        <v>4731.7</v>
      </c>
      <c r="F88" s="35">
        <f>SUM(E88*12)</f>
        <v>56780.399999999994</v>
      </c>
      <c r="G88" s="35">
        <v>3.38</v>
      </c>
      <c r="H88" s="76">
        <f>SUM(F88*G88/1000)</f>
        <v>191.91775199999998</v>
      </c>
      <c r="I88" s="13">
        <f>F88/12*G88</f>
        <v>15993.145999999999</v>
      </c>
    </row>
    <row r="89" spans="1:9" ht="30.75" customHeight="1">
      <c r="A89" s="30">
        <v>13</v>
      </c>
      <c r="B89" s="36" t="s">
        <v>72</v>
      </c>
      <c r="C89" s="168"/>
      <c r="D89" s="48"/>
      <c r="E89" s="165">
        <f>E88</f>
        <v>4731.7</v>
      </c>
      <c r="F89" s="35">
        <f>E89*12</f>
        <v>56780.399999999994</v>
      </c>
      <c r="G89" s="35">
        <v>3.05</v>
      </c>
      <c r="H89" s="76">
        <f>F89*G89/1000</f>
        <v>173.18021999999996</v>
      </c>
      <c r="I89" s="13">
        <f>F89/12*G89</f>
        <v>14431.684999999999</v>
      </c>
    </row>
    <row r="90" spans="1:9">
      <c r="A90" s="30"/>
      <c r="B90" s="37" t="s">
        <v>74</v>
      </c>
      <c r="C90" s="79"/>
      <c r="D90" s="78"/>
      <c r="E90" s="67"/>
      <c r="F90" s="67"/>
      <c r="G90" s="67"/>
      <c r="H90" s="80">
        <f>H89</f>
        <v>173.18021999999996</v>
      </c>
      <c r="I90" s="67">
        <f>I89+I88+I82+I75+I63+I44+I41+I40+I39+I38+I18+I17+I16</f>
        <v>68122.08872249999</v>
      </c>
    </row>
    <row r="91" spans="1:9">
      <c r="A91" s="227" t="s">
        <v>57</v>
      </c>
      <c r="B91" s="228"/>
      <c r="C91" s="228"/>
      <c r="D91" s="228"/>
      <c r="E91" s="228"/>
      <c r="F91" s="228"/>
      <c r="G91" s="228"/>
      <c r="H91" s="228"/>
      <c r="I91" s="229"/>
    </row>
    <row r="92" spans="1:9" ht="30">
      <c r="A92" s="30">
        <v>14</v>
      </c>
      <c r="B92" s="105" t="s">
        <v>323</v>
      </c>
      <c r="C92" s="83" t="s">
        <v>29</v>
      </c>
      <c r="D92" s="192"/>
      <c r="E92" s="167"/>
      <c r="F92" s="167">
        <v>2.2160000000000002</v>
      </c>
      <c r="G92" s="167">
        <v>241.69</v>
      </c>
      <c r="H92" s="35"/>
      <c r="I92" s="13">
        <f>G92*2.216</f>
        <v>535.58504000000005</v>
      </c>
    </row>
    <row r="93" spans="1:9">
      <c r="A93" s="30">
        <v>15</v>
      </c>
      <c r="B93" s="105" t="s">
        <v>324</v>
      </c>
      <c r="C93" s="106" t="s">
        <v>29</v>
      </c>
      <c r="D93" s="192" t="s">
        <v>173</v>
      </c>
      <c r="E93" s="167"/>
      <c r="F93" s="167">
        <v>0.1</v>
      </c>
      <c r="G93" s="167">
        <v>898.48</v>
      </c>
      <c r="H93" s="35"/>
      <c r="I93" s="13">
        <v>0</v>
      </c>
    </row>
    <row r="94" spans="1:9" ht="18" customHeight="1">
      <c r="A94" s="30">
        <v>16</v>
      </c>
      <c r="B94" s="105" t="s">
        <v>325</v>
      </c>
      <c r="C94" s="106" t="s">
        <v>77</v>
      </c>
      <c r="D94" s="192"/>
      <c r="E94" s="167"/>
      <c r="F94" s="167">
        <v>1</v>
      </c>
      <c r="G94" s="167">
        <v>280.70999999999998</v>
      </c>
      <c r="H94" s="35"/>
      <c r="I94" s="13">
        <f>G94*1</f>
        <v>280.70999999999998</v>
      </c>
    </row>
    <row r="95" spans="1:9" ht="30">
      <c r="A95" s="30">
        <v>17</v>
      </c>
      <c r="B95" s="105" t="s">
        <v>156</v>
      </c>
      <c r="C95" s="106" t="s">
        <v>157</v>
      </c>
      <c r="D95" s="192" t="s">
        <v>327</v>
      </c>
      <c r="E95" s="167"/>
      <c r="F95" s="167">
        <v>4</v>
      </c>
      <c r="G95" s="167">
        <v>64.040000000000006</v>
      </c>
      <c r="H95" s="35"/>
      <c r="I95" s="13">
        <f>G95*1</f>
        <v>64.040000000000006</v>
      </c>
    </row>
    <row r="96" spans="1:9" ht="30">
      <c r="A96" s="30">
        <v>18</v>
      </c>
      <c r="B96" s="181" t="s">
        <v>127</v>
      </c>
      <c r="C96" s="176" t="s">
        <v>128</v>
      </c>
      <c r="D96" s="192"/>
      <c r="E96" s="167"/>
      <c r="F96" s="167">
        <v>0.4</v>
      </c>
      <c r="G96" s="167">
        <v>1948.52</v>
      </c>
      <c r="H96" s="35"/>
      <c r="I96" s="13">
        <f>G96*0.2</f>
        <v>389.70400000000001</v>
      </c>
    </row>
    <row r="97" spans="1:9">
      <c r="A97" s="30">
        <v>19</v>
      </c>
      <c r="B97" s="105" t="s">
        <v>174</v>
      </c>
      <c r="C97" s="106" t="s">
        <v>175</v>
      </c>
      <c r="D97" s="192"/>
      <c r="E97" s="167"/>
      <c r="F97" s="167">
        <v>2</v>
      </c>
      <c r="G97" s="167">
        <v>960.31</v>
      </c>
      <c r="H97" s="35"/>
      <c r="I97" s="13">
        <f>G97*1</f>
        <v>960.31</v>
      </c>
    </row>
    <row r="98" spans="1:9" ht="30">
      <c r="A98" s="30">
        <v>20</v>
      </c>
      <c r="B98" s="105" t="s">
        <v>326</v>
      </c>
      <c r="C98" s="106" t="s">
        <v>97</v>
      </c>
      <c r="D98" s="192"/>
      <c r="E98" s="167"/>
      <c r="F98" s="167">
        <v>2</v>
      </c>
      <c r="G98" s="167">
        <v>224.48</v>
      </c>
      <c r="H98" s="35"/>
      <c r="I98" s="13">
        <f>G98*1</f>
        <v>224.48</v>
      </c>
    </row>
    <row r="99" spans="1:9">
      <c r="A99" s="30">
        <v>21</v>
      </c>
      <c r="B99" s="105" t="s">
        <v>190</v>
      </c>
      <c r="C99" s="106" t="s">
        <v>38</v>
      </c>
      <c r="D99" s="192"/>
      <c r="E99" s="167"/>
      <c r="F99" s="167">
        <v>0.04</v>
      </c>
      <c r="G99" s="167">
        <v>28224.75</v>
      </c>
      <c r="H99" s="35"/>
      <c r="I99" s="13">
        <v>0</v>
      </c>
    </row>
    <row r="100" spans="1:9" ht="17.25" customHeight="1">
      <c r="A100" s="30"/>
      <c r="B100" s="32" t="s">
        <v>49</v>
      </c>
      <c r="C100" s="38"/>
      <c r="D100" s="45"/>
      <c r="E100" s="38">
        <v>1</v>
      </c>
      <c r="F100" s="38"/>
      <c r="G100" s="38"/>
      <c r="H100" s="38"/>
      <c r="I100" s="33">
        <f>SUM(I92:I99)</f>
        <v>2454.8290400000001</v>
      </c>
    </row>
    <row r="101" spans="1:9">
      <c r="A101" s="30"/>
      <c r="B101" s="44" t="s">
        <v>73</v>
      </c>
      <c r="C101" s="15"/>
      <c r="D101" s="15"/>
      <c r="E101" s="39"/>
      <c r="F101" s="39"/>
      <c r="G101" s="40"/>
      <c r="H101" s="40"/>
      <c r="I101" s="17">
        <v>0</v>
      </c>
    </row>
    <row r="102" spans="1:9">
      <c r="A102" s="46"/>
      <c r="B102" s="43" t="s">
        <v>131</v>
      </c>
      <c r="C102" s="34"/>
      <c r="D102" s="34"/>
      <c r="E102" s="34"/>
      <c r="F102" s="34"/>
      <c r="G102" s="34"/>
      <c r="H102" s="34"/>
      <c r="I102" s="41">
        <f>I90+I100</f>
        <v>70576.917762499987</v>
      </c>
    </row>
    <row r="103" spans="1:9" ht="15.75">
      <c r="A103" s="224" t="s">
        <v>329</v>
      </c>
      <c r="B103" s="224"/>
      <c r="C103" s="224"/>
      <c r="D103" s="224"/>
      <c r="E103" s="224"/>
      <c r="F103" s="224"/>
      <c r="G103" s="224"/>
      <c r="H103" s="224"/>
      <c r="I103" s="224"/>
    </row>
    <row r="104" spans="1:9" ht="15.75">
      <c r="A104" s="55"/>
      <c r="B104" s="225" t="s">
        <v>330</v>
      </c>
      <c r="C104" s="225"/>
      <c r="D104" s="225"/>
      <c r="E104" s="225"/>
      <c r="F104" s="225"/>
      <c r="G104" s="225"/>
      <c r="H104" s="60"/>
      <c r="I104" s="3"/>
    </row>
    <row r="105" spans="1:9">
      <c r="A105" s="148"/>
      <c r="B105" s="215" t="s">
        <v>6</v>
      </c>
      <c r="C105" s="215"/>
      <c r="D105" s="215"/>
      <c r="E105" s="215"/>
      <c r="F105" s="215"/>
      <c r="G105" s="215"/>
      <c r="H105" s="25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226" t="s">
        <v>7</v>
      </c>
      <c r="B107" s="226"/>
      <c r="C107" s="226"/>
      <c r="D107" s="226"/>
      <c r="E107" s="226"/>
      <c r="F107" s="226"/>
      <c r="G107" s="226"/>
      <c r="H107" s="226"/>
      <c r="I107" s="226"/>
    </row>
    <row r="108" spans="1:9" ht="15.75">
      <c r="A108" s="226" t="s">
        <v>8</v>
      </c>
      <c r="B108" s="226"/>
      <c r="C108" s="226"/>
      <c r="D108" s="226"/>
      <c r="E108" s="226"/>
      <c r="F108" s="226"/>
      <c r="G108" s="226"/>
      <c r="H108" s="226"/>
      <c r="I108" s="226"/>
    </row>
    <row r="109" spans="1:9" ht="15.75">
      <c r="A109" s="219" t="s">
        <v>58</v>
      </c>
      <c r="B109" s="219"/>
      <c r="C109" s="219"/>
      <c r="D109" s="219"/>
      <c r="E109" s="219"/>
      <c r="F109" s="219"/>
      <c r="G109" s="219"/>
      <c r="H109" s="219"/>
      <c r="I109" s="219"/>
    </row>
    <row r="110" spans="1:9" ht="15.75">
      <c r="A110" s="11"/>
    </row>
    <row r="111" spans="1:9" ht="15.75">
      <c r="A111" s="213" t="s">
        <v>9</v>
      </c>
      <c r="B111" s="213"/>
      <c r="C111" s="213"/>
      <c r="D111" s="213"/>
      <c r="E111" s="213"/>
      <c r="F111" s="213"/>
      <c r="G111" s="213"/>
      <c r="H111" s="213"/>
      <c r="I111" s="213"/>
    </row>
    <row r="112" spans="1:9" ht="15.75">
      <c r="A112" s="4"/>
    </row>
    <row r="113" spans="1:9" ht="15.75">
      <c r="B113" s="151" t="s">
        <v>10</v>
      </c>
      <c r="C113" s="214" t="s">
        <v>201</v>
      </c>
      <c r="D113" s="214"/>
      <c r="E113" s="214"/>
      <c r="F113" s="58"/>
      <c r="I113" s="153"/>
    </row>
    <row r="114" spans="1:9">
      <c r="A114" s="148"/>
      <c r="C114" s="215" t="s">
        <v>11</v>
      </c>
      <c r="D114" s="215"/>
      <c r="E114" s="215"/>
      <c r="F114" s="25"/>
      <c r="I114" s="152" t="s">
        <v>12</v>
      </c>
    </row>
    <row r="115" spans="1:9" ht="15.75">
      <c r="A115" s="26"/>
      <c r="C115" s="12"/>
      <c r="D115" s="12"/>
      <c r="G115" s="12"/>
      <c r="H115" s="12"/>
    </row>
    <row r="116" spans="1:9" ht="15.75">
      <c r="B116" s="151" t="s">
        <v>13</v>
      </c>
      <c r="C116" s="216"/>
      <c r="D116" s="216"/>
      <c r="E116" s="216"/>
      <c r="F116" s="59"/>
      <c r="I116" s="153"/>
    </row>
    <row r="117" spans="1:9">
      <c r="A117" s="148"/>
      <c r="C117" s="217" t="s">
        <v>11</v>
      </c>
      <c r="D117" s="217"/>
      <c r="E117" s="217"/>
      <c r="F117" s="148"/>
      <c r="I117" s="152" t="s">
        <v>12</v>
      </c>
    </row>
    <row r="118" spans="1:9" ht="15.75">
      <c r="A118" s="4" t="s">
        <v>14</v>
      </c>
    </row>
    <row r="119" spans="1:9">
      <c r="A119" s="218" t="s">
        <v>15</v>
      </c>
      <c r="B119" s="218"/>
      <c r="C119" s="218"/>
      <c r="D119" s="218"/>
      <c r="E119" s="218"/>
      <c r="F119" s="218"/>
      <c r="G119" s="218"/>
      <c r="H119" s="218"/>
      <c r="I119" s="218"/>
    </row>
    <row r="120" spans="1:9" ht="43.5" customHeight="1">
      <c r="A120" s="212" t="s">
        <v>16</v>
      </c>
      <c r="B120" s="212"/>
      <c r="C120" s="212"/>
      <c r="D120" s="212"/>
      <c r="E120" s="212"/>
      <c r="F120" s="212"/>
      <c r="G120" s="212"/>
      <c r="H120" s="212"/>
      <c r="I120" s="212"/>
    </row>
    <row r="121" spans="1:9" ht="33" customHeight="1">
      <c r="A121" s="212" t="s">
        <v>17</v>
      </c>
      <c r="B121" s="212"/>
      <c r="C121" s="212"/>
      <c r="D121" s="212"/>
      <c r="E121" s="212"/>
      <c r="F121" s="212"/>
      <c r="G121" s="212"/>
      <c r="H121" s="212"/>
      <c r="I121" s="212"/>
    </row>
    <row r="122" spans="1:9" ht="30" customHeight="1">
      <c r="A122" s="212" t="s">
        <v>21</v>
      </c>
      <c r="B122" s="212"/>
      <c r="C122" s="212"/>
      <c r="D122" s="212"/>
      <c r="E122" s="212"/>
      <c r="F122" s="212"/>
      <c r="G122" s="212"/>
      <c r="H122" s="212"/>
      <c r="I122" s="212"/>
    </row>
    <row r="123" spans="1:9" ht="29.25" customHeight="1">
      <c r="A123" s="212" t="s">
        <v>20</v>
      </c>
      <c r="B123" s="212"/>
      <c r="C123" s="212"/>
      <c r="D123" s="212"/>
      <c r="E123" s="212"/>
      <c r="F123" s="212"/>
      <c r="G123" s="212"/>
      <c r="H123" s="212"/>
      <c r="I123" s="212"/>
    </row>
  </sheetData>
  <mergeCells count="28">
    <mergeCell ref="A119:I119"/>
    <mergeCell ref="A120:I120"/>
    <mergeCell ref="A121:I121"/>
    <mergeCell ref="A122:I122"/>
    <mergeCell ref="A123:I123"/>
    <mergeCell ref="C117:E117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91:I91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  <mergeCell ref="A87:I87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8"/>
  <sheetViews>
    <sheetView tabSelected="1" view="pageBreakPreview" topLeftCell="A87" zoomScale="60" zoomScaleNormal="100" workbookViewId="0">
      <selection activeCell="A102" sqref="A102:I102"/>
    </sheetView>
  </sheetViews>
  <sheetFormatPr defaultRowHeight="15"/>
  <cols>
    <col min="1" max="1" width="11.140625" customWidth="1"/>
    <col min="2" max="2" width="48.5703125" customWidth="1"/>
    <col min="3" max="3" width="17.7109375" customWidth="1"/>
    <col min="4" max="4" width="18.7109375" customWidth="1"/>
    <col min="5" max="6" width="0" hidden="1" customWidth="1"/>
    <col min="7" max="7" width="18.85546875" customWidth="1"/>
    <col min="8" max="8" width="0" hidden="1" customWidth="1"/>
    <col min="9" max="9" width="21.140625" customWidth="1"/>
  </cols>
  <sheetData>
    <row r="1" spans="1:9" ht="15.75">
      <c r="A1" s="28" t="s">
        <v>158</v>
      </c>
      <c r="I1" s="27"/>
    </row>
    <row r="2" spans="1:9" ht="15.75">
      <c r="A2" s="29" t="s">
        <v>59</v>
      </c>
    </row>
    <row r="3" spans="1:9" ht="15.75">
      <c r="A3" s="233" t="s">
        <v>166</v>
      </c>
      <c r="B3" s="233"/>
      <c r="C3" s="233"/>
      <c r="D3" s="233"/>
      <c r="E3" s="233"/>
      <c r="F3" s="233"/>
      <c r="G3" s="233"/>
      <c r="H3" s="233"/>
      <c r="I3" s="233"/>
    </row>
    <row r="4" spans="1:9" ht="34.5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331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56"/>
      <c r="C6" s="156"/>
      <c r="D6" s="156"/>
      <c r="E6" s="156"/>
      <c r="F6" s="156"/>
      <c r="G6" s="156"/>
      <c r="H6" s="156"/>
      <c r="I6" s="31">
        <v>44561</v>
      </c>
    </row>
    <row r="7" spans="1:9" ht="15.75">
      <c r="B7" s="158"/>
      <c r="C7" s="158"/>
      <c r="D7" s="158"/>
      <c r="E7" s="3"/>
      <c r="F7" s="3"/>
      <c r="G7" s="3"/>
      <c r="H7" s="3"/>
    </row>
    <row r="8" spans="1:9" ht="101.25" customHeight="1">
      <c r="A8" s="236" t="s">
        <v>205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66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7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</row>
    <row r="16" spans="1:9" ht="17.25" customHeight="1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5" customHeight="1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6.5" customHeight="1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t="13.5" hidden="1" customHeight="1">
      <c r="A19" s="30">
        <v>3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t="14.25" hidden="1" customHeight="1">
      <c r="A20" s="30">
        <v>4</v>
      </c>
      <c r="B20" s="113" t="s">
        <v>90</v>
      </c>
      <c r="C20" s="114" t="s">
        <v>80</v>
      </c>
      <c r="D20" s="113" t="s">
        <v>173</v>
      </c>
      <c r="E20" s="165">
        <v>14</v>
      </c>
      <c r="F20" s="116">
        <f>SUM(E20*2/100)</f>
        <v>0.28000000000000003</v>
      </c>
      <c r="G20" s="116">
        <v>312.35000000000002</v>
      </c>
      <c r="H20" s="65">
        <f t="shared" si="0"/>
        <v>8.7458000000000008E-2</v>
      </c>
      <c r="I20" s="13">
        <f>F20/2*G20</f>
        <v>43.729000000000006</v>
      </c>
    </row>
    <row r="21" spans="1:9" ht="13.5" hidden="1" customHeight="1">
      <c r="A21" s="30">
        <v>5</v>
      </c>
      <c r="B21" s="61" t="s">
        <v>91</v>
      </c>
      <c r="C21" s="62" t="s">
        <v>80</v>
      </c>
      <c r="D21" s="61" t="s">
        <v>173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t="16.5" hidden="1" customHeight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t="30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5" hidden="1" customHeight="1">
      <c r="A26" s="30">
        <v>4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 hidden="1">
      <c r="A27" s="30">
        <v>5</v>
      </c>
      <c r="B27" s="69" t="s">
        <v>23</v>
      </c>
      <c r="C27" s="62" t="s">
        <v>24</v>
      </c>
      <c r="D27" s="61"/>
      <c r="E27" s="63">
        <v>4731.7</v>
      </c>
      <c r="F27" s="64">
        <f>SUM(E27*12)</f>
        <v>56780.399999999994</v>
      </c>
      <c r="G27" s="64">
        <v>4.5199999999999996</v>
      </c>
      <c r="H27" s="65">
        <f>SUM(F27*G27/1000)</f>
        <v>256.64740799999993</v>
      </c>
      <c r="I27" s="13">
        <f>F27/12*G27</f>
        <v>21387.283999999996</v>
      </c>
    </row>
    <row r="28" spans="1:9">
      <c r="A28" s="220" t="s">
        <v>78</v>
      </c>
      <c r="B28" s="220"/>
      <c r="C28" s="220"/>
      <c r="D28" s="220"/>
      <c r="E28" s="220"/>
      <c r="F28" s="220"/>
      <c r="G28" s="220"/>
      <c r="H28" s="220"/>
      <c r="I28" s="220"/>
    </row>
    <row r="29" spans="1:9" hidden="1">
      <c r="A29" s="30"/>
      <c r="B29" s="81" t="s">
        <v>28</v>
      </c>
      <c r="C29" s="62"/>
      <c r="D29" s="61"/>
      <c r="E29" s="63"/>
      <c r="F29" s="64"/>
      <c r="G29" s="64"/>
      <c r="H29" s="65"/>
      <c r="I29" s="13"/>
    </row>
    <row r="30" spans="1:9" hidden="1">
      <c r="A30" s="30">
        <v>6</v>
      </c>
      <c r="B30" s="61" t="s">
        <v>96</v>
      </c>
      <c r="C30" s="62" t="s">
        <v>82</v>
      </c>
      <c r="D30" s="61" t="s">
        <v>129</v>
      </c>
      <c r="E30" s="64">
        <v>436.6</v>
      </c>
      <c r="F30" s="64">
        <f>SUM(E30*52/1000)</f>
        <v>22.703200000000002</v>
      </c>
      <c r="G30" s="116">
        <v>204.44</v>
      </c>
      <c r="H30" s="65">
        <f t="shared" ref="H30:H36" si="2">SUM(F30*G30/1000)</f>
        <v>4.641442208</v>
      </c>
      <c r="I30" s="13">
        <f>F30/6*G30</f>
        <v>773.57370133333336</v>
      </c>
    </row>
    <row r="31" spans="1:9" ht="45" hidden="1">
      <c r="A31" s="30">
        <v>7</v>
      </c>
      <c r="B31" s="61" t="s">
        <v>107</v>
      </c>
      <c r="C31" s="62" t="s">
        <v>82</v>
      </c>
      <c r="D31" s="61" t="s">
        <v>130</v>
      </c>
      <c r="E31" s="64">
        <v>54.4</v>
      </c>
      <c r="F31" s="64">
        <f>SUM(E31*78/1000)</f>
        <v>4.2431999999999999</v>
      </c>
      <c r="G31" s="116">
        <v>339.21</v>
      </c>
      <c r="H31" s="65">
        <f t="shared" si="2"/>
        <v>1.4393358719999998</v>
      </c>
      <c r="I31" s="13">
        <f t="shared" ref="I31:I34" si="3">F31/6*G31</f>
        <v>239.88931199999996</v>
      </c>
    </row>
    <row r="32" spans="1:9" hidden="1">
      <c r="A32" s="30">
        <v>15</v>
      </c>
      <c r="B32" s="61" t="s">
        <v>27</v>
      </c>
      <c r="C32" s="62" t="s">
        <v>82</v>
      </c>
      <c r="D32" s="61" t="s">
        <v>51</v>
      </c>
      <c r="E32" s="64">
        <v>436.6</v>
      </c>
      <c r="F32" s="64">
        <f>SUM(E32/1000)</f>
        <v>0.43660000000000004</v>
      </c>
      <c r="G32" s="116">
        <v>3961.23</v>
      </c>
      <c r="H32" s="65">
        <f t="shared" si="2"/>
        <v>1.7294730180000002</v>
      </c>
      <c r="I32" s="13">
        <f>F32*G32</f>
        <v>1729.4730180000001</v>
      </c>
    </row>
    <row r="33" spans="1:9" hidden="1">
      <c r="A33" s="30">
        <v>8</v>
      </c>
      <c r="B33" s="61" t="s">
        <v>119</v>
      </c>
      <c r="C33" s="62" t="s">
        <v>38</v>
      </c>
      <c r="D33" s="61" t="s">
        <v>60</v>
      </c>
      <c r="E33" s="64">
        <v>4</v>
      </c>
      <c r="F33" s="64">
        <f>E33*155/100</f>
        <v>6.2</v>
      </c>
      <c r="G33" s="116">
        <v>1707.63</v>
      </c>
      <c r="H33" s="65">
        <f>G33*F33/1000</f>
        <v>10.587306</v>
      </c>
      <c r="I33" s="13">
        <f t="shared" si="3"/>
        <v>1764.5510000000004</v>
      </c>
    </row>
    <row r="34" spans="1:9" hidden="1">
      <c r="A34" s="30">
        <v>9</v>
      </c>
      <c r="B34" s="61" t="s">
        <v>95</v>
      </c>
      <c r="C34" s="62" t="s">
        <v>30</v>
      </c>
      <c r="D34" s="61" t="s">
        <v>60</v>
      </c>
      <c r="E34" s="68">
        <f>1/3</f>
        <v>0.33333333333333331</v>
      </c>
      <c r="F34" s="64">
        <f>155/3</f>
        <v>51.666666666666664</v>
      </c>
      <c r="G34" s="116">
        <v>74.349999999999994</v>
      </c>
      <c r="H34" s="65">
        <f>SUM(G34*155/3/1000)</f>
        <v>3.8414166666666665</v>
      </c>
      <c r="I34" s="13">
        <f t="shared" si="3"/>
        <v>640.23611111111109</v>
      </c>
    </row>
    <row r="35" spans="1:9" hidden="1">
      <c r="A35" s="30"/>
      <c r="B35" s="61" t="s">
        <v>61</v>
      </c>
      <c r="C35" s="62" t="s">
        <v>32</v>
      </c>
      <c r="D35" s="61" t="s">
        <v>63</v>
      </c>
      <c r="E35" s="63"/>
      <c r="F35" s="64">
        <v>2</v>
      </c>
      <c r="G35" s="64">
        <v>250.92</v>
      </c>
      <c r="H35" s="65">
        <f t="shared" si="2"/>
        <v>0.50183999999999995</v>
      </c>
      <c r="I35" s="13">
        <v>0</v>
      </c>
    </row>
    <row r="36" spans="1:9" hidden="1">
      <c r="A36" s="30"/>
      <c r="B36" s="61" t="s">
        <v>62</v>
      </c>
      <c r="C36" s="62" t="s">
        <v>31</v>
      </c>
      <c r="D36" s="61" t="s">
        <v>63</v>
      </c>
      <c r="E36" s="63"/>
      <c r="F36" s="64">
        <v>1</v>
      </c>
      <c r="G36" s="64">
        <v>1490.31</v>
      </c>
      <c r="H36" s="65">
        <f t="shared" si="2"/>
        <v>1.49031</v>
      </c>
      <c r="I36" s="13">
        <v>0</v>
      </c>
    </row>
    <row r="37" spans="1:9" ht="16.5" customHeight="1">
      <c r="A37" s="30"/>
      <c r="B37" s="81" t="s">
        <v>5</v>
      </c>
      <c r="C37" s="62"/>
      <c r="D37" s="61"/>
      <c r="E37" s="63"/>
      <c r="F37" s="64"/>
      <c r="G37" s="64"/>
      <c r="H37" s="65" t="s">
        <v>118</v>
      </c>
      <c r="I37" s="13"/>
    </row>
    <row r="38" spans="1:9" ht="15" customHeight="1">
      <c r="A38" s="30">
        <v>4</v>
      </c>
      <c r="B38" s="61" t="s">
        <v>26</v>
      </c>
      <c r="C38" s="62" t="s">
        <v>31</v>
      </c>
      <c r="D38" s="61" t="s">
        <v>332</v>
      </c>
      <c r="E38" s="63"/>
      <c r="F38" s="64">
        <v>5</v>
      </c>
      <c r="G38" s="124">
        <v>1855</v>
      </c>
      <c r="H38" s="65">
        <f t="shared" ref="H38:H44" si="4">SUM(F38*G38/1000)</f>
        <v>9.2750000000000004</v>
      </c>
      <c r="I38" s="13">
        <f>G38*1.5</f>
        <v>2782.5</v>
      </c>
    </row>
    <row r="39" spans="1:9" ht="14.25" customHeight="1">
      <c r="A39" s="30">
        <v>5</v>
      </c>
      <c r="B39" s="171" t="s">
        <v>133</v>
      </c>
      <c r="C39" s="172" t="s">
        <v>29</v>
      </c>
      <c r="D39" s="113" t="s">
        <v>171</v>
      </c>
      <c r="E39" s="165">
        <v>137</v>
      </c>
      <c r="F39" s="199">
        <f>E39*30/1000</f>
        <v>4.1100000000000003</v>
      </c>
      <c r="G39" s="116">
        <v>3014.36</v>
      </c>
      <c r="H39" s="65">
        <f t="shared" si="4"/>
        <v>12.389019600000001</v>
      </c>
      <c r="I39" s="13">
        <f t="shared" ref="I39:I44" si="5">F39/6*G39</f>
        <v>2064.8366000000001</v>
      </c>
    </row>
    <row r="40" spans="1:9" ht="30" customHeight="1">
      <c r="A40" s="30">
        <v>6</v>
      </c>
      <c r="B40" s="113" t="s">
        <v>64</v>
      </c>
      <c r="C40" s="114" t="s">
        <v>29</v>
      </c>
      <c r="D40" s="113" t="s">
        <v>179</v>
      </c>
      <c r="E40" s="116">
        <v>137</v>
      </c>
      <c r="F40" s="199">
        <f>SUM(E40*155/1000)</f>
        <v>21.234999999999999</v>
      </c>
      <c r="G40" s="116">
        <v>502.82</v>
      </c>
      <c r="H40" s="65">
        <f t="shared" si="4"/>
        <v>10.677382700000001</v>
      </c>
      <c r="I40" s="13">
        <f t="shared" si="5"/>
        <v>1779.5637833333333</v>
      </c>
    </row>
    <row r="41" spans="1:9" ht="63" customHeight="1">
      <c r="A41" s="30">
        <v>7</v>
      </c>
      <c r="B41" s="113" t="s">
        <v>76</v>
      </c>
      <c r="C41" s="114" t="s">
        <v>82</v>
      </c>
      <c r="D41" s="113" t="s">
        <v>185</v>
      </c>
      <c r="E41" s="116">
        <v>54.4</v>
      </c>
      <c r="F41" s="199">
        <f>SUM(E41*35/1000)</f>
        <v>1.9039999999999999</v>
      </c>
      <c r="G41" s="116">
        <v>8319.2999999999993</v>
      </c>
      <c r="H41" s="65">
        <f t="shared" si="4"/>
        <v>15.839947199999999</v>
      </c>
      <c r="I41" s="13">
        <f t="shared" si="5"/>
        <v>2639.9911999999995</v>
      </c>
    </row>
    <row r="42" spans="1:9" ht="17.25" hidden="1" customHeight="1">
      <c r="A42" s="30">
        <v>9</v>
      </c>
      <c r="B42" s="113" t="s">
        <v>83</v>
      </c>
      <c r="C42" s="114" t="s">
        <v>82</v>
      </c>
      <c r="D42" s="113" t="s">
        <v>173</v>
      </c>
      <c r="E42" s="116">
        <v>137</v>
      </c>
      <c r="F42" s="199">
        <f>E42*30/1000</f>
        <v>4.1100000000000003</v>
      </c>
      <c r="G42" s="116">
        <v>614.55999999999995</v>
      </c>
      <c r="H42" s="65">
        <f t="shared" si="4"/>
        <v>2.5258416000000001</v>
      </c>
      <c r="I42" s="13">
        <f>G42*F42/30*1</f>
        <v>84.194720000000004</v>
      </c>
    </row>
    <row r="43" spans="1:9" ht="16.5" hidden="1" customHeight="1">
      <c r="A43" s="30">
        <v>10</v>
      </c>
      <c r="B43" s="171" t="s">
        <v>66</v>
      </c>
      <c r="C43" s="172" t="s">
        <v>32</v>
      </c>
      <c r="D43" s="171"/>
      <c r="E43" s="170"/>
      <c r="F43" s="199">
        <v>0.9</v>
      </c>
      <c r="G43" s="199">
        <v>900</v>
      </c>
      <c r="H43" s="65">
        <f t="shared" si="4"/>
        <v>0.81</v>
      </c>
      <c r="I43" s="13">
        <f>G43*F43/30*1</f>
        <v>27</v>
      </c>
    </row>
    <row r="44" spans="1:9" ht="31.5" customHeight="1">
      <c r="A44" s="30">
        <v>8</v>
      </c>
      <c r="B44" s="105" t="s">
        <v>134</v>
      </c>
      <c r="C44" s="106" t="s">
        <v>29</v>
      </c>
      <c r="D44" s="171" t="s">
        <v>186</v>
      </c>
      <c r="E44" s="170">
        <v>3</v>
      </c>
      <c r="F44" s="199">
        <f>SUM(E44*12/1000)</f>
        <v>3.5999999999999997E-2</v>
      </c>
      <c r="G44" s="199">
        <v>19757.060000000001</v>
      </c>
      <c r="H44" s="65">
        <f t="shared" si="4"/>
        <v>0.71125415999999997</v>
      </c>
      <c r="I44" s="13">
        <f t="shared" si="5"/>
        <v>118.54235999999999</v>
      </c>
    </row>
    <row r="45" spans="1:9">
      <c r="A45" s="221" t="s">
        <v>121</v>
      </c>
      <c r="B45" s="222"/>
      <c r="C45" s="222"/>
      <c r="D45" s="222"/>
      <c r="E45" s="222"/>
      <c r="F45" s="222"/>
      <c r="G45" s="222"/>
      <c r="H45" s="222"/>
      <c r="I45" s="223"/>
    </row>
    <row r="46" spans="1:9" hidden="1">
      <c r="A46" s="30">
        <v>12</v>
      </c>
      <c r="B46" s="61" t="s">
        <v>113</v>
      </c>
      <c r="C46" s="62" t="s">
        <v>82</v>
      </c>
      <c r="D46" s="61" t="s">
        <v>40</v>
      </c>
      <c r="E46" s="63">
        <v>1320.9</v>
      </c>
      <c r="F46" s="64">
        <f>SUM(E46*2/1000)</f>
        <v>2.6418000000000004</v>
      </c>
      <c r="G46" s="35">
        <v>1114.1300000000001</v>
      </c>
      <c r="H46" s="65">
        <f t="shared" ref="H46:H54" si="6">SUM(F46*G46/1000)</f>
        <v>2.943308634000001</v>
      </c>
      <c r="I46" s="13">
        <f>2.6418/2*G46</f>
        <v>1471.654317</v>
      </c>
    </row>
    <row r="47" spans="1:9" hidden="1">
      <c r="A47" s="30">
        <v>13</v>
      </c>
      <c r="B47" s="61" t="s">
        <v>33</v>
      </c>
      <c r="C47" s="62" t="s">
        <v>82</v>
      </c>
      <c r="D47" s="61" t="s">
        <v>40</v>
      </c>
      <c r="E47" s="63">
        <v>52</v>
      </c>
      <c r="F47" s="64">
        <f>E47*2/1000</f>
        <v>0.104</v>
      </c>
      <c r="G47" s="35">
        <v>4419.05</v>
      </c>
      <c r="H47" s="65">
        <f t="shared" si="6"/>
        <v>0.45958120000000002</v>
      </c>
      <c r="I47" s="13">
        <f>0.104/2*G47</f>
        <v>229.79060000000001</v>
      </c>
    </row>
    <row r="48" spans="1:9" hidden="1">
      <c r="A48" s="30">
        <v>14</v>
      </c>
      <c r="B48" s="61" t="s">
        <v>34</v>
      </c>
      <c r="C48" s="62" t="s">
        <v>82</v>
      </c>
      <c r="D48" s="61" t="s">
        <v>40</v>
      </c>
      <c r="E48" s="63">
        <v>1520.8</v>
      </c>
      <c r="F48" s="64">
        <f>SUM(E48*2/1000)</f>
        <v>3.0415999999999999</v>
      </c>
      <c r="G48" s="35">
        <v>1803.69</v>
      </c>
      <c r="H48" s="65">
        <f t="shared" si="6"/>
        <v>5.4861035039999999</v>
      </c>
      <c r="I48" s="13">
        <f>3.0416/2*G48</f>
        <v>2743.0517519999999</v>
      </c>
    </row>
    <row r="49" spans="1:9" hidden="1">
      <c r="A49" s="30">
        <v>15</v>
      </c>
      <c r="B49" s="61" t="s">
        <v>35</v>
      </c>
      <c r="C49" s="62" t="s">
        <v>82</v>
      </c>
      <c r="D49" s="61" t="s">
        <v>40</v>
      </c>
      <c r="E49" s="63">
        <v>3433.81</v>
      </c>
      <c r="F49" s="64">
        <f>SUM(E49*2/1000)</f>
        <v>6.8676199999999996</v>
      </c>
      <c r="G49" s="35">
        <v>1243.43</v>
      </c>
      <c r="H49" s="65">
        <f t="shared" si="6"/>
        <v>8.5394047365999999</v>
      </c>
      <c r="I49" s="13">
        <f>6.86762/2*G49</f>
        <v>4269.7023682999998</v>
      </c>
    </row>
    <row r="50" spans="1:9" ht="18" customHeight="1">
      <c r="A50" s="30">
        <v>9</v>
      </c>
      <c r="B50" s="113" t="s">
        <v>167</v>
      </c>
      <c r="C50" s="114" t="s">
        <v>82</v>
      </c>
      <c r="D50" s="113" t="s">
        <v>173</v>
      </c>
      <c r="E50" s="165">
        <v>4731.7</v>
      </c>
      <c r="F50" s="116">
        <f>SUM(E50*5/1000)</f>
        <v>23.6585</v>
      </c>
      <c r="G50" s="115">
        <v>1739.68</v>
      </c>
      <c r="H50" s="65">
        <f t="shared" si="6"/>
        <v>41.158219280000004</v>
      </c>
      <c r="I50" s="13">
        <f>F50/5*G50</f>
        <v>8231.6438560000006</v>
      </c>
    </row>
    <row r="51" spans="1:9" ht="45" hidden="1">
      <c r="A51" s="30">
        <v>10</v>
      </c>
      <c r="B51" s="61" t="s">
        <v>84</v>
      </c>
      <c r="C51" s="62" t="s">
        <v>82</v>
      </c>
      <c r="D51" s="61" t="s">
        <v>40</v>
      </c>
      <c r="E51" s="63">
        <v>4731.7</v>
      </c>
      <c r="F51" s="64">
        <f>SUM(E51*2/1000)</f>
        <v>9.4634</v>
      </c>
      <c r="G51" s="35">
        <v>1591.6</v>
      </c>
      <c r="H51" s="65">
        <f t="shared" si="6"/>
        <v>15.061947439999999</v>
      </c>
      <c r="I51" s="13">
        <f>9.4634/2*G51</f>
        <v>7530.97372</v>
      </c>
    </row>
    <row r="52" spans="1:9" ht="30" hidden="1">
      <c r="A52" s="30">
        <v>11</v>
      </c>
      <c r="B52" s="61" t="s">
        <v>85</v>
      </c>
      <c r="C52" s="62" t="s">
        <v>36</v>
      </c>
      <c r="D52" s="61" t="s">
        <v>40</v>
      </c>
      <c r="E52" s="63">
        <v>20</v>
      </c>
      <c r="F52" s="64">
        <f>SUM(E52*2/100)</f>
        <v>0.4</v>
      </c>
      <c r="G52" s="35">
        <v>4058.32</v>
      </c>
      <c r="H52" s="65">
        <f>SUM(F52*G52/1000)</f>
        <v>1.6233280000000001</v>
      </c>
      <c r="I52" s="13">
        <f>0.4/2*G52</f>
        <v>811.6640000000001</v>
      </c>
    </row>
    <row r="53" spans="1:9" hidden="1">
      <c r="A53" s="30">
        <v>12</v>
      </c>
      <c r="B53" s="61" t="s">
        <v>37</v>
      </c>
      <c r="C53" s="62" t="s">
        <v>38</v>
      </c>
      <c r="D53" s="61" t="s">
        <v>40</v>
      </c>
      <c r="E53" s="63">
        <v>1</v>
      </c>
      <c r="F53" s="64">
        <v>0.02</v>
      </c>
      <c r="G53" s="35">
        <v>7412.92</v>
      </c>
      <c r="H53" s="65">
        <f t="shared" si="6"/>
        <v>0.14825839999999998</v>
      </c>
      <c r="I53" s="13">
        <f>0.02/2*G53</f>
        <v>74.129199999999997</v>
      </c>
    </row>
    <row r="54" spans="1:9" ht="17.25" hidden="1" customHeight="1">
      <c r="A54" s="30">
        <v>10</v>
      </c>
      <c r="B54" s="161" t="s">
        <v>39</v>
      </c>
      <c r="C54" s="162" t="s">
        <v>97</v>
      </c>
      <c r="D54" s="161" t="s">
        <v>51</v>
      </c>
      <c r="E54" s="163">
        <v>160</v>
      </c>
      <c r="F54" s="124">
        <f>SUM(E54)</f>
        <v>160</v>
      </c>
      <c r="G54" s="164">
        <v>86.15</v>
      </c>
      <c r="H54" s="65">
        <f t="shared" si="6"/>
        <v>13.784000000000001</v>
      </c>
      <c r="I54" s="13">
        <f>G54*160</f>
        <v>13784</v>
      </c>
    </row>
    <row r="55" spans="1:9">
      <c r="A55" s="221" t="s">
        <v>122</v>
      </c>
      <c r="B55" s="222"/>
      <c r="C55" s="222"/>
      <c r="D55" s="222"/>
      <c r="E55" s="222"/>
      <c r="F55" s="222"/>
      <c r="G55" s="222"/>
      <c r="H55" s="222"/>
      <c r="I55" s="223"/>
    </row>
    <row r="56" spans="1:9" hidden="1">
      <c r="A56" s="30"/>
      <c r="B56" s="81" t="s">
        <v>41</v>
      </c>
      <c r="C56" s="62"/>
      <c r="D56" s="61"/>
      <c r="E56" s="63"/>
      <c r="F56" s="64"/>
      <c r="G56" s="64"/>
      <c r="H56" s="65"/>
      <c r="I56" s="13"/>
    </row>
    <row r="57" spans="1:9" ht="45" hidden="1">
      <c r="A57" s="30">
        <v>14</v>
      </c>
      <c r="B57" s="61" t="s">
        <v>114</v>
      </c>
      <c r="C57" s="62" t="s">
        <v>80</v>
      </c>
      <c r="D57" s="61" t="s">
        <v>98</v>
      </c>
      <c r="E57" s="63">
        <v>107.21</v>
      </c>
      <c r="F57" s="64">
        <f>SUM(E57*6/100)</f>
        <v>6.4325999999999999</v>
      </c>
      <c r="G57" s="13">
        <v>2029.3</v>
      </c>
      <c r="H57" s="65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0" t="s">
        <v>116</v>
      </c>
      <c r="C58" s="71" t="s">
        <v>117</v>
      </c>
      <c r="D58" s="70" t="s">
        <v>40</v>
      </c>
      <c r="E58" s="72">
        <v>4</v>
      </c>
      <c r="F58" s="73">
        <v>0.8</v>
      </c>
      <c r="G58" s="13">
        <v>237.1</v>
      </c>
      <c r="H58" s="65">
        <f t="shared" ref="H58:H59" si="7">SUM(F58*G58/1000)</f>
        <v>0.18968000000000002</v>
      </c>
      <c r="I58" s="13">
        <f>F58/2*G58</f>
        <v>94.84</v>
      </c>
    </row>
    <row r="59" spans="1:9" ht="16.5" hidden="1" customHeight="1">
      <c r="A59" s="30">
        <v>13</v>
      </c>
      <c r="B59" s="61" t="s">
        <v>115</v>
      </c>
      <c r="C59" s="62" t="s">
        <v>80</v>
      </c>
      <c r="D59" s="61" t="s">
        <v>173</v>
      </c>
      <c r="E59" s="63">
        <v>3.8</v>
      </c>
      <c r="F59" s="64">
        <f>SUM(E59*6/100)</f>
        <v>0.22799999999999998</v>
      </c>
      <c r="G59" s="13">
        <v>2029.3</v>
      </c>
      <c r="H59" s="65">
        <f t="shared" si="7"/>
        <v>0.46268039999999994</v>
      </c>
      <c r="I59" s="13">
        <f>F59/6*G59</f>
        <v>77.113399999999999</v>
      </c>
    </row>
    <row r="60" spans="1:9" hidden="1">
      <c r="A60" s="30">
        <v>11</v>
      </c>
      <c r="B60" s="61" t="s">
        <v>136</v>
      </c>
      <c r="C60" s="62" t="s">
        <v>137</v>
      </c>
      <c r="D60" s="61" t="s">
        <v>63</v>
      </c>
      <c r="E60" s="63"/>
      <c r="F60" s="64">
        <v>3</v>
      </c>
      <c r="G60" s="13">
        <v>1582.05</v>
      </c>
      <c r="H60" s="65">
        <f>SUM(F60*G60/1000)</f>
        <v>4.7461499999999992</v>
      </c>
      <c r="I60" s="13">
        <f>G60*10</f>
        <v>15820.5</v>
      </c>
    </row>
    <row r="61" spans="1:9" ht="15" customHeight="1">
      <c r="A61" s="30"/>
      <c r="B61" s="82" t="s">
        <v>42</v>
      </c>
      <c r="C61" s="71"/>
      <c r="D61" s="70"/>
      <c r="E61" s="72"/>
      <c r="F61" s="73"/>
      <c r="G61" s="13"/>
      <c r="H61" s="74"/>
      <c r="I61" s="13"/>
    </row>
    <row r="62" spans="1:9" hidden="1">
      <c r="A62" s="30">
        <v>18</v>
      </c>
      <c r="B62" s="70" t="s">
        <v>138</v>
      </c>
      <c r="C62" s="71" t="s">
        <v>50</v>
      </c>
      <c r="D62" s="70" t="s">
        <v>51</v>
      </c>
      <c r="E62" s="72">
        <v>660.45</v>
      </c>
      <c r="F62" s="73">
        <f>E62/100</f>
        <v>6.6045000000000007</v>
      </c>
      <c r="G62" s="13">
        <v>1040.8399999999999</v>
      </c>
      <c r="H62" s="74">
        <f>F62*G62/1000</f>
        <v>6.87422778</v>
      </c>
      <c r="I62" s="13">
        <f>G62*(1.2/100)</f>
        <v>12.490079999999999</v>
      </c>
    </row>
    <row r="63" spans="1:9" ht="18" customHeight="1">
      <c r="A63" s="30">
        <v>10</v>
      </c>
      <c r="B63" s="70" t="s">
        <v>108</v>
      </c>
      <c r="C63" s="71" t="s">
        <v>25</v>
      </c>
      <c r="D63" s="70" t="s">
        <v>173</v>
      </c>
      <c r="E63" s="72">
        <v>200</v>
      </c>
      <c r="F63" s="175">
        <v>2400</v>
      </c>
      <c r="G63" s="56">
        <v>1.4</v>
      </c>
      <c r="H63" s="73">
        <f>F63*G63/1000</f>
        <v>3.36</v>
      </c>
      <c r="I63" s="13">
        <f>F63/12*G63</f>
        <v>280</v>
      </c>
    </row>
    <row r="64" spans="1:9" hidden="1">
      <c r="A64" s="30"/>
      <c r="B64" s="82" t="s">
        <v>43</v>
      </c>
      <c r="C64" s="71"/>
      <c r="D64" s="70"/>
      <c r="E64" s="72"/>
      <c r="F64" s="75"/>
      <c r="G64" s="75"/>
      <c r="H64" s="73" t="s">
        <v>118</v>
      </c>
      <c r="I64" s="13"/>
    </row>
    <row r="65" spans="1:9" hidden="1">
      <c r="A65" s="30">
        <v>15</v>
      </c>
      <c r="B65" s="14" t="s">
        <v>44</v>
      </c>
      <c r="C65" s="16" t="s">
        <v>97</v>
      </c>
      <c r="D65" s="44" t="s">
        <v>187</v>
      </c>
      <c r="E65" s="18">
        <v>10</v>
      </c>
      <c r="F65" s="64">
        <f>SUM(E65)</f>
        <v>10</v>
      </c>
      <c r="G65" s="115">
        <v>291.68</v>
      </c>
      <c r="H65" s="76">
        <f t="shared" ref="H65:H83" si="8">SUM(F65*G65/1000)</f>
        <v>2.9168000000000003</v>
      </c>
      <c r="I65" s="13">
        <f>G65*12</f>
        <v>3500.16</v>
      </c>
    </row>
    <row r="66" spans="1:9" hidden="1">
      <c r="A66" s="30"/>
      <c r="B66" s="14" t="s">
        <v>45</v>
      </c>
      <c r="C66" s="16" t="s">
        <v>97</v>
      </c>
      <c r="D66" s="14" t="s">
        <v>63</v>
      </c>
      <c r="E66" s="18">
        <v>9</v>
      </c>
      <c r="F66" s="64">
        <f>SUM(E66)</f>
        <v>9</v>
      </c>
      <c r="G66" s="13">
        <v>100.01</v>
      </c>
      <c r="H66" s="76">
        <f t="shared" si="8"/>
        <v>0.90009000000000006</v>
      </c>
      <c r="I66" s="13">
        <v>0</v>
      </c>
    </row>
    <row r="67" spans="1:9" hidden="1">
      <c r="A67" s="30">
        <v>16</v>
      </c>
      <c r="B67" s="14" t="s">
        <v>46</v>
      </c>
      <c r="C67" s="16" t="s">
        <v>99</v>
      </c>
      <c r="D67" s="14" t="s">
        <v>51</v>
      </c>
      <c r="E67" s="63">
        <v>19836</v>
      </c>
      <c r="F67" s="13">
        <f>SUM(E67/100)</f>
        <v>198.36</v>
      </c>
      <c r="G67" s="13">
        <v>278.24</v>
      </c>
      <c r="H67" s="76">
        <f t="shared" si="8"/>
        <v>55.191686400000009</v>
      </c>
      <c r="I67" s="13">
        <f>F67*G67</f>
        <v>55191.686400000006</v>
      </c>
    </row>
    <row r="68" spans="1:9" hidden="1">
      <c r="A68" s="30">
        <v>27</v>
      </c>
      <c r="B68" s="14" t="s">
        <v>47</v>
      </c>
      <c r="C68" s="16" t="s">
        <v>100</v>
      </c>
      <c r="D68" s="14"/>
      <c r="E68" s="63">
        <v>19836</v>
      </c>
      <c r="F68" s="13">
        <f>SUM(E68/1000)</f>
        <v>19.835999999999999</v>
      </c>
      <c r="G68" s="13">
        <v>216.68</v>
      </c>
      <c r="H68" s="76">
        <f t="shared" si="8"/>
        <v>4.2980644799999999</v>
      </c>
      <c r="I68" s="13">
        <f t="shared" ref="I68:I72" si="9">F68*G68</f>
        <v>4298.06448</v>
      </c>
    </row>
    <row r="69" spans="1:9" hidden="1">
      <c r="A69" s="30">
        <v>28</v>
      </c>
      <c r="B69" s="14" t="s">
        <v>48</v>
      </c>
      <c r="C69" s="16" t="s">
        <v>71</v>
      </c>
      <c r="D69" s="14" t="s">
        <v>51</v>
      </c>
      <c r="E69" s="63">
        <v>3155</v>
      </c>
      <c r="F69" s="13">
        <f>SUM(E69/100)</f>
        <v>31.55</v>
      </c>
      <c r="G69" s="13">
        <v>2720.94</v>
      </c>
      <c r="H69" s="76">
        <f t="shared" si="8"/>
        <v>85.845657000000003</v>
      </c>
      <c r="I69" s="13">
        <f t="shared" si="9"/>
        <v>85845.657000000007</v>
      </c>
    </row>
    <row r="70" spans="1:9" hidden="1">
      <c r="A70" s="30">
        <v>29</v>
      </c>
      <c r="B70" s="77" t="s">
        <v>101</v>
      </c>
      <c r="C70" s="16" t="s">
        <v>32</v>
      </c>
      <c r="D70" s="14"/>
      <c r="E70" s="63">
        <v>34.5</v>
      </c>
      <c r="F70" s="13">
        <f>SUM(E70)</f>
        <v>34.5</v>
      </c>
      <c r="G70" s="13">
        <v>44.31</v>
      </c>
      <c r="H70" s="76">
        <f t="shared" si="8"/>
        <v>1.5286950000000001</v>
      </c>
      <c r="I70" s="13">
        <f t="shared" si="9"/>
        <v>1528.6950000000002</v>
      </c>
    </row>
    <row r="71" spans="1:9" hidden="1">
      <c r="A71" s="30">
        <v>30</v>
      </c>
      <c r="B71" s="77" t="s">
        <v>102</v>
      </c>
      <c r="C71" s="16" t="s">
        <v>32</v>
      </c>
      <c r="D71" s="14"/>
      <c r="E71" s="63">
        <v>34.5</v>
      </c>
      <c r="F71" s="13">
        <f t="shared" ref="F71:F72" si="10">SUM(E71)</f>
        <v>34.5</v>
      </c>
      <c r="G71" s="13">
        <v>47.79</v>
      </c>
      <c r="H71" s="76">
        <f t="shared" si="8"/>
        <v>1.648755</v>
      </c>
      <c r="I71" s="13">
        <f t="shared" si="9"/>
        <v>1648.7549999999999</v>
      </c>
    </row>
    <row r="72" spans="1:9" hidden="1">
      <c r="A72" s="30">
        <v>19</v>
      </c>
      <c r="B72" s="14" t="s">
        <v>54</v>
      </c>
      <c r="C72" s="16" t="s">
        <v>55</v>
      </c>
      <c r="D72" s="14" t="s">
        <v>51</v>
      </c>
      <c r="E72" s="18">
        <v>5</v>
      </c>
      <c r="F72" s="13">
        <f t="shared" si="10"/>
        <v>5</v>
      </c>
      <c r="G72" s="13">
        <v>65.42</v>
      </c>
      <c r="H72" s="76">
        <f t="shared" si="8"/>
        <v>0.3271</v>
      </c>
      <c r="I72" s="13">
        <f t="shared" si="9"/>
        <v>327.10000000000002</v>
      </c>
    </row>
    <row r="73" spans="1:9" ht="16.5" customHeight="1">
      <c r="A73" s="30"/>
      <c r="B73" s="95" t="s">
        <v>139</v>
      </c>
      <c r="C73" s="49"/>
      <c r="D73" s="14"/>
      <c r="E73" s="18"/>
      <c r="F73" s="13"/>
      <c r="G73" s="13"/>
      <c r="H73" s="76"/>
      <c r="I73" s="13"/>
    </row>
    <row r="74" spans="1:9" ht="21" customHeight="1">
      <c r="A74" s="30">
        <v>11</v>
      </c>
      <c r="B74" s="36" t="s">
        <v>140</v>
      </c>
      <c r="C74" s="176" t="s">
        <v>141</v>
      </c>
      <c r="D74" s="36"/>
      <c r="E74" s="17">
        <v>4731.7</v>
      </c>
      <c r="F74" s="35">
        <f>SUM(E74*12)</f>
        <v>56780.399999999994</v>
      </c>
      <c r="G74" s="35">
        <v>2.4900000000000002</v>
      </c>
      <c r="H74" s="76">
        <f t="shared" ref="H74" si="11">SUM(F74*G74/1000)</f>
        <v>141.383196</v>
      </c>
      <c r="I74" s="13">
        <f>F74/12*G74</f>
        <v>11781.933000000001</v>
      </c>
    </row>
    <row r="75" spans="1:9" ht="17.25" customHeight="1">
      <c r="A75" s="30"/>
      <c r="B75" s="157" t="s">
        <v>67</v>
      </c>
      <c r="C75" s="16"/>
      <c r="D75" s="14"/>
      <c r="E75" s="18"/>
      <c r="F75" s="13"/>
      <c r="G75" s="13"/>
      <c r="H75" s="76" t="s">
        <v>118</v>
      </c>
      <c r="I75" s="13"/>
    </row>
    <row r="76" spans="1:9" ht="30" hidden="1">
      <c r="A76" s="30"/>
      <c r="B76" s="14" t="s">
        <v>142</v>
      </c>
      <c r="C76" s="16" t="s">
        <v>97</v>
      </c>
      <c r="D76" s="14" t="s">
        <v>63</v>
      </c>
      <c r="E76" s="18">
        <v>1</v>
      </c>
      <c r="F76" s="13">
        <v>1</v>
      </c>
      <c r="G76" s="13">
        <v>1543.4</v>
      </c>
      <c r="H76" s="76">
        <f t="shared" ref="H76:H79" si="12">SUM(F76*G76/1000)</f>
        <v>1.5434000000000001</v>
      </c>
      <c r="I76" s="13">
        <v>0</v>
      </c>
    </row>
    <row r="77" spans="1:9" hidden="1">
      <c r="A77" s="30">
        <v>19</v>
      </c>
      <c r="B77" s="47" t="s">
        <v>143</v>
      </c>
      <c r="C77" s="49" t="s">
        <v>97</v>
      </c>
      <c r="D77" s="14" t="s">
        <v>63</v>
      </c>
      <c r="E77" s="18">
        <v>4</v>
      </c>
      <c r="F77" s="13">
        <v>1</v>
      </c>
      <c r="G77" s="13">
        <v>130.96</v>
      </c>
      <c r="H77" s="76">
        <f>SUM(F77*G77/1000)</f>
        <v>0.13096000000000002</v>
      </c>
      <c r="I77" s="13">
        <v>0</v>
      </c>
    </row>
    <row r="78" spans="1:9" hidden="1">
      <c r="A78" s="30">
        <v>13</v>
      </c>
      <c r="B78" s="14" t="s">
        <v>68</v>
      </c>
      <c r="C78" s="16" t="s">
        <v>69</v>
      </c>
      <c r="D78" s="44" t="s">
        <v>63</v>
      </c>
      <c r="E78" s="18">
        <v>8</v>
      </c>
      <c r="F78" s="13">
        <f>E78/10</f>
        <v>0.8</v>
      </c>
      <c r="G78" s="13">
        <v>657.87</v>
      </c>
      <c r="H78" s="76">
        <f t="shared" si="12"/>
        <v>0.5262960000000001</v>
      </c>
      <c r="I78" s="13">
        <f>G78*0.2</f>
        <v>131.57400000000001</v>
      </c>
    </row>
    <row r="79" spans="1:9" hidden="1">
      <c r="A79" s="30"/>
      <c r="B79" s="14" t="s">
        <v>144</v>
      </c>
      <c r="C79" s="16" t="s">
        <v>97</v>
      </c>
      <c r="D79" s="14" t="s">
        <v>63</v>
      </c>
      <c r="E79" s="18">
        <v>1</v>
      </c>
      <c r="F79" s="64">
        <f>SUM(E79)</f>
        <v>1</v>
      </c>
      <c r="G79" s="13">
        <v>1118.72</v>
      </c>
      <c r="H79" s="76">
        <f t="shared" si="12"/>
        <v>1.1187199999999999</v>
      </c>
      <c r="I79" s="13">
        <v>0</v>
      </c>
    </row>
    <row r="80" spans="1:9" hidden="1">
      <c r="A80" s="30"/>
      <c r="B80" s="47" t="s">
        <v>145</v>
      </c>
      <c r="C80" s="49" t="s">
        <v>97</v>
      </c>
      <c r="D80" s="14" t="s">
        <v>63</v>
      </c>
      <c r="E80" s="18">
        <v>1</v>
      </c>
      <c r="F80" s="56">
        <v>1</v>
      </c>
      <c r="G80" s="13">
        <v>3757.02</v>
      </c>
      <c r="H80" s="76">
        <f>SUM(F80*G80/1000)</f>
        <v>3.7570199999999998</v>
      </c>
      <c r="I80" s="13">
        <v>0</v>
      </c>
    </row>
    <row r="81" spans="1:9" ht="15.75" customHeight="1">
      <c r="A81" s="30">
        <v>12</v>
      </c>
      <c r="B81" s="105" t="s">
        <v>146</v>
      </c>
      <c r="C81" s="106" t="s">
        <v>97</v>
      </c>
      <c r="D81" s="36" t="s">
        <v>173</v>
      </c>
      <c r="E81" s="177">
        <v>2</v>
      </c>
      <c r="F81" s="175">
        <f>E81*12</f>
        <v>24</v>
      </c>
      <c r="G81" s="167">
        <v>404</v>
      </c>
      <c r="H81" s="76">
        <f t="shared" ref="H81" si="13">SUM(F81*G81/1000)</f>
        <v>9.6959999999999997</v>
      </c>
      <c r="I81" s="13">
        <f>F81/12*G81</f>
        <v>808</v>
      </c>
    </row>
    <row r="82" spans="1:9" hidden="1">
      <c r="A82" s="30"/>
      <c r="B82" s="79" t="s">
        <v>70</v>
      </c>
      <c r="C82" s="16"/>
      <c r="D82" s="14"/>
      <c r="E82" s="18"/>
      <c r="F82" s="13"/>
      <c r="G82" s="13" t="s">
        <v>118</v>
      </c>
      <c r="H82" s="76" t="s">
        <v>118</v>
      </c>
      <c r="I82" s="13"/>
    </row>
    <row r="83" spans="1:9" hidden="1">
      <c r="A83" s="30"/>
      <c r="B83" s="44" t="s">
        <v>110</v>
      </c>
      <c r="C83" s="16" t="s">
        <v>71</v>
      </c>
      <c r="D83" s="14"/>
      <c r="E83" s="18"/>
      <c r="F83" s="13">
        <v>0.3</v>
      </c>
      <c r="G83" s="13">
        <v>3619.09</v>
      </c>
      <c r="H83" s="76">
        <f t="shared" si="8"/>
        <v>1.0857270000000001</v>
      </c>
      <c r="I83" s="13">
        <v>0</v>
      </c>
    </row>
    <row r="84" spans="1:9" ht="28.5">
      <c r="A84" s="30"/>
      <c r="B84" s="96" t="s">
        <v>86</v>
      </c>
      <c r="C84" s="79"/>
      <c r="D84" s="32"/>
      <c r="E84" s="33"/>
      <c r="F84" s="67"/>
      <c r="G84" s="67"/>
      <c r="H84" s="80">
        <f>SUM(H57:H83)</f>
        <v>340.58458024000009</v>
      </c>
      <c r="I84" s="67"/>
    </row>
    <row r="85" spans="1:9">
      <c r="A85" s="30">
        <v>13</v>
      </c>
      <c r="B85" s="61" t="s">
        <v>103</v>
      </c>
      <c r="C85" s="16"/>
      <c r="D85" s="14"/>
      <c r="E85" s="57"/>
      <c r="F85" s="13">
        <v>1</v>
      </c>
      <c r="G85" s="13">
        <v>2676.8</v>
      </c>
      <c r="H85" s="76">
        <f>G85*F85/1000</f>
        <v>2.6768000000000001</v>
      </c>
      <c r="I85" s="13">
        <f>G85*1</f>
        <v>2676.8</v>
      </c>
    </row>
    <row r="86" spans="1:9">
      <c r="A86" s="230" t="s">
        <v>123</v>
      </c>
      <c r="B86" s="231"/>
      <c r="C86" s="231"/>
      <c r="D86" s="231"/>
      <c r="E86" s="231"/>
      <c r="F86" s="231"/>
      <c r="G86" s="231"/>
      <c r="H86" s="231"/>
      <c r="I86" s="232"/>
    </row>
    <row r="87" spans="1:9" ht="15" customHeight="1">
      <c r="A87" s="30">
        <v>14</v>
      </c>
      <c r="B87" s="113" t="s">
        <v>104</v>
      </c>
      <c r="C87" s="168" t="s">
        <v>52</v>
      </c>
      <c r="D87" s="169"/>
      <c r="E87" s="35">
        <v>4731.7</v>
      </c>
      <c r="F87" s="35">
        <f>SUM(E87*12)</f>
        <v>56780.399999999994</v>
      </c>
      <c r="G87" s="35">
        <v>3.38</v>
      </c>
      <c r="H87" s="76">
        <f>SUM(F87*G87/1000)</f>
        <v>191.91775199999998</v>
      </c>
      <c r="I87" s="13">
        <f>F87/12*G87</f>
        <v>15993.145999999999</v>
      </c>
    </row>
    <row r="88" spans="1:9" ht="33" customHeight="1">
      <c r="A88" s="30">
        <v>15</v>
      </c>
      <c r="B88" s="36" t="s">
        <v>72</v>
      </c>
      <c r="C88" s="168"/>
      <c r="D88" s="48"/>
      <c r="E88" s="165">
        <f>E87</f>
        <v>4731.7</v>
      </c>
      <c r="F88" s="35">
        <f>E88*12</f>
        <v>56780.399999999994</v>
      </c>
      <c r="G88" s="35">
        <v>3.05</v>
      </c>
      <c r="H88" s="76">
        <f>F88*G88/1000</f>
        <v>173.18021999999996</v>
      </c>
      <c r="I88" s="13">
        <f>F88/12*G88</f>
        <v>14431.684999999999</v>
      </c>
    </row>
    <row r="89" spans="1:9">
      <c r="A89" s="30"/>
      <c r="B89" s="37" t="s">
        <v>74</v>
      </c>
      <c r="C89" s="79"/>
      <c r="D89" s="78"/>
      <c r="E89" s="67"/>
      <c r="F89" s="67"/>
      <c r="G89" s="67"/>
      <c r="H89" s="80">
        <f>H88</f>
        <v>173.18021999999996</v>
      </c>
      <c r="I89" s="67">
        <f>I88+I87+I85+I81+I74+I63+I50+I44+I41+I40+I39+I38+I18+I17+I16</f>
        <v>79958.032578500002</v>
      </c>
    </row>
    <row r="90" spans="1:9">
      <c r="A90" s="227" t="s">
        <v>57</v>
      </c>
      <c r="B90" s="228"/>
      <c r="C90" s="228"/>
      <c r="D90" s="228"/>
      <c r="E90" s="228"/>
      <c r="F90" s="228"/>
      <c r="G90" s="228"/>
      <c r="H90" s="228"/>
      <c r="I90" s="229"/>
    </row>
    <row r="91" spans="1:9">
      <c r="A91" s="30">
        <v>16</v>
      </c>
      <c r="B91" s="105" t="s">
        <v>37</v>
      </c>
      <c r="C91" s="106" t="s">
        <v>304</v>
      </c>
      <c r="D91" s="192" t="s">
        <v>173</v>
      </c>
      <c r="E91" s="167"/>
      <c r="F91" s="167">
        <v>0.02</v>
      </c>
      <c r="G91" s="167">
        <v>8763.7900000000009</v>
      </c>
      <c r="H91" s="35"/>
      <c r="I91" s="13">
        <v>0</v>
      </c>
    </row>
    <row r="92" spans="1:9" ht="30">
      <c r="A92" s="30">
        <v>17</v>
      </c>
      <c r="B92" s="105" t="s">
        <v>333</v>
      </c>
      <c r="C92" s="106" t="s">
        <v>334</v>
      </c>
      <c r="D92" s="192" t="s">
        <v>335</v>
      </c>
      <c r="E92" s="167"/>
      <c r="F92" s="167">
        <v>1</v>
      </c>
      <c r="G92" s="167">
        <v>784.27</v>
      </c>
      <c r="H92" s="35"/>
      <c r="I92" s="13">
        <f>G92*1</f>
        <v>784.27</v>
      </c>
    </row>
    <row r="93" spans="1:9">
      <c r="A93" s="30">
        <v>18</v>
      </c>
      <c r="B93" s="97" t="s">
        <v>229</v>
      </c>
      <c r="C93" s="83" t="s">
        <v>97</v>
      </c>
      <c r="D93" s="192"/>
      <c r="E93" s="167"/>
      <c r="F93" s="167">
        <v>2</v>
      </c>
      <c r="G93" s="167">
        <v>368.33</v>
      </c>
      <c r="H93" s="35"/>
      <c r="I93" s="13">
        <f>G93*1</f>
        <v>368.33</v>
      </c>
    </row>
    <row r="94" spans="1:9">
      <c r="A94" s="30">
        <v>19</v>
      </c>
      <c r="B94" s="105" t="s">
        <v>190</v>
      </c>
      <c r="C94" s="106" t="s">
        <v>38</v>
      </c>
      <c r="D94" s="192" t="s">
        <v>318</v>
      </c>
      <c r="E94" s="167"/>
      <c r="F94" s="167">
        <v>0.06</v>
      </c>
      <c r="G94" s="167">
        <v>28224.75</v>
      </c>
      <c r="H94" s="35"/>
      <c r="I94" s="13">
        <v>0</v>
      </c>
    </row>
    <row r="95" spans="1:9" ht="17.25" customHeight="1">
      <c r="A95" s="30"/>
      <c r="B95" s="32" t="s">
        <v>49</v>
      </c>
      <c r="C95" s="38"/>
      <c r="D95" s="45"/>
      <c r="E95" s="38">
        <v>1</v>
      </c>
      <c r="F95" s="38"/>
      <c r="G95" s="38"/>
      <c r="H95" s="38"/>
      <c r="I95" s="33">
        <f>SUM(I91:I94)</f>
        <v>1152.5999999999999</v>
      </c>
    </row>
    <row r="96" spans="1:9">
      <c r="A96" s="30"/>
      <c r="B96" s="44" t="s">
        <v>73</v>
      </c>
      <c r="C96" s="15"/>
      <c r="D96" s="15"/>
      <c r="E96" s="39"/>
      <c r="F96" s="39"/>
      <c r="G96" s="40"/>
      <c r="H96" s="40"/>
      <c r="I96" s="17">
        <v>0</v>
      </c>
    </row>
    <row r="97" spans="1:9">
      <c r="A97" s="46"/>
      <c r="B97" s="43" t="s">
        <v>131</v>
      </c>
      <c r="C97" s="34"/>
      <c r="D97" s="34"/>
      <c r="E97" s="34"/>
      <c r="F97" s="34"/>
      <c r="G97" s="34"/>
      <c r="H97" s="34"/>
      <c r="I97" s="41">
        <f>I89+I95</f>
        <v>81110.632578500008</v>
      </c>
    </row>
    <row r="98" spans="1:9" ht="15.75">
      <c r="A98" s="224" t="s">
        <v>336</v>
      </c>
      <c r="B98" s="224"/>
      <c r="C98" s="224"/>
      <c r="D98" s="224"/>
      <c r="E98" s="224"/>
      <c r="F98" s="224"/>
      <c r="G98" s="224"/>
      <c r="H98" s="224"/>
      <c r="I98" s="224"/>
    </row>
    <row r="99" spans="1:9" ht="15.75">
      <c r="A99" s="55"/>
      <c r="B99" s="225" t="s">
        <v>337</v>
      </c>
      <c r="C99" s="225"/>
      <c r="D99" s="225"/>
      <c r="E99" s="225"/>
      <c r="F99" s="225"/>
      <c r="G99" s="225"/>
      <c r="H99" s="60"/>
      <c r="I99" s="3"/>
    </row>
    <row r="100" spans="1:9">
      <c r="A100" s="155"/>
      <c r="B100" s="215" t="s">
        <v>6</v>
      </c>
      <c r="C100" s="215"/>
      <c r="D100" s="215"/>
      <c r="E100" s="215"/>
      <c r="F100" s="215"/>
      <c r="G100" s="215"/>
      <c r="H100" s="25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226" t="s">
        <v>7</v>
      </c>
      <c r="B102" s="226"/>
      <c r="C102" s="226"/>
      <c r="D102" s="226"/>
      <c r="E102" s="226"/>
      <c r="F102" s="226"/>
      <c r="G102" s="226"/>
      <c r="H102" s="226"/>
      <c r="I102" s="226"/>
    </row>
    <row r="103" spans="1:9" ht="15.75">
      <c r="A103" s="226" t="s">
        <v>8</v>
      </c>
      <c r="B103" s="226"/>
      <c r="C103" s="226"/>
      <c r="D103" s="226"/>
      <c r="E103" s="226"/>
      <c r="F103" s="226"/>
      <c r="G103" s="226"/>
      <c r="H103" s="226"/>
      <c r="I103" s="226"/>
    </row>
    <row r="104" spans="1:9" ht="15.75">
      <c r="A104" s="219" t="s">
        <v>58</v>
      </c>
      <c r="B104" s="219"/>
      <c r="C104" s="219"/>
      <c r="D104" s="219"/>
      <c r="E104" s="219"/>
      <c r="F104" s="219"/>
      <c r="G104" s="219"/>
      <c r="H104" s="219"/>
      <c r="I104" s="219"/>
    </row>
    <row r="105" spans="1:9" ht="15.75">
      <c r="A105" s="11"/>
    </row>
    <row r="106" spans="1:9" ht="15.75">
      <c r="A106" s="213" t="s">
        <v>9</v>
      </c>
      <c r="B106" s="213"/>
      <c r="C106" s="213"/>
      <c r="D106" s="213"/>
      <c r="E106" s="213"/>
      <c r="F106" s="213"/>
      <c r="G106" s="213"/>
      <c r="H106" s="213"/>
      <c r="I106" s="213"/>
    </row>
    <row r="107" spans="1:9" ht="15.75">
      <c r="A107" s="4"/>
    </row>
    <row r="108" spans="1:9" ht="15.75">
      <c r="B108" s="158" t="s">
        <v>10</v>
      </c>
      <c r="C108" s="214" t="s">
        <v>201</v>
      </c>
      <c r="D108" s="214"/>
      <c r="E108" s="214"/>
      <c r="F108" s="58"/>
      <c r="I108" s="160"/>
    </row>
    <row r="109" spans="1:9">
      <c r="A109" s="155"/>
      <c r="C109" s="215" t="s">
        <v>11</v>
      </c>
      <c r="D109" s="215"/>
      <c r="E109" s="215"/>
      <c r="F109" s="25"/>
      <c r="I109" s="159" t="s">
        <v>12</v>
      </c>
    </row>
    <row r="110" spans="1:9" ht="15.75">
      <c r="A110" s="26"/>
      <c r="C110" s="12"/>
      <c r="D110" s="12"/>
      <c r="G110" s="12"/>
      <c r="H110" s="12"/>
    </row>
    <row r="111" spans="1:9" ht="15.75">
      <c r="B111" s="158" t="s">
        <v>13</v>
      </c>
      <c r="C111" s="216"/>
      <c r="D111" s="216"/>
      <c r="E111" s="216"/>
      <c r="F111" s="59"/>
      <c r="I111" s="160"/>
    </row>
    <row r="112" spans="1:9">
      <c r="A112" s="155"/>
      <c r="C112" s="217" t="s">
        <v>11</v>
      </c>
      <c r="D112" s="217"/>
      <c r="E112" s="217"/>
      <c r="F112" s="155"/>
      <c r="I112" s="159" t="s">
        <v>12</v>
      </c>
    </row>
    <row r="113" spans="1:9" ht="15.75">
      <c r="A113" s="4" t="s">
        <v>14</v>
      </c>
    </row>
    <row r="114" spans="1:9">
      <c r="A114" s="218" t="s">
        <v>15</v>
      </c>
      <c r="B114" s="218"/>
      <c r="C114" s="218"/>
      <c r="D114" s="218"/>
      <c r="E114" s="218"/>
      <c r="F114" s="218"/>
      <c r="G114" s="218"/>
      <c r="H114" s="218"/>
      <c r="I114" s="218"/>
    </row>
    <row r="115" spans="1:9" ht="43.5" customHeight="1">
      <c r="A115" s="212" t="s">
        <v>16</v>
      </c>
      <c r="B115" s="212"/>
      <c r="C115" s="212"/>
      <c r="D115" s="212"/>
      <c r="E115" s="212"/>
      <c r="F115" s="212"/>
      <c r="G115" s="212"/>
      <c r="H115" s="212"/>
      <c r="I115" s="212"/>
    </row>
    <row r="116" spans="1:9" ht="33" customHeight="1">
      <c r="A116" s="212" t="s">
        <v>17</v>
      </c>
      <c r="B116" s="212"/>
      <c r="C116" s="212"/>
      <c r="D116" s="212"/>
      <c r="E116" s="212"/>
      <c r="F116" s="212"/>
      <c r="G116" s="212"/>
      <c r="H116" s="212"/>
      <c r="I116" s="212"/>
    </row>
    <row r="117" spans="1:9" ht="36.75" customHeight="1">
      <c r="A117" s="212" t="s">
        <v>21</v>
      </c>
      <c r="B117" s="212"/>
      <c r="C117" s="212"/>
      <c r="D117" s="212"/>
      <c r="E117" s="212"/>
      <c r="F117" s="212"/>
      <c r="G117" s="212"/>
      <c r="H117" s="212"/>
      <c r="I117" s="212"/>
    </row>
    <row r="118" spans="1:9" ht="15.75">
      <c r="A118" s="212" t="s">
        <v>20</v>
      </c>
      <c r="B118" s="212"/>
      <c r="C118" s="212"/>
      <c r="D118" s="212"/>
      <c r="E118" s="212"/>
      <c r="F118" s="212"/>
      <c r="G118" s="212"/>
      <c r="H118" s="212"/>
      <c r="I118" s="212"/>
    </row>
  </sheetData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8:I28"/>
    <mergeCell ref="A45:I45"/>
    <mergeCell ref="A55:I55"/>
    <mergeCell ref="A86:I86"/>
    <mergeCell ref="A90:I90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31496062992125984" right="0" top="0.74803149606299213" bottom="0.74803149606299213" header="0.31496062992125984" footer="0.31496062992125984"/>
  <pageSetup paperSize="9" scale="66" orientation="portrait" horizontalDpi="0" verticalDpi="0" r:id="rId1"/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topLeftCell="A53" workbookViewId="0">
      <selection activeCell="A102" sqref="A102:I102"/>
    </sheetView>
  </sheetViews>
  <sheetFormatPr defaultRowHeight="15"/>
  <cols>
    <col min="1" max="1" width="7.5703125" customWidth="1"/>
    <col min="2" max="2" width="55.5703125" customWidth="1"/>
    <col min="3" max="3" width="18.42578125" customWidth="1"/>
    <col min="4" max="4" width="18.140625" customWidth="1"/>
    <col min="5" max="5" width="12.71093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33" t="s">
        <v>126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13" ht="15.75">
      <c r="A5" s="233" t="s">
        <v>217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>
      <c r="A6" s="2"/>
      <c r="B6" s="89"/>
      <c r="C6" s="89"/>
      <c r="D6" s="89"/>
      <c r="E6" s="89"/>
      <c r="F6" s="89"/>
      <c r="G6" s="89"/>
      <c r="H6" s="89"/>
      <c r="I6" s="31">
        <v>44255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6" t="s">
        <v>203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  <c r="J14" s="8"/>
      <c r="K14" s="8"/>
      <c r="L14" s="8"/>
      <c r="M14" s="8"/>
    </row>
    <row r="15" spans="1:13" ht="1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  <c r="J16" s="22"/>
      <c r="K16" s="8"/>
      <c r="L16" s="8"/>
      <c r="M16" s="8"/>
    </row>
    <row r="17" spans="1:13" ht="15.75" customHeight="1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  <c r="J17" s="23"/>
      <c r="K17" s="8"/>
      <c r="L17" s="8"/>
      <c r="M17" s="8"/>
    </row>
    <row r="18" spans="1:13" ht="15.75" customHeight="1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  <c r="J18" s="23"/>
      <c r="K18" s="8"/>
      <c r="L18" s="8"/>
      <c r="M18" s="8"/>
    </row>
    <row r="19" spans="1:13" ht="15.75" hidden="1" customHeight="1">
      <c r="A19" s="30"/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  <c r="J19" s="23"/>
      <c r="K19" s="8"/>
      <c r="L19" s="8"/>
      <c r="M19" s="8"/>
    </row>
    <row r="20" spans="1:13" ht="15.75" hidden="1" customHeight="1">
      <c r="A20" s="30">
        <v>4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  <c r="J20" s="23"/>
      <c r="K20" s="8"/>
      <c r="L20" s="8"/>
      <c r="M20" s="8"/>
    </row>
    <row r="21" spans="1:13" ht="15.75" hidden="1" customHeight="1">
      <c r="A21" s="30">
        <v>5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  <c r="J21" s="23"/>
      <c r="K21" s="8"/>
      <c r="L21" s="8"/>
      <c r="M21" s="8"/>
    </row>
    <row r="22" spans="1:13" ht="15.75" hidden="1" customHeight="1">
      <c r="A22" s="30"/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  <c r="J22" s="23"/>
      <c r="K22" s="8"/>
      <c r="L22" s="8"/>
      <c r="M22" s="8"/>
    </row>
    <row r="23" spans="1:13" ht="15.75" hidden="1" customHeight="1">
      <c r="A23" s="30"/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  <c r="J23" s="23"/>
      <c r="K23" s="8"/>
      <c r="L23" s="8"/>
      <c r="M23" s="8"/>
    </row>
    <row r="24" spans="1:13" ht="15.75" hidden="1" customHeight="1">
      <c r="A24" s="30"/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  <c r="J24" s="23"/>
      <c r="K24" s="8"/>
      <c r="L24" s="8"/>
      <c r="M24" s="8"/>
    </row>
    <row r="25" spans="1:13" ht="15.75" hidden="1" customHeight="1">
      <c r="A25" s="30"/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  <c r="J25" s="23"/>
      <c r="K25" s="8"/>
      <c r="L25" s="8"/>
      <c r="M25" s="8"/>
    </row>
    <row r="26" spans="1:13" ht="15.75" customHeight="1">
      <c r="A26" s="30">
        <v>4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  <c r="J26" s="23"/>
      <c r="K26" s="8"/>
    </row>
    <row r="27" spans="1:13" ht="15.75" customHeight="1">
      <c r="A27" s="220" t="s">
        <v>78</v>
      </c>
      <c r="B27" s="220"/>
      <c r="C27" s="220"/>
      <c r="D27" s="220"/>
      <c r="E27" s="220"/>
      <c r="F27" s="220"/>
      <c r="G27" s="220"/>
      <c r="H27" s="220"/>
      <c r="I27" s="220"/>
      <c r="J27" s="23"/>
      <c r="K27" s="8"/>
      <c r="L27" s="8"/>
      <c r="M27" s="8"/>
    </row>
    <row r="28" spans="1:13" ht="15.75" hidden="1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  <c r="J28" s="24"/>
    </row>
    <row r="29" spans="1:13" ht="15.75" hidden="1" customHeight="1">
      <c r="A29" s="30"/>
      <c r="B29" s="61" t="s">
        <v>96</v>
      </c>
      <c r="C29" s="62" t="s">
        <v>82</v>
      </c>
      <c r="D29" s="61" t="s">
        <v>129</v>
      </c>
      <c r="E29" s="64">
        <v>436.6</v>
      </c>
      <c r="F29" s="64">
        <f>SUM(E29*52/1000)</f>
        <v>22.703200000000002</v>
      </c>
      <c r="G29" s="64">
        <v>204.44</v>
      </c>
      <c r="H29" s="65">
        <f t="shared" ref="H29:H35" si="2">SUM(F29*G29/1000)</f>
        <v>4.641442208</v>
      </c>
      <c r="I29" s="13">
        <f>F29/6*G29</f>
        <v>773.57370133333336</v>
      </c>
      <c r="J29" s="24"/>
    </row>
    <row r="30" spans="1:13" ht="31.5" hidden="1" customHeight="1">
      <c r="A30" s="30"/>
      <c r="B30" s="61" t="s">
        <v>107</v>
      </c>
      <c r="C30" s="62" t="s">
        <v>82</v>
      </c>
      <c r="D30" s="61" t="s">
        <v>130</v>
      </c>
      <c r="E30" s="64">
        <v>54.4</v>
      </c>
      <c r="F30" s="64">
        <f>SUM(E30*78/1000)</f>
        <v>4.2431999999999999</v>
      </c>
      <c r="G30" s="64">
        <v>339.21</v>
      </c>
      <c r="H30" s="65">
        <f t="shared" si="2"/>
        <v>1.4393358719999998</v>
      </c>
      <c r="I30" s="13">
        <f t="shared" ref="I30:I33" si="3">F30/6*G30</f>
        <v>239.88931199999996</v>
      </c>
      <c r="J30" s="23"/>
      <c r="K30" s="8"/>
      <c r="L30" s="8"/>
      <c r="M30" s="8"/>
    </row>
    <row r="31" spans="1:13" ht="15.75" hidden="1" customHeight="1">
      <c r="A31" s="30"/>
      <c r="B31" s="61" t="s">
        <v>27</v>
      </c>
      <c r="C31" s="62" t="s">
        <v>82</v>
      </c>
      <c r="D31" s="61" t="s">
        <v>51</v>
      </c>
      <c r="E31" s="64">
        <v>436.6</v>
      </c>
      <c r="F31" s="64">
        <f>SUM(E31/1000)</f>
        <v>0.43660000000000004</v>
      </c>
      <c r="G31" s="64">
        <v>3961.23</v>
      </c>
      <c r="H31" s="65">
        <f t="shared" si="2"/>
        <v>1.7294730180000002</v>
      </c>
      <c r="I31" s="13">
        <f>F31*G31</f>
        <v>1729.4730180000001</v>
      </c>
      <c r="J31" s="23"/>
      <c r="K31" s="8"/>
      <c r="L31" s="8"/>
      <c r="M31" s="8"/>
    </row>
    <row r="32" spans="1:13" ht="15.75" hidden="1" customHeight="1">
      <c r="A32" s="30"/>
      <c r="B32" s="61" t="s">
        <v>119</v>
      </c>
      <c r="C32" s="62" t="s">
        <v>38</v>
      </c>
      <c r="D32" s="61" t="s">
        <v>60</v>
      </c>
      <c r="E32" s="64">
        <v>4</v>
      </c>
      <c r="F32" s="64">
        <f>E32*155/100</f>
        <v>6.2</v>
      </c>
      <c r="G32" s="64">
        <v>1707.63</v>
      </c>
      <c r="H32" s="65">
        <f>G32*F32/1000</f>
        <v>10.587306</v>
      </c>
      <c r="I32" s="13">
        <f t="shared" si="3"/>
        <v>1764.5510000000004</v>
      </c>
      <c r="J32" s="23"/>
      <c r="K32" s="8"/>
      <c r="L32" s="8"/>
      <c r="M32" s="8"/>
    </row>
    <row r="33" spans="1:14" ht="15.75" hidden="1" customHeight="1">
      <c r="A33" s="30"/>
      <c r="B33" s="61" t="s">
        <v>95</v>
      </c>
      <c r="C33" s="62" t="s">
        <v>30</v>
      </c>
      <c r="D33" s="61" t="s">
        <v>60</v>
      </c>
      <c r="E33" s="68">
        <f>1/3</f>
        <v>0.33333333333333331</v>
      </c>
      <c r="F33" s="64">
        <f>155/3</f>
        <v>51.666666666666664</v>
      </c>
      <c r="G33" s="64">
        <v>74.349999999999994</v>
      </c>
      <c r="H33" s="65">
        <f>SUM(G33*155/3/1000)</f>
        <v>3.8414166666666665</v>
      </c>
      <c r="I33" s="13">
        <f t="shared" si="3"/>
        <v>640.23611111111109</v>
      </c>
      <c r="J33" s="23"/>
      <c r="K33" s="8"/>
      <c r="L33" s="8"/>
      <c r="M33" s="8"/>
    </row>
    <row r="34" spans="1:14" ht="15.75" hidden="1" customHeight="1">
      <c r="A34" s="30"/>
      <c r="B34" s="61" t="s">
        <v>61</v>
      </c>
      <c r="C34" s="62" t="s">
        <v>32</v>
      </c>
      <c r="D34" s="61" t="s">
        <v>63</v>
      </c>
      <c r="E34" s="63"/>
      <c r="F34" s="64">
        <v>2</v>
      </c>
      <c r="G34" s="64">
        <v>250.92</v>
      </c>
      <c r="H34" s="65">
        <f t="shared" si="2"/>
        <v>0.50183999999999995</v>
      </c>
      <c r="I34" s="13">
        <v>0</v>
      </c>
      <c r="J34" s="24"/>
    </row>
    <row r="35" spans="1:14" ht="15.75" hidden="1" customHeight="1">
      <c r="A35" s="30"/>
      <c r="B35" s="61" t="s">
        <v>62</v>
      </c>
      <c r="C35" s="62" t="s">
        <v>31</v>
      </c>
      <c r="D35" s="61" t="s">
        <v>63</v>
      </c>
      <c r="E35" s="63"/>
      <c r="F35" s="64">
        <v>1</v>
      </c>
      <c r="G35" s="64">
        <v>1490.31</v>
      </c>
      <c r="H35" s="65">
        <f t="shared" si="2"/>
        <v>1.49031</v>
      </c>
      <c r="I35" s="13">
        <v>0</v>
      </c>
      <c r="J35" s="24"/>
    </row>
    <row r="36" spans="1:14" ht="15.75" customHeight="1">
      <c r="A36" s="30"/>
      <c r="B36" s="81" t="s">
        <v>5</v>
      </c>
      <c r="C36" s="62"/>
      <c r="D36" s="61"/>
      <c r="E36" s="63"/>
      <c r="F36" s="64"/>
      <c r="G36" s="64"/>
      <c r="H36" s="65" t="s">
        <v>118</v>
      </c>
      <c r="I36" s="13"/>
      <c r="J36" s="24"/>
      <c r="L36" s="19"/>
      <c r="M36" s="20"/>
      <c r="N36" s="21"/>
    </row>
    <row r="37" spans="1:14" ht="17.25" customHeight="1">
      <c r="A37" s="30">
        <v>5</v>
      </c>
      <c r="B37" s="171" t="s">
        <v>26</v>
      </c>
      <c r="C37" s="114" t="s">
        <v>31</v>
      </c>
      <c r="D37" s="113" t="s">
        <v>218</v>
      </c>
      <c r="E37" s="163"/>
      <c r="F37" s="124">
        <v>3</v>
      </c>
      <c r="G37" s="124">
        <v>1855</v>
      </c>
      <c r="H37" s="65">
        <f t="shared" ref="H37:H43" si="4">SUM(F37*G37/1000)</f>
        <v>5.5650000000000004</v>
      </c>
      <c r="I37" s="13">
        <f>G37*1</f>
        <v>1855</v>
      </c>
      <c r="J37" s="24"/>
      <c r="L37" s="19"/>
      <c r="M37" s="20"/>
      <c r="N37" s="21"/>
    </row>
    <row r="38" spans="1:14" ht="15.75" customHeight="1">
      <c r="A38" s="30">
        <v>6</v>
      </c>
      <c r="B38" s="171" t="s">
        <v>133</v>
      </c>
      <c r="C38" s="172" t="s">
        <v>29</v>
      </c>
      <c r="D38" s="113" t="s">
        <v>171</v>
      </c>
      <c r="E38" s="163">
        <v>137</v>
      </c>
      <c r="F38" s="154">
        <f>E38*30/1000</f>
        <v>4.1100000000000003</v>
      </c>
      <c r="G38" s="124">
        <v>3014.36</v>
      </c>
      <c r="H38" s="65">
        <f t="shared" si="4"/>
        <v>12.389019600000001</v>
      </c>
      <c r="I38" s="13">
        <f t="shared" ref="I38:I43" si="5">F38/6*G38</f>
        <v>2064.8366000000001</v>
      </c>
      <c r="J38" s="24"/>
      <c r="L38" s="19"/>
      <c r="M38" s="20"/>
      <c r="N38" s="21"/>
    </row>
    <row r="39" spans="1:14" ht="15.75" customHeight="1">
      <c r="A39" s="30">
        <v>7</v>
      </c>
      <c r="B39" s="113" t="s">
        <v>64</v>
      </c>
      <c r="C39" s="114" t="s">
        <v>29</v>
      </c>
      <c r="D39" s="113" t="s">
        <v>170</v>
      </c>
      <c r="E39" s="124">
        <v>137</v>
      </c>
      <c r="F39" s="154">
        <f>SUM(E39*155/1000)</f>
        <v>21.234999999999999</v>
      </c>
      <c r="G39" s="124">
        <v>502.82</v>
      </c>
      <c r="H39" s="65">
        <f t="shared" si="4"/>
        <v>10.677382700000001</v>
      </c>
      <c r="I39" s="13">
        <f>(F39/6*G39)</f>
        <v>1779.5637833333333</v>
      </c>
      <c r="J39" s="24"/>
      <c r="L39" s="19"/>
      <c r="M39" s="20"/>
      <c r="N39" s="21"/>
    </row>
    <row r="40" spans="1:14" ht="47.25" customHeight="1">
      <c r="A40" s="30">
        <v>8</v>
      </c>
      <c r="B40" s="113" t="s">
        <v>76</v>
      </c>
      <c r="C40" s="114" t="s">
        <v>82</v>
      </c>
      <c r="D40" s="113" t="s">
        <v>172</v>
      </c>
      <c r="E40" s="124">
        <v>54.4</v>
      </c>
      <c r="F40" s="154">
        <f>SUM(E40*35/1000)</f>
        <v>1.9039999999999999</v>
      </c>
      <c r="G40" s="124">
        <v>8319.2999999999993</v>
      </c>
      <c r="H40" s="65">
        <f t="shared" si="4"/>
        <v>15.839947199999999</v>
      </c>
      <c r="I40" s="13">
        <f t="shared" si="5"/>
        <v>2639.9911999999995</v>
      </c>
      <c r="J40" s="24"/>
      <c r="L40" s="19"/>
      <c r="M40" s="20"/>
      <c r="N40" s="21"/>
    </row>
    <row r="41" spans="1:14" ht="15.75" hidden="1" customHeight="1">
      <c r="A41" s="30">
        <v>9</v>
      </c>
      <c r="B41" s="113" t="s">
        <v>83</v>
      </c>
      <c r="C41" s="114" t="s">
        <v>82</v>
      </c>
      <c r="D41" s="113"/>
      <c r="E41" s="124">
        <v>137</v>
      </c>
      <c r="F41" s="154">
        <f>E41*30/1000</f>
        <v>4.1100000000000003</v>
      </c>
      <c r="G41" s="124">
        <v>614.55999999999995</v>
      </c>
      <c r="H41" s="65">
        <f t="shared" si="4"/>
        <v>2.5258416000000001</v>
      </c>
      <c r="I41" s="13">
        <f>G41*F41/30</f>
        <v>84.194720000000004</v>
      </c>
      <c r="J41" s="24"/>
      <c r="L41" s="19"/>
      <c r="M41" s="20"/>
      <c r="N41" s="21"/>
    </row>
    <row r="42" spans="1:14" ht="15.75" hidden="1" customHeight="1">
      <c r="A42" s="30">
        <v>10</v>
      </c>
      <c r="B42" s="171" t="s">
        <v>66</v>
      </c>
      <c r="C42" s="172" t="s">
        <v>32</v>
      </c>
      <c r="D42" s="171"/>
      <c r="E42" s="184"/>
      <c r="F42" s="154">
        <v>0.9</v>
      </c>
      <c r="G42" s="154">
        <v>900</v>
      </c>
      <c r="H42" s="65">
        <f t="shared" si="4"/>
        <v>0.81</v>
      </c>
      <c r="I42" s="13">
        <f>G42*F42/30</f>
        <v>27</v>
      </c>
      <c r="J42" s="24"/>
      <c r="L42" s="19"/>
      <c r="M42" s="20"/>
      <c r="N42" s="21"/>
    </row>
    <row r="43" spans="1:14" ht="30" customHeight="1">
      <c r="A43" s="30">
        <v>9</v>
      </c>
      <c r="B43" s="105" t="s">
        <v>134</v>
      </c>
      <c r="C43" s="106" t="s">
        <v>29</v>
      </c>
      <c r="D43" s="171" t="s">
        <v>186</v>
      </c>
      <c r="E43" s="184">
        <v>3</v>
      </c>
      <c r="F43" s="154">
        <f>SUM(E43*12/1000)</f>
        <v>3.5999999999999997E-2</v>
      </c>
      <c r="G43" s="154">
        <v>19757.060000000001</v>
      </c>
      <c r="H43" s="65">
        <f t="shared" si="4"/>
        <v>0.71125415999999997</v>
      </c>
      <c r="I43" s="13">
        <f t="shared" si="5"/>
        <v>118.54235999999999</v>
      </c>
      <c r="J43" s="24"/>
      <c r="L43" s="19"/>
      <c r="M43" s="20"/>
      <c r="N43" s="21"/>
    </row>
    <row r="44" spans="1:14" ht="15.75" customHeight="1">
      <c r="A44" s="221" t="s">
        <v>121</v>
      </c>
      <c r="B44" s="222"/>
      <c r="C44" s="222"/>
      <c r="D44" s="222"/>
      <c r="E44" s="222"/>
      <c r="F44" s="222"/>
      <c r="G44" s="222"/>
      <c r="H44" s="222"/>
      <c r="I44" s="223"/>
      <c r="J44" s="24"/>
      <c r="L44" s="19"/>
      <c r="M44" s="20"/>
      <c r="N44" s="21"/>
    </row>
    <row r="45" spans="1:14" ht="15.75" hidden="1" customHeight="1">
      <c r="A45" s="30"/>
      <c r="B45" s="61" t="s">
        <v>113</v>
      </c>
      <c r="C45" s="62" t="s">
        <v>82</v>
      </c>
      <c r="D45" s="61" t="s">
        <v>40</v>
      </c>
      <c r="E45" s="63">
        <v>1320.9</v>
      </c>
      <c r="F45" s="64">
        <f>SUM(E45*2/1000)</f>
        <v>2.6418000000000004</v>
      </c>
      <c r="G45" s="13">
        <v>1114.1300000000001</v>
      </c>
      <c r="H45" s="65">
        <f t="shared" ref="H45:H53" si="6">SUM(F45*G45/1000)</f>
        <v>2.943308634000001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61" t="s">
        <v>33</v>
      </c>
      <c r="C46" s="62" t="s">
        <v>82</v>
      </c>
      <c r="D46" s="61" t="s">
        <v>40</v>
      </c>
      <c r="E46" s="63">
        <v>52</v>
      </c>
      <c r="F46" s="64">
        <f>E46*2/1000</f>
        <v>0.104</v>
      </c>
      <c r="G46" s="13">
        <v>4419.05</v>
      </c>
      <c r="H46" s="65">
        <f t="shared" si="6"/>
        <v>0.45958120000000002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61" t="s">
        <v>34</v>
      </c>
      <c r="C47" s="62" t="s">
        <v>82</v>
      </c>
      <c r="D47" s="61" t="s">
        <v>40</v>
      </c>
      <c r="E47" s="63">
        <v>1520.8</v>
      </c>
      <c r="F47" s="64">
        <f>SUM(E47*2/1000)</f>
        <v>3.0415999999999999</v>
      </c>
      <c r="G47" s="13">
        <v>1803.69</v>
      </c>
      <c r="H47" s="65">
        <f t="shared" si="6"/>
        <v>5.4861035039999999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61" t="s">
        <v>35</v>
      </c>
      <c r="C48" s="62" t="s">
        <v>82</v>
      </c>
      <c r="D48" s="61" t="s">
        <v>40</v>
      </c>
      <c r="E48" s="63">
        <v>3433.81</v>
      </c>
      <c r="F48" s="64">
        <f>SUM(E48*2/1000)</f>
        <v>6.8676199999999996</v>
      </c>
      <c r="G48" s="13">
        <v>1243.43</v>
      </c>
      <c r="H48" s="65">
        <f t="shared" si="6"/>
        <v>8.5394047365999999</v>
      </c>
      <c r="I48" s="13">
        <v>0</v>
      </c>
      <c r="J48" s="24"/>
      <c r="L48" s="19"/>
      <c r="M48" s="20"/>
      <c r="N48" s="21"/>
    </row>
    <row r="49" spans="1:22" ht="15.75" customHeight="1">
      <c r="A49" s="30">
        <v>10</v>
      </c>
      <c r="B49" s="113" t="s">
        <v>167</v>
      </c>
      <c r="C49" s="114" t="s">
        <v>82</v>
      </c>
      <c r="D49" s="113" t="s">
        <v>173</v>
      </c>
      <c r="E49" s="163">
        <v>4731.7</v>
      </c>
      <c r="F49" s="124">
        <f>SUM(E49*5/1000)</f>
        <v>23.6585</v>
      </c>
      <c r="G49" s="115">
        <v>1739.68</v>
      </c>
      <c r="H49" s="65">
        <f t="shared" ref="H49" si="7">SUM(F49*G49/1000)</f>
        <v>41.158219280000004</v>
      </c>
      <c r="I49" s="13">
        <f>F49/5*G49</f>
        <v>8231.6438560000006</v>
      </c>
      <c r="J49" s="24"/>
      <c r="L49" s="19"/>
      <c r="M49" s="20"/>
      <c r="N49" s="21"/>
    </row>
    <row r="50" spans="1:22" ht="31.5" hidden="1" customHeight="1">
      <c r="A50" s="30"/>
      <c r="B50" s="61" t="s">
        <v>84</v>
      </c>
      <c r="C50" s="62" t="s">
        <v>82</v>
      </c>
      <c r="D50" s="61" t="s">
        <v>40</v>
      </c>
      <c r="E50" s="63">
        <v>4731.7</v>
      </c>
      <c r="F50" s="64">
        <f>SUM(E50*2/1000)</f>
        <v>9.4634</v>
      </c>
      <c r="G50" s="13">
        <v>1591.6</v>
      </c>
      <c r="H50" s="65">
        <f t="shared" si="6"/>
        <v>15.061947439999999</v>
      </c>
      <c r="I50" s="13">
        <v>0</v>
      </c>
      <c r="J50" s="24"/>
      <c r="L50" s="19"/>
      <c r="M50" s="20"/>
      <c r="N50" s="21"/>
    </row>
    <row r="51" spans="1:22" ht="31.5" hidden="1" customHeight="1">
      <c r="A51" s="30"/>
      <c r="B51" s="61" t="s">
        <v>85</v>
      </c>
      <c r="C51" s="62" t="s">
        <v>36</v>
      </c>
      <c r="D51" s="61" t="s">
        <v>40</v>
      </c>
      <c r="E51" s="63">
        <v>20</v>
      </c>
      <c r="F51" s="64">
        <f>SUM(E51*2/100)</f>
        <v>0.4</v>
      </c>
      <c r="G51" s="13">
        <v>4058.32</v>
      </c>
      <c r="H51" s="65">
        <f>SUM(F51*G51/1000)</f>
        <v>1.6233280000000001</v>
      </c>
      <c r="I51" s="13">
        <v>0</v>
      </c>
      <c r="J51" s="24"/>
      <c r="L51" s="19"/>
      <c r="M51" s="20"/>
      <c r="N51" s="21"/>
    </row>
    <row r="52" spans="1:22" ht="15.75" hidden="1" customHeight="1">
      <c r="A52" s="30"/>
      <c r="B52" s="61" t="s">
        <v>37</v>
      </c>
      <c r="C52" s="62" t="s">
        <v>38</v>
      </c>
      <c r="D52" s="61" t="s">
        <v>40</v>
      </c>
      <c r="E52" s="63">
        <v>1</v>
      </c>
      <c r="F52" s="64">
        <v>0.02</v>
      </c>
      <c r="G52" s="13">
        <v>7412.92</v>
      </c>
      <c r="H52" s="65">
        <f t="shared" si="6"/>
        <v>0.14825839999999998</v>
      </c>
      <c r="I52" s="13">
        <v>0</v>
      </c>
      <c r="J52" s="24"/>
      <c r="L52" s="19"/>
      <c r="M52" s="20"/>
      <c r="N52" s="21"/>
    </row>
    <row r="53" spans="1:22" ht="16.5" customHeight="1">
      <c r="A53" s="30">
        <v>11</v>
      </c>
      <c r="B53" s="113" t="s">
        <v>39</v>
      </c>
      <c r="C53" s="114" t="s">
        <v>97</v>
      </c>
      <c r="D53" s="197">
        <v>44239</v>
      </c>
      <c r="E53" s="165">
        <v>160</v>
      </c>
      <c r="F53" s="116">
        <f>SUM(E53)*3</f>
        <v>480</v>
      </c>
      <c r="G53" s="164">
        <v>87.32</v>
      </c>
      <c r="H53" s="65">
        <f t="shared" si="6"/>
        <v>41.913599999999995</v>
      </c>
      <c r="I53" s="13">
        <f>G53*F53/3</f>
        <v>13971.199999999999</v>
      </c>
      <c r="J53" s="24"/>
      <c r="L53" s="19"/>
    </row>
    <row r="54" spans="1:22" ht="15.75" customHeight="1">
      <c r="A54" s="221" t="s">
        <v>122</v>
      </c>
      <c r="B54" s="222"/>
      <c r="C54" s="222"/>
      <c r="D54" s="222"/>
      <c r="E54" s="222"/>
      <c r="F54" s="222"/>
      <c r="G54" s="222"/>
      <c r="H54" s="222"/>
      <c r="I54" s="223"/>
    </row>
    <row r="55" spans="1:22" ht="15.75" hidden="1" customHeight="1">
      <c r="A55" s="30"/>
      <c r="B55" s="81" t="s">
        <v>41</v>
      </c>
      <c r="C55" s="62"/>
      <c r="D55" s="61"/>
      <c r="E55" s="63"/>
      <c r="F55" s="64"/>
      <c r="G55" s="64"/>
      <c r="H55" s="65"/>
      <c r="I55" s="13"/>
    </row>
    <row r="56" spans="1:22" ht="29.25" hidden="1" customHeight="1">
      <c r="A56" s="30">
        <v>13</v>
      </c>
      <c r="B56" s="113" t="s">
        <v>114</v>
      </c>
      <c r="C56" s="114" t="s">
        <v>80</v>
      </c>
      <c r="D56" s="113"/>
      <c r="E56" s="165">
        <v>38.4</v>
      </c>
      <c r="F56" s="116">
        <f>SUM(E56*6/100)</f>
        <v>2.3039999999999998</v>
      </c>
      <c r="G56" s="35">
        <v>2218.11</v>
      </c>
      <c r="H56" s="65">
        <f>SUM(F56*G56/1000)</f>
        <v>5.11052544</v>
      </c>
      <c r="I56" s="13">
        <f>G56*0.12</f>
        <v>266.17320000000001</v>
      </c>
    </row>
    <row r="57" spans="1:22" ht="18" hidden="1" customHeight="1">
      <c r="A57" s="30">
        <v>15</v>
      </c>
      <c r="B57" s="70" t="s">
        <v>116</v>
      </c>
      <c r="C57" s="71" t="s">
        <v>117</v>
      </c>
      <c r="D57" s="70" t="s">
        <v>40</v>
      </c>
      <c r="E57" s="72">
        <v>4</v>
      </c>
      <c r="F57" s="73">
        <v>0.8</v>
      </c>
      <c r="G57" s="13">
        <v>237.1</v>
      </c>
      <c r="H57" s="65">
        <f t="shared" ref="H57:H58" si="8">SUM(F57*G57/1000)</f>
        <v>0.18968000000000002</v>
      </c>
      <c r="I57" s="13">
        <f>F57/2*G57</f>
        <v>94.84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hidden="1" customHeight="1">
      <c r="A58" s="30">
        <v>12</v>
      </c>
      <c r="B58" s="113" t="s">
        <v>115</v>
      </c>
      <c r="C58" s="114" t="s">
        <v>80</v>
      </c>
      <c r="D58" s="113" t="s">
        <v>173</v>
      </c>
      <c r="E58" s="165">
        <v>3.8</v>
      </c>
      <c r="F58" s="116">
        <f>SUM(E58*6/100)</f>
        <v>0.22799999999999998</v>
      </c>
      <c r="G58" s="35">
        <v>2029.3</v>
      </c>
      <c r="H58" s="65">
        <f t="shared" si="8"/>
        <v>0.46268039999999994</v>
      </c>
      <c r="I58" s="13">
        <f>F58/6*G58</f>
        <v>77.113399999999999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>
        <v>15</v>
      </c>
      <c r="B59" s="61" t="s">
        <v>136</v>
      </c>
      <c r="C59" s="62" t="s">
        <v>137</v>
      </c>
      <c r="D59" s="61" t="s">
        <v>63</v>
      </c>
      <c r="E59" s="63"/>
      <c r="F59" s="64">
        <v>3</v>
      </c>
      <c r="G59" s="13">
        <v>1582.05</v>
      </c>
      <c r="H59" s="65">
        <f>SUM(F59*G59/1000)</f>
        <v>4.7461499999999992</v>
      </c>
      <c r="I59" s="13">
        <f>G59*1.5</f>
        <v>2373.0749999999998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customHeight="1">
      <c r="A60" s="30"/>
      <c r="B60" s="82" t="s">
        <v>42</v>
      </c>
      <c r="C60" s="71"/>
      <c r="D60" s="70"/>
      <c r="E60" s="72"/>
      <c r="F60" s="73"/>
      <c r="G60" s="13"/>
      <c r="H60" s="74"/>
      <c r="I60" s="13"/>
      <c r="J60" s="5"/>
      <c r="K60" s="5"/>
      <c r="L60" s="5"/>
      <c r="M60" s="5"/>
      <c r="N60" s="5"/>
      <c r="O60" s="5"/>
      <c r="P60" s="5"/>
      <c r="Q60" s="5"/>
      <c r="R60" s="217"/>
      <c r="S60" s="217"/>
      <c r="T60" s="217"/>
      <c r="U60" s="217"/>
    </row>
    <row r="61" spans="1:22" ht="15.75" hidden="1" customHeight="1">
      <c r="A61" s="30">
        <v>16</v>
      </c>
      <c r="B61" s="70" t="s">
        <v>138</v>
      </c>
      <c r="C61" s="71" t="s">
        <v>50</v>
      </c>
      <c r="D61" s="70" t="s">
        <v>51</v>
      </c>
      <c r="E61" s="72">
        <v>660.45</v>
      </c>
      <c r="F61" s="73">
        <f>E61/100</f>
        <v>6.6045000000000007</v>
      </c>
      <c r="G61" s="13">
        <v>1040.8399999999999</v>
      </c>
      <c r="H61" s="74">
        <f>F61*G61/1000</f>
        <v>6.87422778</v>
      </c>
      <c r="I61" s="13">
        <f>G61*(1.2/100)</f>
        <v>12.490079999999999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5.75" customHeight="1">
      <c r="A62" s="30">
        <v>12</v>
      </c>
      <c r="B62" s="173" t="s">
        <v>108</v>
      </c>
      <c r="C62" s="174" t="s">
        <v>25</v>
      </c>
      <c r="D62" s="173" t="s">
        <v>173</v>
      </c>
      <c r="E62" s="185">
        <v>200</v>
      </c>
      <c r="F62" s="186">
        <f>E62*12</f>
        <v>2400</v>
      </c>
      <c r="G62" s="187">
        <v>1.4</v>
      </c>
      <c r="H62" s="73">
        <f>F62*G62/1000</f>
        <v>3.36</v>
      </c>
      <c r="I62" s="13">
        <f>F62/12*G62</f>
        <v>280</v>
      </c>
    </row>
    <row r="63" spans="1:22" ht="15.75" hidden="1" customHeight="1">
      <c r="A63" s="30"/>
      <c r="B63" s="82" t="s">
        <v>43</v>
      </c>
      <c r="C63" s="71"/>
      <c r="D63" s="70"/>
      <c r="E63" s="72"/>
      <c r="F63" s="75"/>
      <c r="G63" s="75"/>
      <c r="H63" s="73" t="s">
        <v>118</v>
      </c>
      <c r="I63" s="13"/>
    </row>
    <row r="64" spans="1:22" ht="15.75" hidden="1" customHeight="1">
      <c r="A64" s="30">
        <v>18</v>
      </c>
      <c r="B64" s="14" t="s">
        <v>44</v>
      </c>
      <c r="C64" s="16" t="s">
        <v>97</v>
      </c>
      <c r="D64" s="14" t="s">
        <v>63</v>
      </c>
      <c r="E64" s="18">
        <v>10</v>
      </c>
      <c r="F64" s="64">
        <f>SUM(E64)</f>
        <v>10</v>
      </c>
      <c r="G64" s="13">
        <v>291.68</v>
      </c>
      <c r="H64" s="76">
        <f t="shared" ref="H64:H82" si="9">SUM(F64*G64/1000)</f>
        <v>2.9168000000000003</v>
      </c>
      <c r="I64" s="13">
        <f>G64*2</f>
        <v>583.36</v>
      </c>
    </row>
    <row r="65" spans="1:9" ht="15.75" hidden="1" customHeight="1">
      <c r="A65" s="30"/>
      <c r="B65" s="14" t="s">
        <v>45</v>
      </c>
      <c r="C65" s="16" t="s">
        <v>97</v>
      </c>
      <c r="D65" s="14" t="s">
        <v>63</v>
      </c>
      <c r="E65" s="18">
        <v>9</v>
      </c>
      <c r="F65" s="64">
        <f>SUM(E65)</f>
        <v>9</v>
      </c>
      <c r="G65" s="13">
        <v>100.01</v>
      </c>
      <c r="H65" s="76">
        <f t="shared" si="9"/>
        <v>0.90009000000000006</v>
      </c>
      <c r="I65" s="13">
        <v>0</v>
      </c>
    </row>
    <row r="66" spans="1:9" ht="15.75" hidden="1" customHeight="1">
      <c r="A66" s="30"/>
      <c r="B66" s="14" t="s">
        <v>46</v>
      </c>
      <c r="C66" s="16" t="s">
        <v>99</v>
      </c>
      <c r="D66" s="14" t="s">
        <v>51</v>
      </c>
      <c r="E66" s="63">
        <v>19836</v>
      </c>
      <c r="F66" s="13">
        <f>SUM(E66/100)</f>
        <v>198.36</v>
      </c>
      <c r="G66" s="13">
        <v>278.24</v>
      </c>
      <c r="H66" s="76">
        <f t="shared" si="9"/>
        <v>55.191686400000009</v>
      </c>
      <c r="I66" s="13">
        <f>F66*G66</f>
        <v>55191.686400000006</v>
      </c>
    </row>
    <row r="67" spans="1:9" ht="15.75" hidden="1" customHeight="1">
      <c r="A67" s="30"/>
      <c r="B67" s="14" t="s">
        <v>47</v>
      </c>
      <c r="C67" s="16" t="s">
        <v>100</v>
      </c>
      <c r="D67" s="14"/>
      <c r="E67" s="63">
        <v>19836</v>
      </c>
      <c r="F67" s="13">
        <f>SUM(E67/1000)</f>
        <v>19.835999999999999</v>
      </c>
      <c r="G67" s="13">
        <v>216.68</v>
      </c>
      <c r="H67" s="76">
        <f t="shared" si="9"/>
        <v>4.2980644799999999</v>
      </c>
      <c r="I67" s="13">
        <f t="shared" ref="I67:I71" si="10">F67*G67</f>
        <v>4298.06448</v>
      </c>
    </row>
    <row r="68" spans="1:9" ht="15.75" hidden="1" customHeight="1">
      <c r="A68" s="30"/>
      <c r="B68" s="14" t="s">
        <v>48</v>
      </c>
      <c r="C68" s="16" t="s">
        <v>71</v>
      </c>
      <c r="D68" s="14" t="s">
        <v>51</v>
      </c>
      <c r="E68" s="63">
        <v>3155</v>
      </c>
      <c r="F68" s="13">
        <f>SUM(E68/100)</f>
        <v>31.55</v>
      </c>
      <c r="G68" s="13">
        <v>2720.94</v>
      </c>
      <c r="H68" s="76">
        <f t="shared" si="9"/>
        <v>85.845657000000003</v>
      </c>
      <c r="I68" s="13">
        <f t="shared" si="10"/>
        <v>85845.657000000007</v>
      </c>
    </row>
    <row r="69" spans="1:9" ht="15.75" hidden="1" customHeight="1">
      <c r="A69" s="30"/>
      <c r="B69" s="77" t="s">
        <v>101</v>
      </c>
      <c r="C69" s="16" t="s">
        <v>32</v>
      </c>
      <c r="D69" s="14"/>
      <c r="E69" s="63">
        <v>34.5</v>
      </c>
      <c r="F69" s="13">
        <f>SUM(E69)</f>
        <v>34.5</v>
      </c>
      <c r="G69" s="13">
        <v>44.31</v>
      </c>
      <c r="H69" s="76">
        <f t="shared" si="9"/>
        <v>1.5286950000000001</v>
      </c>
      <c r="I69" s="13">
        <f t="shared" si="10"/>
        <v>1528.6950000000002</v>
      </c>
    </row>
    <row r="70" spans="1:9" ht="15.75" hidden="1" customHeight="1">
      <c r="A70" s="30"/>
      <c r="B70" s="77" t="s">
        <v>102</v>
      </c>
      <c r="C70" s="16" t="s">
        <v>32</v>
      </c>
      <c r="D70" s="14"/>
      <c r="E70" s="63">
        <v>34.5</v>
      </c>
      <c r="F70" s="13">
        <f t="shared" ref="F70:F71" si="11">SUM(E70)</f>
        <v>34.5</v>
      </c>
      <c r="G70" s="13">
        <v>47.79</v>
      </c>
      <c r="H70" s="76">
        <f t="shared" si="9"/>
        <v>1.648755</v>
      </c>
      <c r="I70" s="13">
        <f t="shared" si="10"/>
        <v>1648.7549999999999</v>
      </c>
    </row>
    <row r="71" spans="1:9" ht="15.75" hidden="1" customHeight="1">
      <c r="A71" s="30"/>
      <c r="B71" s="14" t="s">
        <v>54</v>
      </c>
      <c r="C71" s="16" t="s">
        <v>55</v>
      </c>
      <c r="D71" s="14" t="s">
        <v>51</v>
      </c>
      <c r="E71" s="18">
        <v>5</v>
      </c>
      <c r="F71" s="13">
        <f t="shared" si="11"/>
        <v>5</v>
      </c>
      <c r="G71" s="13">
        <v>53.32</v>
      </c>
      <c r="H71" s="76">
        <f t="shared" si="9"/>
        <v>0.2666</v>
      </c>
      <c r="I71" s="13">
        <f t="shared" si="10"/>
        <v>266.60000000000002</v>
      </c>
    </row>
    <row r="72" spans="1:9" ht="15.75" customHeight="1">
      <c r="A72" s="30"/>
      <c r="B72" s="95" t="s">
        <v>139</v>
      </c>
      <c r="C72" s="49"/>
      <c r="D72" s="14"/>
      <c r="E72" s="18"/>
      <c r="F72" s="13"/>
      <c r="G72" s="13"/>
      <c r="H72" s="76"/>
      <c r="I72" s="13"/>
    </row>
    <row r="73" spans="1:9" ht="15.75" customHeight="1">
      <c r="A73" s="30">
        <v>13</v>
      </c>
      <c r="B73" s="36" t="s">
        <v>140</v>
      </c>
      <c r="C73" s="176" t="s">
        <v>141</v>
      </c>
      <c r="D73" s="36"/>
      <c r="E73" s="188">
        <v>4731.7</v>
      </c>
      <c r="F73" s="115">
        <f>SUM(E73*12)</f>
        <v>56780.399999999994</v>
      </c>
      <c r="G73" s="115">
        <v>2.4900000000000002</v>
      </c>
      <c r="H73" s="76">
        <f t="shared" ref="H73" si="12">SUM(F73*G73/1000)</f>
        <v>141.383196</v>
      </c>
      <c r="I73" s="13">
        <f>F73/12*G73</f>
        <v>11781.933000000001</v>
      </c>
    </row>
    <row r="74" spans="1:9" ht="15.75" customHeight="1">
      <c r="A74" s="30"/>
      <c r="B74" s="178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1.5" hidden="1" customHeight="1">
      <c r="A75" s="30"/>
      <c r="B75" s="14" t="s">
        <v>142</v>
      </c>
      <c r="C75" s="16" t="s">
        <v>97</v>
      </c>
      <c r="D75" s="14" t="s">
        <v>63</v>
      </c>
      <c r="E75" s="18">
        <v>1</v>
      </c>
      <c r="F75" s="13">
        <v>1</v>
      </c>
      <c r="G75" s="13">
        <v>1543.4</v>
      </c>
      <c r="H75" s="76">
        <f t="shared" ref="H75:H78" si="13">SUM(F75*G75/1000)</f>
        <v>1.5434000000000001</v>
      </c>
      <c r="I75" s="13">
        <v>0</v>
      </c>
    </row>
    <row r="76" spans="1:9" ht="15.75" hidden="1" customHeight="1">
      <c r="A76" s="30">
        <v>19</v>
      </c>
      <c r="B76" s="47" t="s">
        <v>143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t="15.75" hidden="1" customHeight="1">
      <c r="A77" s="30">
        <v>20</v>
      </c>
      <c r="B77" s="14" t="s">
        <v>68</v>
      </c>
      <c r="C77" s="16" t="s">
        <v>69</v>
      </c>
      <c r="D77" s="14" t="s">
        <v>63</v>
      </c>
      <c r="E77" s="18">
        <v>8</v>
      </c>
      <c r="F77" s="13">
        <f>E77/10</f>
        <v>0.8</v>
      </c>
      <c r="G77" s="13">
        <v>657.87</v>
      </c>
      <c r="H77" s="76">
        <f t="shared" si="13"/>
        <v>0.5262960000000001</v>
      </c>
      <c r="I77" s="13">
        <f>G77*0.3</f>
        <v>197.36099999999999</v>
      </c>
    </row>
    <row r="78" spans="1:9" ht="15.75" hidden="1" customHeight="1">
      <c r="A78" s="30"/>
      <c r="B78" s="14" t="s">
        <v>144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3"/>
        <v>1.1187199999999999</v>
      </c>
      <c r="I78" s="13">
        <v>0</v>
      </c>
    </row>
    <row r="79" spans="1:9" ht="15.75" hidden="1" customHeight="1">
      <c r="A79" s="30"/>
      <c r="B79" s="47" t="s">
        <v>145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 ht="15.75" customHeight="1">
      <c r="A80" s="30">
        <v>14</v>
      </c>
      <c r="B80" s="105" t="s">
        <v>146</v>
      </c>
      <c r="C80" s="106" t="s">
        <v>97</v>
      </c>
      <c r="D80" s="36" t="s">
        <v>173</v>
      </c>
      <c r="E80" s="189">
        <v>2</v>
      </c>
      <c r="F80" s="186">
        <f>E80*12</f>
        <v>24</v>
      </c>
      <c r="G80" s="182">
        <v>404</v>
      </c>
      <c r="H80" s="76">
        <f t="shared" ref="H80" si="14">SUM(F80*G80/1000)</f>
        <v>9.6959999999999997</v>
      </c>
      <c r="I80" s="13">
        <f>F80/12*G80</f>
        <v>808</v>
      </c>
    </row>
    <row r="81" spans="1:9" ht="15.75" hidden="1" customHeight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t="15.75" hidden="1" customHeight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9"/>
        <v>1.0857270000000001</v>
      </c>
      <c r="I82" s="13">
        <v>0</v>
      </c>
    </row>
    <row r="83" spans="1:9" ht="18.75" hidden="1" customHeight="1">
      <c r="A83" s="30"/>
      <c r="B83" s="96" t="s">
        <v>86</v>
      </c>
      <c r="C83" s="79"/>
      <c r="D83" s="32"/>
      <c r="E83" s="33"/>
      <c r="F83" s="67"/>
      <c r="G83" s="67"/>
      <c r="H83" s="80">
        <f>SUM(H56:H82)</f>
        <v>332.58093050000008</v>
      </c>
      <c r="I83" s="67"/>
    </row>
    <row r="84" spans="1:9" ht="15.75" hidden="1" customHeight="1">
      <c r="A84" s="30">
        <v>177</v>
      </c>
      <c r="B84" s="61" t="s">
        <v>103</v>
      </c>
      <c r="C84" s="16"/>
      <c r="D84" s="14"/>
      <c r="E84" s="57"/>
      <c r="F84" s="13">
        <v>1</v>
      </c>
      <c r="G84" s="13">
        <v>3503</v>
      </c>
      <c r="H84" s="76">
        <f>G84*F84/1000</f>
        <v>3.5030000000000001</v>
      </c>
      <c r="I84" s="13">
        <f>G84*1</f>
        <v>3503</v>
      </c>
    </row>
    <row r="85" spans="1:9" ht="15.75" customHeight="1">
      <c r="A85" s="230" t="s">
        <v>123</v>
      </c>
      <c r="B85" s="231"/>
      <c r="C85" s="231"/>
      <c r="D85" s="231"/>
      <c r="E85" s="231"/>
      <c r="F85" s="231"/>
      <c r="G85" s="231"/>
      <c r="H85" s="231"/>
      <c r="I85" s="232"/>
    </row>
    <row r="86" spans="1:9" ht="15.75" customHeight="1">
      <c r="A86" s="30">
        <v>15</v>
      </c>
      <c r="B86" s="113" t="s">
        <v>104</v>
      </c>
      <c r="C86" s="168" t="s">
        <v>52</v>
      </c>
      <c r="D86" s="169"/>
      <c r="E86" s="115">
        <v>4731.7</v>
      </c>
      <c r="F86" s="115">
        <f>SUM(E86*12)</f>
        <v>56780.399999999994</v>
      </c>
      <c r="G86" s="191">
        <v>3.38</v>
      </c>
      <c r="H86" s="76">
        <f>SUM(F86*G86/1000)</f>
        <v>191.91775199999998</v>
      </c>
      <c r="I86" s="13">
        <f>F86/12*G86</f>
        <v>15993.145999999999</v>
      </c>
    </row>
    <row r="87" spans="1:9" ht="31.5" customHeight="1">
      <c r="A87" s="30">
        <v>16</v>
      </c>
      <c r="B87" s="36" t="s">
        <v>72</v>
      </c>
      <c r="C87" s="168"/>
      <c r="D87" s="48"/>
      <c r="E87" s="163">
        <f>E86</f>
        <v>4731.7</v>
      </c>
      <c r="F87" s="115">
        <f>E87*12</f>
        <v>56780.399999999994</v>
      </c>
      <c r="G87" s="115">
        <v>3.05</v>
      </c>
      <c r="H87" s="76">
        <f>F87*G87/1000</f>
        <v>173.18021999999996</v>
      </c>
      <c r="I87" s="13">
        <f>F87/12*G87</f>
        <v>14431.684999999999</v>
      </c>
    </row>
    <row r="88" spans="1:9" ht="15.75" customHeight="1">
      <c r="A88" s="30"/>
      <c r="B88" s="37" t="s">
        <v>74</v>
      </c>
      <c r="C88" s="79"/>
      <c r="D88" s="78"/>
      <c r="E88" s="67"/>
      <c r="F88" s="67"/>
      <c r="G88" s="67"/>
      <c r="H88" s="80">
        <f>H87</f>
        <v>173.18021999999996</v>
      </c>
      <c r="I88" s="67">
        <f>I87+I86+I80+I73+I62+I53+I49+I43+I40+I39+I38+I37+I26+I18+I17+I16</f>
        <v>91953.409228499993</v>
      </c>
    </row>
    <row r="89" spans="1:9" ht="15.75" customHeight="1">
      <c r="A89" s="227" t="s">
        <v>57</v>
      </c>
      <c r="B89" s="228"/>
      <c r="C89" s="228"/>
      <c r="D89" s="228"/>
      <c r="E89" s="228"/>
      <c r="F89" s="228"/>
      <c r="G89" s="228"/>
      <c r="H89" s="228"/>
      <c r="I89" s="229"/>
    </row>
    <row r="90" spans="1:9" ht="17.25" customHeight="1">
      <c r="A90" s="30">
        <v>17</v>
      </c>
      <c r="B90" s="105" t="s">
        <v>219</v>
      </c>
      <c r="C90" s="106" t="s">
        <v>77</v>
      </c>
      <c r="D90" s="192" t="s">
        <v>175</v>
      </c>
      <c r="E90" s="167"/>
      <c r="F90" s="167">
        <v>1</v>
      </c>
      <c r="G90" s="167">
        <v>280.70999999999998</v>
      </c>
      <c r="H90" s="84"/>
      <c r="I90" s="104">
        <f>G90*1</f>
        <v>280.70999999999998</v>
      </c>
    </row>
    <row r="91" spans="1:9" ht="15.75" customHeight="1">
      <c r="A91" s="30"/>
      <c r="B91" s="42" t="s">
        <v>49</v>
      </c>
      <c r="C91" s="38"/>
      <c r="D91" s="45"/>
      <c r="E91" s="38">
        <v>1</v>
      </c>
      <c r="F91" s="38"/>
      <c r="G91" s="38"/>
      <c r="H91" s="38"/>
      <c r="I91" s="33">
        <f>SUM(I90:I90)</f>
        <v>280.70999999999998</v>
      </c>
    </row>
    <row r="92" spans="1:9" ht="15.75" customHeight="1">
      <c r="A92" s="30"/>
      <c r="B92" s="44" t="s">
        <v>73</v>
      </c>
      <c r="C92" s="15"/>
      <c r="D92" s="15"/>
      <c r="E92" s="39"/>
      <c r="F92" s="39"/>
      <c r="G92" s="40"/>
      <c r="H92" s="40"/>
      <c r="I92" s="17">
        <v>0</v>
      </c>
    </row>
    <row r="93" spans="1:9" ht="15.75" customHeight="1">
      <c r="A93" s="46"/>
      <c r="B93" s="43" t="s">
        <v>131</v>
      </c>
      <c r="C93" s="34"/>
      <c r="D93" s="34"/>
      <c r="E93" s="34"/>
      <c r="F93" s="34"/>
      <c r="G93" s="34"/>
      <c r="H93" s="34"/>
      <c r="I93" s="41">
        <f>I88+I91</f>
        <v>92234.1192285</v>
      </c>
    </row>
    <row r="94" spans="1:9" ht="15.75" customHeight="1">
      <c r="A94" s="224" t="s">
        <v>220</v>
      </c>
      <c r="B94" s="224"/>
      <c r="C94" s="224"/>
      <c r="D94" s="224"/>
      <c r="E94" s="224"/>
      <c r="F94" s="224"/>
      <c r="G94" s="224"/>
      <c r="H94" s="224"/>
      <c r="I94" s="224"/>
    </row>
    <row r="95" spans="1:9" ht="15.75" customHeight="1">
      <c r="A95" s="55"/>
      <c r="B95" s="225" t="s">
        <v>221</v>
      </c>
      <c r="C95" s="225"/>
      <c r="D95" s="225"/>
      <c r="E95" s="225"/>
      <c r="F95" s="225"/>
      <c r="G95" s="225"/>
      <c r="H95" s="60"/>
      <c r="I95" s="3"/>
    </row>
    <row r="96" spans="1:9" ht="15.75" customHeight="1">
      <c r="A96" s="87"/>
      <c r="B96" s="215" t="s">
        <v>6</v>
      </c>
      <c r="C96" s="215"/>
      <c r="D96" s="215"/>
      <c r="E96" s="215"/>
      <c r="F96" s="215"/>
      <c r="G96" s="215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226" t="s">
        <v>7</v>
      </c>
      <c r="B98" s="226"/>
      <c r="C98" s="226"/>
      <c r="D98" s="226"/>
      <c r="E98" s="226"/>
      <c r="F98" s="226"/>
      <c r="G98" s="226"/>
      <c r="H98" s="226"/>
      <c r="I98" s="226"/>
    </row>
    <row r="99" spans="1:9" ht="15.75" customHeight="1">
      <c r="A99" s="226" t="s">
        <v>8</v>
      </c>
      <c r="B99" s="226"/>
      <c r="C99" s="226"/>
      <c r="D99" s="226"/>
      <c r="E99" s="226"/>
      <c r="F99" s="226"/>
      <c r="G99" s="226"/>
      <c r="H99" s="226"/>
      <c r="I99" s="226"/>
    </row>
    <row r="100" spans="1:9" ht="23.25" customHeight="1">
      <c r="A100" s="219" t="s">
        <v>58</v>
      </c>
      <c r="B100" s="219"/>
      <c r="C100" s="219"/>
      <c r="D100" s="219"/>
      <c r="E100" s="219"/>
      <c r="F100" s="219"/>
      <c r="G100" s="219"/>
      <c r="H100" s="219"/>
      <c r="I100" s="219"/>
    </row>
    <row r="101" spans="1:9" ht="15.75">
      <c r="A101" s="11"/>
    </row>
    <row r="102" spans="1:9" ht="15.75">
      <c r="A102" s="213" t="s">
        <v>9</v>
      </c>
      <c r="B102" s="213"/>
      <c r="C102" s="213"/>
      <c r="D102" s="213"/>
      <c r="E102" s="213"/>
      <c r="F102" s="213"/>
      <c r="G102" s="213"/>
      <c r="H102" s="213"/>
      <c r="I102" s="213"/>
    </row>
    <row r="103" spans="1:9" ht="15.75" customHeight="1">
      <c r="A103" s="4"/>
    </row>
    <row r="104" spans="1:9" ht="15.75" customHeight="1">
      <c r="B104" s="88" t="s">
        <v>10</v>
      </c>
      <c r="C104" s="214" t="s">
        <v>201</v>
      </c>
      <c r="D104" s="214"/>
      <c r="E104" s="214"/>
      <c r="F104" s="58"/>
      <c r="I104" s="86"/>
    </row>
    <row r="105" spans="1:9" ht="15.75" customHeight="1">
      <c r="A105" s="87"/>
      <c r="C105" s="215" t="s">
        <v>11</v>
      </c>
      <c r="D105" s="215"/>
      <c r="E105" s="215"/>
      <c r="F105" s="25"/>
      <c r="I105" s="85" t="s">
        <v>12</v>
      </c>
    </row>
    <row r="106" spans="1:9" ht="15.75" customHeight="1">
      <c r="A106" s="26"/>
      <c r="C106" s="12"/>
      <c r="D106" s="12"/>
      <c r="G106" s="12"/>
      <c r="H106" s="12"/>
    </row>
    <row r="107" spans="1:9" ht="15.75" customHeight="1">
      <c r="B107" s="88" t="s">
        <v>13</v>
      </c>
      <c r="C107" s="216"/>
      <c r="D107" s="216"/>
      <c r="E107" s="216"/>
      <c r="F107" s="59"/>
      <c r="I107" s="86"/>
    </row>
    <row r="108" spans="1:9">
      <c r="A108" s="87"/>
      <c r="C108" s="217" t="s">
        <v>11</v>
      </c>
      <c r="D108" s="217"/>
      <c r="E108" s="217"/>
      <c r="F108" s="87"/>
      <c r="I108" s="85" t="s">
        <v>12</v>
      </c>
    </row>
    <row r="109" spans="1:9" ht="15.75">
      <c r="A109" s="4" t="s">
        <v>14</v>
      </c>
    </row>
    <row r="110" spans="1:9" ht="15.75" customHeight="1">
      <c r="A110" s="218" t="s">
        <v>15</v>
      </c>
      <c r="B110" s="218"/>
      <c r="C110" s="218"/>
      <c r="D110" s="218"/>
      <c r="E110" s="218"/>
      <c r="F110" s="218"/>
      <c r="G110" s="218"/>
      <c r="H110" s="218"/>
      <c r="I110" s="218"/>
    </row>
    <row r="111" spans="1:9" ht="45" customHeight="1">
      <c r="A111" s="212" t="s">
        <v>16</v>
      </c>
      <c r="B111" s="212"/>
      <c r="C111" s="212"/>
      <c r="D111" s="212"/>
      <c r="E111" s="212"/>
      <c r="F111" s="212"/>
      <c r="G111" s="212"/>
      <c r="H111" s="212"/>
      <c r="I111" s="212"/>
    </row>
    <row r="112" spans="1:9" ht="30" customHeight="1">
      <c r="A112" s="212" t="s">
        <v>17</v>
      </c>
      <c r="B112" s="212"/>
      <c r="C112" s="212"/>
      <c r="D112" s="212"/>
      <c r="E112" s="212"/>
      <c r="F112" s="212"/>
      <c r="G112" s="212"/>
      <c r="H112" s="212"/>
      <c r="I112" s="212"/>
    </row>
    <row r="113" spans="1:9" ht="30" customHeight="1">
      <c r="A113" s="212" t="s">
        <v>21</v>
      </c>
      <c r="B113" s="212"/>
      <c r="C113" s="212"/>
      <c r="D113" s="212"/>
      <c r="E113" s="212"/>
      <c r="F113" s="212"/>
      <c r="G113" s="212"/>
      <c r="H113" s="212"/>
      <c r="I113" s="212"/>
    </row>
    <row r="114" spans="1:9" ht="15" customHeight="1">
      <c r="A114" s="212" t="s">
        <v>20</v>
      </c>
      <c r="B114" s="212"/>
      <c r="C114" s="212"/>
      <c r="D114" s="212"/>
      <c r="E114" s="212"/>
      <c r="F114" s="212"/>
      <c r="G114" s="212"/>
      <c r="H114" s="212"/>
      <c r="I114" s="212"/>
    </row>
  </sheetData>
  <autoFilter ref="I12:I55"/>
  <mergeCells count="29">
    <mergeCell ref="A14:I14"/>
    <mergeCell ref="A15:I15"/>
    <mergeCell ref="A27:I27"/>
    <mergeCell ref="A44:I44"/>
    <mergeCell ref="A54:I54"/>
    <mergeCell ref="A3:I3"/>
    <mergeCell ref="A4:I4"/>
    <mergeCell ref="A5:I5"/>
    <mergeCell ref="A8:I8"/>
    <mergeCell ref="A10:I10"/>
    <mergeCell ref="R60:U60"/>
    <mergeCell ref="C108:E108"/>
    <mergeCell ref="A89:I89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5:I85"/>
    <mergeCell ref="A110:I110"/>
    <mergeCell ref="A111:I111"/>
    <mergeCell ref="A112:I112"/>
    <mergeCell ref="A113:I113"/>
    <mergeCell ref="A114:I114"/>
  </mergeCells>
  <pageMargins left="0.70866141732283472" right="0" top="0.27559055118110237" bottom="0.27559055118110237" header="0.31496062992125984" footer="0.31496062992125984"/>
  <pageSetup paperSize="9" scale="57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8"/>
  <sheetViews>
    <sheetView topLeftCell="A94" workbookViewId="0">
      <selection activeCell="D94" sqref="D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33" t="s">
        <v>147</v>
      </c>
      <c r="B3" s="233"/>
      <c r="C3" s="233"/>
      <c r="D3" s="233"/>
      <c r="E3" s="233"/>
      <c r="F3" s="233"/>
      <c r="G3" s="233"/>
      <c r="H3" s="233"/>
      <c r="I3" s="233"/>
      <c r="J3" s="3"/>
      <c r="K3" s="3"/>
      <c r="L3" s="3"/>
    </row>
    <row r="4" spans="1:13" ht="31.5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13" ht="15.75">
      <c r="A5" s="233" t="s">
        <v>222</v>
      </c>
      <c r="B5" s="235"/>
      <c r="C5" s="235"/>
      <c r="D5" s="235"/>
      <c r="E5" s="235"/>
      <c r="F5" s="235"/>
      <c r="G5" s="235"/>
      <c r="H5" s="235"/>
      <c r="I5" s="235"/>
      <c r="J5" s="2"/>
      <c r="K5" s="2"/>
      <c r="L5" s="2"/>
      <c r="M5" s="2"/>
    </row>
    <row r="6" spans="1:13" ht="15.75">
      <c r="A6" s="2"/>
      <c r="B6" s="91"/>
      <c r="C6" s="91"/>
      <c r="D6" s="91"/>
      <c r="E6" s="91"/>
      <c r="F6" s="91"/>
      <c r="G6" s="91"/>
      <c r="H6" s="91"/>
      <c r="I6" s="31">
        <v>44286</v>
      </c>
      <c r="J6" s="2"/>
      <c r="K6" s="2"/>
      <c r="L6" s="2"/>
      <c r="M6" s="2"/>
    </row>
    <row r="7" spans="1:13" ht="15.75">
      <c r="B7" s="92"/>
      <c r="C7" s="92"/>
      <c r="D7" s="9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6" t="s">
        <v>203</v>
      </c>
      <c r="B8" s="236"/>
      <c r="C8" s="236"/>
      <c r="D8" s="236"/>
      <c r="E8" s="236"/>
      <c r="F8" s="236"/>
      <c r="G8" s="236"/>
      <c r="H8" s="236"/>
      <c r="I8" s="2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  <c r="J14" s="8"/>
      <c r="K14" s="8"/>
      <c r="L14" s="8"/>
      <c r="M14" s="8"/>
    </row>
    <row r="15" spans="1:13" ht="15" customHeight="1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  <c r="J15" s="8"/>
      <c r="K15" s="8"/>
      <c r="L15" s="8"/>
      <c r="M15" s="8"/>
    </row>
    <row r="16" spans="1:13" ht="15.75" customHeight="1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  <c r="J16" s="22"/>
      <c r="K16" s="8"/>
      <c r="L16" s="8"/>
      <c r="M16" s="8"/>
    </row>
    <row r="17" spans="1:13" ht="15.75" customHeight="1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  <c r="J17" s="23"/>
      <c r="K17" s="8"/>
      <c r="L17" s="8"/>
      <c r="M17" s="8"/>
    </row>
    <row r="18" spans="1:13" ht="15.75" customHeight="1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  <c r="J18" s="23"/>
      <c r="K18" s="8"/>
      <c r="L18" s="8"/>
      <c r="M18" s="8"/>
    </row>
    <row r="19" spans="1:13" ht="15.75" hidden="1" customHeight="1">
      <c r="A19" s="30"/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  <c r="J19" s="23"/>
      <c r="K19" s="8"/>
      <c r="L19" s="8"/>
      <c r="M19" s="8"/>
    </row>
    <row r="20" spans="1:13" ht="15.75" hidden="1" customHeight="1">
      <c r="A20" s="30">
        <v>4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  <c r="J20" s="23"/>
      <c r="K20" s="8"/>
      <c r="L20" s="8"/>
      <c r="M20" s="8"/>
    </row>
    <row r="21" spans="1:13" ht="15.75" hidden="1" customHeight="1">
      <c r="A21" s="30">
        <v>5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  <c r="J21" s="23"/>
      <c r="K21" s="8"/>
      <c r="L21" s="8"/>
      <c r="M21" s="8"/>
    </row>
    <row r="22" spans="1:13" ht="15.75" hidden="1" customHeight="1">
      <c r="A22" s="30"/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  <c r="J22" s="23"/>
      <c r="K22" s="8"/>
      <c r="L22" s="8"/>
      <c r="M22" s="8"/>
    </row>
    <row r="23" spans="1:13" ht="15.75" hidden="1" customHeight="1">
      <c r="A23" s="30"/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  <c r="J23" s="23"/>
      <c r="K23" s="8"/>
      <c r="L23" s="8"/>
      <c r="M23" s="8"/>
    </row>
    <row r="24" spans="1:13" ht="15.75" hidden="1" customHeight="1">
      <c r="A24" s="30"/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  <c r="J24" s="23"/>
      <c r="K24" s="8"/>
      <c r="L24" s="8"/>
      <c r="M24" s="8"/>
    </row>
    <row r="25" spans="1:13" ht="15.75" hidden="1" customHeight="1">
      <c r="A25" s="30"/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  <c r="J25" s="23"/>
      <c r="K25" s="8"/>
      <c r="L25" s="8"/>
      <c r="M25" s="8"/>
    </row>
    <row r="26" spans="1:13" ht="15.75" hidden="1" customHeight="1">
      <c r="A26" s="30">
        <v>4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  <c r="J26" s="23"/>
      <c r="K26" s="8"/>
    </row>
    <row r="27" spans="1:13" ht="15.75" customHeight="1">
      <c r="A27" s="220" t="s">
        <v>78</v>
      </c>
      <c r="B27" s="220"/>
      <c r="C27" s="220"/>
      <c r="D27" s="220"/>
      <c r="E27" s="220"/>
      <c r="F27" s="220"/>
      <c r="G27" s="220"/>
      <c r="H27" s="220"/>
      <c r="I27" s="220"/>
      <c r="J27" s="23"/>
      <c r="K27" s="8"/>
      <c r="L27" s="8"/>
      <c r="M27" s="8"/>
    </row>
    <row r="28" spans="1:13" ht="15.75" hidden="1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  <c r="J28" s="24"/>
    </row>
    <row r="29" spans="1:13" ht="15.75" hidden="1" customHeight="1">
      <c r="A29" s="30"/>
      <c r="B29" s="61" t="s">
        <v>96</v>
      </c>
      <c r="C29" s="62" t="s">
        <v>82</v>
      </c>
      <c r="D29" s="61" t="s">
        <v>129</v>
      </c>
      <c r="E29" s="64">
        <v>436.6</v>
      </c>
      <c r="F29" s="64">
        <f>SUM(E29*52/1000)</f>
        <v>22.703200000000002</v>
      </c>
      <c r="G29" s="64">
        <v>204.44</v>
      </c>
      <c r="H29" s="65">
        <f t="shared" ref="H29:H35" si="2">SUM(F29*G29/1000)</f>
        <v>4.641442208</v>
      </c>
      <c r="I29" s="13">
        <f>F29/6*G29</f>
        <v>773.57370133333336</v>
      </c>
      <c r="J29" s="24"/>
    </row>
    <row r="30" spans="1:13" ht="31.5" hidden="1" customHeight="1">
      <c r="A30" s="30"/>
      <c r="B30" s="61" t="s">
        <v>107</v>
      </c>
      <c r="C30" s="62" t="s">
        <v>82</v>
      </c>
      <c r="D30" s="61" t="s">
        <v>130</v>
      </c>
      <c r="E30" s="64">
        <v>54.4</v>
      </c>
      <c r="F30" s="64">
        <f>SUM(E30*78/1000)</f>
        <v>4.2431999999999999</v>
      </c>
      <c r="G30" s="64">
        <v>339.21</v>
      </c>
      <c r="H30" s="65">
        <f t="shared" si="2"/>
        <v>1.4393358719999998</v>
      </c>
      <c r="I30" s="13">
        <f t="shared" ref="I30:I33" si="3">F30/6*G30</f>
        <v>239.88931199999996</v>
      </c>
      <c r="J30" s="23"/>
      <c r="K30" s="8"/>
      <c r="L30" s="8"/>
      <c r="M30" s="8"/>
    </row>
    <row r="31" spans="1:13" ht="15.75" hidden="1" customHeight="1">
      <c r="A31" s="30"/>
      <c r="B31" s="61" t="s">
        <v>27</v>
      </c>
      <c r="C31" s="62" t="s">
        <v>82</v>
      </c>
      <c r="D31" s="61" t="s">
        <v>51</v>
      </c>
      <c r="E31" s="64">
        <v>436.6</v>
      </c>
      <c r="F31" s="64">
        <f>SUM(E31/1000)</f>
        <v>0.43660000000000004</v>
      </c>
      <c r="G31" s="64">
        <v>3961.23</v>
      </c>
      <c r="H31" s="65">
        <f t="shared" si="2"/>
        <v>1.7294730180000002</v>
      </c>
      <c r="I31" s="13">
        <f>F31*G31</f>
        <v>1729.4730180000001</v>
      </c>
      <c r="J31" s="23"/>
      <c r="K31" s="8"/>
      <c r="L31" s="8"/>
      <c r="M31" s="8"/>
    </row>
    <row r="32" spans="1:13" ht="15.75" hidden="1" customHeight="1">
      <c r="A32" s="30"/>
      <c r="B32" s="61" t="s">
        <v>119</v>
      </c>
      <c r="C32" s="62" t="s">
        <v>38</v>
      </c>
      <c r="D32" s="61" t="s">
        <v>60</v>
      </c>
      <c r="E32" s="64">
        <v>4</v>
      </c>
      <c r="F32" s="64">
        <f>E32*155/100</f>
        <v>6.2</v>
      </c>
      <c r="G32" s="64">
        <v>1707.63</v>
      </c>
      <c r="H32" s="65">
        <f>G32*F32/1000</f>
        <v>10.587306</v>
      </c>
      <c r="I32" s="13">
        <f t="shared" si="3"/>
        <v>1764.5510000000004</v>
      </c>
      <c r="J32" s="23"/>
      <c r="K32" s="8"/>
      <c r="L32" s="8"/>
      <c r="M32" s="8"/>
    </row>
    <row r="33" spans="1:14" ht="15.75" hidden="1" customHeight="1">
      <c r="A33" s="30"/>
      <c r="B33" s="61" t="s">
        <v>95</v>
      </c>
      <c r="C33" s="62" t="s">
        <v>30</v>
      </c>
      <c r="D33" s="61" t="s">
        <v>60</v>
      </c>
      <c r="E33" s="68">
        <f>1/3</f>
        <v>0.33333333333333331</v>
      </c>
      <c r="F33" s="64">
        <f>155/3</f>
        <v>51.666666666666664</v>
      </c>
      <c r="G33" s="64">
        <v>74.349999999999994</v>
      </c>
      <c r="H33" s="65">
        <f>SUM(G33*155/3/1000)</f>
        <v>3.8414166666666665</v>
      </c>
      <c r="I33" s="13">
        <f t="shared" si="3"/>
        <v>640.23611111111109</v>
      </c>
      <c r="J33" s="23"/>
      <c r="K33" s="8"/>
      <c r="L33" s="8"/>
      <c r="M33" s="8"/>
    </row>
    <row r="34" spans="1:14" ht="15.75" hidden="1" customHeight="1">
      <c r="A34" s="30"/>
      <c r="B34" s="61" t="s">
        <v>61</v>
      </c>
      <c r="C34" s="62" t="s">
        <v>32</v>
      </c>
      <c r="D34" s="61" t="s">
        <v>63</v>
      </c>
      <c r="E34" s="63"/>
      <c r="F34" s="64">
        <v>2</v>
      </c>
      <c r="G34" s="64">
        <v>250.92</v>
      </c>
      <c r="H34" s="65">
        <f t="shared" si="2"/>
        <v>0.50183999999999995</v>
      </c>
      <c r="I34" s="13">
        <v>0</v>
      </c>
      <c r="J34" s="24"/>
    </row>
    <row r="35" spans="1:14" ht="15.75" hidden="1" customHeight="1">
      <c r="A35" s="30"/>
      <c r="B35" s="61" t="s">
        <v>62</v>
      </c>
      <c r="C35" s="62" t="s">
        <v>31</v>
      </c>
      <c r="D35" s="61" t="s">
        <v>63</v>
      </c>
      <c r="E35" s="63"/>
      <c r="F35" s="64">
        <v>1</v>
      </c>
      <c r="G35" s="64">
        <v>1490.31</v>
      </c>
      <c r="H35" s="65">
        <f t="shared" si="2"/>
        <v>1.49031</v>
      </c>
      <c r="I35" s="13">
        <v>0</v>
      </c>
      <c r="J35" s="24"/>
    </row>
    <row r="36" spans="1:14" ht="15.75" customHeight="1">
      <c r="A36" s="30"/>
      <c r="B36" s="81" t="s">
        <v>5</v>
      </c>
      <c r="C36" s="62"/>
      <c r="D36" s="61"/>
      <c r="E36" s="63"/>
      <c r="F36" s="64"/>
      <c r="G36" s="64"/>
      <c r="H36" s="65" t="s">
        <v>118</v>
      </c>
      <c r="I36" s="13"/>
      <c r="J36" s="24"/>
      <c r="L36" s="19"/>
      <c r="M36" s="20"/>
      <c r="N36" s="21"/>
    </row>
    <row r="37" spans="1:14" ht="15.75" customHeight="1">
      <c r="A37" s="30">
        <v>4</v>
      </c>
      <c r="B37" s="171" t="s">
        <v>26</v>
      </c>
      <c r="C37" s="114" t="s">
        <v>31</v>
      </c>
      <c r="D37" s="113" t="s">
        <v>223</v>
      </c>
      <c r="E37" s="165"/>
      <c r="F37" s="116">
        <v>5</v>
      </c>
      <c r="G37" s="124">
        <v>1855</v>
      </c>
      <c r="H37" s="65">
        <f t="shared" ref="H37:H43" si="4">SUM(F37*G37/1000)</f>
        <v>9.2750000000000004</v>
      </c>
      <c r="I37" s="13">
        <f>G37*3.6</f>
        <v>6678</v>
      </c>
      <c r="J37" s="24"/>
      <c r="L37" s="19"/>
      <c r="M37" s="20"/>
      <c r="N37" s="21"/>
    </row>
    <row r="38" spans="1:14" ht="15.75" customHeight="1">
      <c r="A38" s="30">
        <v>5</v>
      </c>
      <c r="B38" s="171" t="s">
        <v>133</v>
      </c>
      <c r="C38" s="172" t="s">
        <v>29</v>
      </c>
      <c r="D38" s="113" t="s">
        <v>171</v>
      </c>
      <c r="E38" s="163">
        <v>137</v>
      </c>
      <c r="F38" s="154">
        <f>E38*30/1000</f>
        <v>4.1100000000000003</v>
      </c>
      <c r="G38" s="124">
        <v>3014.36</v>
      </c>
      <c r="H38" s="65">
        <f t="shared" si="4"/>
        <v>12.389019600000001</v>
      </c>
      <c r="I38" s="13">
        <f t="shared" ref="I38:I43" si="5">F38/6*G38</f>
        <v>2064.8366000000001</v>
      </c>
      <c r="J38" s="24"/>
      <c r="L38" s="19"/>
      <c r="M38" s="20"/>
      <c r="N38" s="21"/>
    </row>
    <row r="39" spans="1:14" ht="15.75" customHeight="1">
      <c r="A39" s="30">
        <v>6</v>
      </c>
      <c r="B39" s="113" t="s">
        <v>64</v>
      </c>
      <c r="C39" s="114" t="s">
        <v>29</v>
      </c>
      <c r="D39" s="113" t="s">
        <v>170</v>
      </c>
      <c r="E39" s="124">
        <v>137</v>
      </c>
      <c r="F39" s="154">
        <f>SUM(E39*155/1000)</f>
        <v>21.234999999999999</v>
      </c>
      <c r="G39" s="124">
        <v>502.82</v>
      </c>
      <c r="H39" s="65">
        <f t="shared" si="4"/>
        <v>10.677382700000001</v>
      </c>
      <c r="I39" s="13">
        <f>(F39/6*G39)</f>
        <v>1779.5637833333333</v>
      </c>
      <c r="J39" s="24"/>
      <c r="L39" s="19"/>
      <c r="M39" s="20"/>
      <c r="N39" s="21"/>
    </row>
    <row r="40" spans="1:14" ht="47.25" customHeight="1">
      <c r="A40" s="30">
        <v>7</v>
      </c>
      <c r="B40" s="113" t="s">
        <v>76</v>
      </c>
      <c r="C40" s="114" t="s">
        <v>82</v>
      </c>
      <c r="D40" s="113" t="s">
        <v>172</v>
      </c>
      <c r="E40" s="124">
        <v>54.4</v>
      </c>
      <c r="F40" s="154">
        <f>SUM(E40*35/1000)</f>
        <v>1.9039999999999999</v>
      </c>
      <c r="G40" s="124">
        <v>8319.2999999999993</v>
      </c>
      <c r="H40" s="65">
        <f t="shared" si="4"/>
        <v>15.839947199999999</v>
      </c>
      <c r="I40" s="13">
        <f t="shared" si="5"/>
        <v>2639.9911999999995</v>
      </c>
      <c r="J40" s="24"/>
      <c r="L40" s="19"/>
      <c r="M40" s="20"/>
      <c r="N40" s="21"/>
    </row>
    <row r="41" spans="1:14" ht="15.75" hidden="1" customHeight="1">
      <c r="A41" s="30">
        <v>9</v>
      </c>
      <c r="B41" s="113" t="s">
        <v>83</v>
      </c>
      <c r="C41" s="114" t="s">
        <v>82</v>
      </c>
      <c r="D41" s="113"/>
      <c r="E41" s="124">
        <v>137</v>
      </c>
      <c r="F41" s="154">
        <f>E41*30/1000</f>
        <v>4.1100000000000003</v>
      </c>
      <c r="G41" s="124">
        <v>614.55999999999995</v>
      </c>
      <c r="H41" s="65">
        <f t="shared" si="4"/>
        <v>2.5258416000000001</v>
      </c>
      <c r="I41" s="13">
        <f>G41*F41/30</f>
        <v>84.194720000000004</v>
      </c>
      <c r="J41" s="24"/>
      <c r="L41" s="19"/>
      <c r="M41" s="20"/>
      <c r="N41" s="21"/>
    </row>
    <row r="42" spans="1:14" ht="15.75" hidden="1" customHeight="1">
      <c r="A42" s="30">
        <v>10</v>
      </c>
      <c r="B42" s="171" t="s">
        <v>66</v>
      </c>
      <c r="C42" s="172" t="s">
        <v>32</v>
      </c>
      <c r="D42" s="171"/>
      <c r="E42" s="184"/>
      <c r="F42" s="154">
        <v>0.9</v>
      </c>
      <c r="G42" s="154">
        <v>900</v>
      </c>
      <c r="H42" s="65">
        <f t="shared" si="4"/>
        <v>0.81</v>
      </c>
      <c r="I42" s="13">
        <f>G42*F42/30</f>
        <v>27</v>
      </c>
      <c r="J42" s="24"/>
      <c r="L42" s="19"/>
      <c r="M42" s="20"/>
      <c r="N42" s="21"/>
    </row>
    <row r="43" spans="1:14" ht="30.75" customHeight="1">
      <c r="A43" s="30">
        <v>8</v>
      </c>
      <c r="B43" s="105" t="s">
        <v>134</v>
      </c>
      <c r="C43" s="106" t="s">
        <v>29</v>
      </c>
      <c r="D43" s="171" t="s">
        <v>186</v>
      </c>
      <c r="E43" s="184">
        <v>3</v>
      </c>
      <c r="F43" s="154">
        <f>SUM(E43*12/1000)</f>
        <v>3.5999999999999997E-2</v>
      </c>
      <c r="G43" s="154">
        <v>19757.060000000001</v>
      </c>
      <c r="H43" s="65">
        <f t="shared" si="4"/>
        <v>0.71125415999999997</v>
      </c>
      <c r="I43" s="13">
        <f t="shared" si="5"/>
        <v>118.54235999999999</v>
      </c>
      <c r="J43" s="24"/>
      <c r="L43" s="19"/>
      <c r="M43" s="20"/>
      <c r="N43" s="21"/>
    </row>
    <row r="44" spans="1:14" ht="15.75" hidden="1" customHeight="1">
      <c r="A44" s="221" t="s">
        <v>121</v>
      </c>
      <c r="B44" s="222"/>
      <c r="C44" s="222"/>
      <c r="D44" s="222"/>
      <c r="E44" s="222"/>
      <c r="F44" s="222"/>
      <c r="G44" s="222"/>
      <c r="H44" s="222"/>
      <c r="I44" s="223"/>
      <c r="J44" s="24"/>
      <c r="L44" s="19"/>
      <c r="M44" s="20"/>
      <c r="N44" s="21"/>
    </row>
    <row r="45" spans="1:14" ht="15.75" hidden="1" customHeight="1">
      <c r="A45" s="30"/>
      <c r="B45" s="61" t="s">
        <v>113</v>
      </c>
      <c r="C45" s="62" t="s">
        <v>82</v>
      </c>
      <c r="D45" s="61" t="s">
        <v>40</v>
      </c>
      <c r="E45" s="63">
        <v>1320.9</v>
      </c>
      <c r="F45" s="64">
        <f>SUM(E45*2/1000)</f>
        <v>2.6418000000000004</v>
      </c>
      <c r="G45" s="13">
        <v>1114.1300000000001</v>
      </c>
      <c r="H45" s="65">
        <f t="shared" ref="H45:H53" si="6">SUM(F45*G45/1000)</f>
        <v>2.943308634000001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61" t="s">
        <v>33</v>
      </c>
      <c r="C46" s="62" t="s">
        <v>82</v>
      </c>
      <c r="D46" s="61" t="s">
        <v>40</v>
      </c>
      <c r="E46" s="63">
        <v>52</v>
      </c>
      <c r="F46" s="64">
        <f>E46*2/1000</f>
        <v>0.104</v>
      </c>
      <c r="G46" s="13">
        <v>4419.05</v>
      </c>
      <c r="H46" s="65">
        <f t="shared" si="6"/>
        <v>0.45958120000000002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61" t="s">
        <v>34</v>
      </c>
      <c r="C47" s="62" t="s">
        <v>82</v>
      </c>
      <c r="D47" s="61" t="s">
        <v>40</v>
      </c>
      <c r="E47" s="63">
        <v>1520.8</v>
      </c>
      <c r="F47" s="64">
        <f>SUM(E47*2/1000)</f>
        <v>3.0415999999999999</v>
      </c>
      <c r="G47" s="13">
        <v>1803.69</v>
      </c>
      <c r="H47" s="65">
        <f t="shared" si="6"/>
        <v>5.4861035039999999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61" t="s">
        <v>35</v>
      </c>
      <c r="C48" s="62" t="s">
        <v>82</v>
      </c>
      <c r="D48" s="61" t="s">
        <v>40</v>
      </c>
      <c r="E48" s="63">
        <v>3433.81</v>
      </c>
      <c r="F48" s="64">
        <f>SUM(E48*2/1000)</f>
        <v>6.8676199999999996</v>
      </c>
      <c r="G48" s="13">
        <v>1243.43</v>
      </c>
      <c r="H48" s="65">
        <f t="shared" si="6"/>
        <v>8.5394047365999999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>
        <v>13</v>
      </c>
      <c r="B49" s="61" t="s">
        <v>53</v>
      </c>
      <c r="C49" s="62" t="s">
        <v>82</v>
      </c>
      <c r="D49" s="61" t="s">
        <v>125</v>
      </c>
      <c r="E49" s="63">
        <v>4731.7</v>
      </c>
      <c r="F49" s="64">
        <f>SUM(E49*5/1000)</f>
        <v>23.6585</v>
      </c>
      <c r="G49" s="13">
        <v>1803.69</v>
      </c>
      <c r="H49" s="65">
        <f t="shared" si="6"/>
        <v>42.672599865000002</v>
      </c>
      <c r="I49" s="13">
        <f>F49/5*G49</f>
        <v>8534.5199730000004</v>
      </c>
      <c r="J49" s="24"/>
      <c r="L49" s="19"/>
      <c r="M49" s="20"/>
      <c r="N49" s="21"/>
    </row>
    <row r="50" spans="1:22" ht="31.5" hidden="1" customHeight="1">
      <c r="A50" s="30"/>
      <c r="B50" s="61" t="s">
        <v>84</v>
      </c>
      <c r="C50" s="62" t="s">
        <v>82</v>
      </c>
      <c r="D50" s="61" t="s">
        <v>40</v>
      </c>
      <c r="E50" s="63">
        <v>4731.7</v>
      </c>
      <c r="F50" s="64">
        <f>SUM(E50*2/1000)</f>
        <v>9.4634</v>
      </c>
      <c r="G50" s="13">
        <v>1591.6</v>
      </c>
      <c r="H50" s="65">
        <f t="shared" si="6"/>
        <v>15.061947439999999</v>
      </c>
      <c r="I50" s="13">
        <v>0</v>
      </c>
      <c r="J50" s="24"/>
      <c r="L50" s="19"/>
      <c r="M50" s="20"/>
      <c r="N50" s="21"/>
    </row>
    <row r="51" spans="1:22" ht="31.5" hidden="1" customHeight="1">
      <c r="A51" s="30"/>
      <c r="B51" s="61" t="s">
        <v>85</v>
      </c>
      <c r="C51" s="62" t="s">
        <v>36</v>
      </c>
      <c r="D51" s="61" t="s">
        <v>40</v>
      </c>
      <c r="E51" s="63">
        <v>20</v>
      </c>
      <c r="F51" s="64">
        <f>SUM(E51*2/100)</f>
        <v>0.4</v>
      </c>
      <c r="G51" s="13">
        <v>4058.32</v>
      </c>
      <c r="H51" s="65">
        <f>SUM(F51*G51/1000)</f>
        <v>1.6233280000000001</v>
      </c>
      <c r="I51" s="13">
        <v>0</v>
      </c>
      <c r="J51" s="24"/>
      <c r="L51" s="19"/>
      <c r="M51" s="20"/>
      <c r="N51" s="21"/>
    </row>
    <row r="52" spans="1:22" ht="15.75" hidden="1" customHeight="1">
      <c r="A52" s="30"/>
      <c r="B52" s="61" t="s">
        <v>37</v>
      </c>
      <c r="C52" s="62" t="s">
        <v>38</v>
      </c>
      <c r="D52" s="61" t="s">
        <v>40</v>
      </c>
      <c r="E52" s="63">
        <v>1</v>
      </c>
      <c r="F52" s="64">
        <v>0.02</v>
      </c>
      <c r="G52" s="13">
        <v>7412.92</v>
      </c>
      <c r="H52" s="65">
        <f t="shared" si="6"/>
        <v>0.14825839999999998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61" t="s">
        <v>39</v>
      </c>
      <c r="C53" s="62" t="s">
        <v>97</v>
      </c>
      <c r="D53" s="61" t="s">
        <v>51</v>
      </c>
      <c r="E53" s="63">
        <v>160</v>
      </c>
      <c r="F53" s="64">
        <f>SUM(E53)</f>
        <v>160</v>
      </c>
      <c r="G53" s="13">
        <v>86.15</v>
      </c>
      <c r="H53" s="65">
        <f t="shared" si="6"/>
        <v>13.784000000000001</v>
      </c>
      <c r="I53" s="13">
        <v>0</v>
      </c>
      <c r="J53" s="24"/>
      <c r="L53" s="19"/>
    </row>
    <row r="54" spans="1:22" ht="15.75" customHeight="1">
      <c r="A54" s="221" t="s">
        <v>148</v>
      </c>
      <c r="B54" s="222"/>
      <c r="C54" s="222"/>
      <c r="D54" s="222"/>
      <c r="E54" s="222"/>
      <c r="F54" s="222"/>
      <c r="G54" s="222"/>
      <c r="H54" s="222"/>
      <c r="I54" s="223"/>
    </row>
    <row r="55" spans="1:22" ht="15.75" customHeight="1">
      <c r="A55" s="30"/>
      <c r="B55" s="81" t="s">
        <v>41</v>
      </c>
      <c r="C55" s="62"/>
      <c r="D55" s="61"/>
      <c r="E55" s="63"/>
      <c r="F55" s="64"/>
      <c r="G55" s="64"/>
      <c r="H55" s="65"/>
      <c r="I55" s="13"/>
    </row>
    <row r="56" spans="1:22" ht="31.5" customHeight="1">
      <c r="A56" s="30">
        <v>9</v>
      </c>
      <c r="B56" s="61" t="s">
        <v>114</v>
      </c>
      <c r="C56" s="62" t="s">
        <v>80</v>
      </c>
      <c r="D56" s="61"/>
      <c r="E56" s="63">
        <v>107.21</v>
      </c>
      <c r="F56" s="64">
        <f>SUM(E56*6/100)</f>
        <v>6.4325999999999999</v>
      </c>
      <c r="G56" s="115">
        <v>2218.11</v>
      </c>
      <c r="H56" s="65">
        <f>SUM(F56*G56/1000)</f>
        <v>14.268214386</v>
      </c>
      <c r="I56" s="13">
        <f>G56*0.288</f>
        <v>638.81568000000004</v>
      </c>
    </row>
    <row r="57" spans="1:22" ht="15.75" hidden="1" customHeight="1">
      <c r="A57" s="30">
        <v>13</v>
      </c>
      <c r="B57" s="70" t="s">
        <v>116</v>
      </c>
      <c r="C57" s="71" t="s">
        <v>117</v>
      </c>
      <c r="D57" s="70" t="s">
        <v>40</v>
      </c>
      <c r="E57" s="72">
        <v>4</v>
      </c>
      <c r="F57" s="73">
        <v>0.8</v>
      </c>
      <c r="G57" s="13">
        <v>237.1</v>
      </c>
      <c r="H57" s="65">
        <f t="shared" ref="H57:H58" si="7">SUM(F57*G57/1000)</f>
        <v>0.18968000000000002</v>
      </c>
      <c r="I57" s="13">
        <f>F57/2*G57</f>
        <v>94.84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hidden="1" customHeight="1">
      <c r="A58" s="30">
        <v>12</v>
      </c>
      <c r="B58" s="113" t="s">
        <v>115</v>
      </c>
      <c r="C58" s="114" t="s">
        <v>80</v>
      </c>
      <c r="D58" s="113" t="s">
        <v>180</v>
      </c>
      <c r="E58" s="165">
        <v>3.8</v>
      </c>
      <c r="F58" s="116">
        <f>SUM(E58*6/100)</f>
        <v>0.22799999999999998</v>
      </c>
      <c r="G58" s="35">
        <v>2029.3</v>
      </c>
      <c r="H58" s="65">
        <f t="shared" si="7"/>
        <v>0.46268039999999994</v>
      </c>
      <c r="I58" s="13">
        <f>F58/6*G58</f>
        <v>77.113399999999999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>
        <v>17</v>
      </c>
      <c r="B59" s="61" t="s">
        <v>136</v>
      </c>
      <c r="C59" s="62" t="s">
        <v>137</v>
      </c>
      <c r="D59" s="61" t="s">
        <v>63</v>
      </c>
      <c r="E59" s="63"/>
      <c r="F59" s="64">
        <v>3</v>
      </c>
      <c r="G59" s="13">
        <v>1582.05</v>
      </c>
      <c r="H59" s="65">
        <f>SUM(F59*G59/1000)</f>
        <v>4.7461499999999992</v>
      </c>
      <c r="I59" s="13">
        <f>G59*1.5</f>
        <v>2373.0749999999998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customHeight="1">
      <c r="A60" s="30"/>
      <c r="B60" s="82" t="s">
        <v>42</v>
      </c>
      <c r="C60" s="71"/>
      <c r="D60" s="70"/>
      <c r="E60" s="72"/>
      <c r="F60" s="73"/>
      <c r="G60" s="13"/>
      <c r="H60" s="74"/>
      <c r="I60" s="13"/>
      <c r="J60" s="5"/>
      <c r="K60" s="5"/>
      <c r="L60" s="5"/>
      <c r="M60" s="5"/>
      <c r="N60" s="5"/>
      <c r="O60" s="5"/>
      <c r="P60" s="5"/>
      <c r="Q60" s="5"/>
      <c r="R60" s="217"/>
      <c r="S60" s="217"/>
      <c r="T60" s="217"/>
      <c r="U60" s="217"/>
    </row>
    <row r="61" spans="1:22" ht="15.75" customHeight="1">
      <c r="A61" s="30">
        <v>10</v>
      </c>
      <c r="B61" s="70" t="s">
        <v>138</v>
      </c>
      <c r="C61" s="71" t="s">
        <v>50</v>
      </c>
      <c r="D61" s="70" t="s">
        <v>224</v>
      </c>
      <c r="E61" s="72">
        <v>660.45</v>
      </c>
      <c r="F61" s="73">
        <f>E61/100</f>
        <v>6.6045000000000007</v>
      </c>
      <c r="G61" s="115">
        <v>1137.68</v>
      </c>
      <c r="H61" s="74">
        <f>F61*G61/1000</f>
        <v>7.5138075600000009</v>
      </c>
      <c r="I61" s="13">
        <f>G61*F61</f>
        <v>7513.8075600000011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5.75" customHeight="1">
      <c r="A62" s="30">
        <v>11</v>
      </c>
      <c r="B62" s="70" t="s">
        <v>108</v>
      </c>
      <c r="C62" s="71" t="s">
        <v>25</v>
      </c>
      <c r="D62" s="70" t="s">
        <v>173</v>
      </c>
      <c r="E62" s="72">
        <v>200</v>
      </c>
      <c r="F62" s="175">
        <v>2400</v>
      </c>
      <c r="G62" s="56">
        <v>1.4</v>
      </c>
      <c r="H62" s="73">
        <f>F62*G62/1000</f>
        <v>3.36</v>
      </c>
      <c r="I62" s="13">
        <f>F62/12*G62</f>
        <v>280</v>
      </c>
    </row>
    <row r="63" spans="1:22" ht="21" customHeight="1">
      <c r="A63" s="30"/>
      <c r="B63" s="82" t="s">
        <v>43</v>
      </c>
      <c r="C63" s="71"/>
      <c r="D63" s="70"/>
      <c r="E63" s="72"/>
      <c r="F63" s="75"/>
      <c r="G63" s="75"/>
      <c r="H63" s="73" t="s">
        <v>118</v>
      </c>
      <c r="I63" s="13"/>
    </row>
    <row r="64" spans="1:22" ht="17.25" customHeight="1">
      <c r="A64" s="30">
        <v>12</v>
      </c>
      <c r="B64" s="180" t="s">
        <v>44</v>
      </c>
      <c r="C64" s="168" t="s">
        <v>97</v>
      </c>
      <c r="D64" s="36" t="s">
        <v>173</v>
      </c>
      <c r="E64" s="17"/>
      <c r="F64" s="35">
        <v>11</v>
      </c>
      <c r="G64" s="115">
        <v>318.82</v>
      </c>
      <c r="H64" s="76">
        <f t="shared" ref="H64:H82" si="8">SUM(F64*G64/1000)</f>
        <v>3.5070199999999998</v>
      </c>
      <c r="I64" s="13">
        <f>G64</f>
        <v>318.82</v>
      </c>
    </row>
    <row r="65" spans="1:9" ht="21.75" hidden="1" customHeight="1">
      <c r="A65" s="30"/>
      <c r="B65" s="14" t="s">
        <v>45</v>
      </c>
      <c r="C65" s="16" t="s">
        <v>97</v>
      </c>
      <c r="D65" s="14" t="s">
        <v>63</v>
      </c>
      <c r="E65" s="18">
        <v>9</v>
      </c>
      <c r="F65" s="64">
        <f>SUM(E65)</f>
        <v>9</v>
      </c>
      <c r="G65" s="13">
        <v>100.01</v>
      </c>
      <c r="H65" s="76">
        <f t="shared" si="8"/>
        <v>0.90009000000000006</v>
      </c>
      <c r="I65" s="13">
        <v>0</v>
      </c>
    </row>
    <row r="66" spans="1:9" ht="19.5" hidden="1" customHeight="1">
      <c r="A66" s="30"/>
      <c r="B66" s="14" t="s">
        <v>46</v>
      </c>
      <c r="C66" s="16" t="s">
        <v>99</v>
      </c>
      <c r="D66" s="14" t="s">
        <v>51</v>
      </c>
      <c r="E66" s="63">
        <v>19836</v>
      </c>
      <c r="F66" s="13">
        <f>SUM(E66/100)</f>
        <v>198.36</v>
      </c>
      <c r="G66" s="13">
        <v>278.24</v>
      </c>
      <c r="H66" s="76">
        <f t="shared" si="8"/>
        <v>55.191686400000009</v>
      </c>
      <c r="I66" s="13">
        <f>F66*G66</f>
        <v>55191.686400000006</v>
      </c>
    </row>
    <row r="67" spans="1:9" ht="23.25" hidden="1" customHeight="1">
      <c r="A67" s="30"/>
      <c r="B67" s="14" t="s">
        <v>47</v>
      </c>
      <c r="C67" s="16" t="s">
        <v>100</v>
      </c>
      <c r="D67" s="14"/>
      <c r="E67" s="63">
        <v>19836</v>
      </c>
      <c r="F67" s="13">
        <f>SUM(E67/1000)</f>
        <v>19.835999999999999</v>
      </c>
      <c r="G67" s="13">
        <v>216.68</v>
      </c>
      <c r="H67" s="76">
        <f t="shared" si="8"/>
        <v>4.2980644799999999</v>
      </c>
      <c r="I67" s="13">
        <f t="shared" ref="I67:I71" si="9">F67*G67</f>
        <v>4298.06448</v>
      </c>
    </row>
    <row r="68" spans="1:9" ht="20.25" hidden="1" customHeight="1">
      <c r="A68" s="30"/>
      <c r="B68" s="14" t="s">
        <v>48</v>
      </c>
      <c r="C68" s="16" t="s">
        <v>71</v>
      </c>
      <c r="D68" s="14" t="s">
        <v>51</v>
      </c>
      <c r="E68" s="63">
        <v>3155</v>
      </c>
      <c r="F68" s="13">
        <f>SUM(E68/100)</f>
        <v>31.55</v>
      </c>
      <c r="G68" s="13">
        <v>2720.94</v>
      </c>
      <c r="H68" s="76">
        <f t="shared" si="8"/>
        <v>85.845657000000003</v>
      </c>
      <c r="I68" s="13">
        <f t="shared" si="9"/>
        <v>85845.657000000007</v>
      </c>
    </row>
    <row r="69" spans="1:9" ht="18.75" hidden="1" customHeight="1">
      <c r="A69" s="30"/>
      <c r="B69" s="77" t="s">
        <v>101</v>
      </c>
      <c r="C69" s="16" t="s">
        <v>32</v>
      </c>
      <c r="D69" s="14"/>
      <c r="E69" s="63">
        <v>34.5</v>
      </c>
      <c r="F69" s="13">
        <f>SUM(E69)</f>
        <v>34.5</v>
      </c>
      <c r="G69" s="13">
        <v>44.31</v>
      </c>
      <c r="H69" s="76">
        <f t="shared" si="8"/>
        <v>1.5286950000000001</v>
      </c>
      <c r="I69" s="13">
        <f t="shared" si="9"/>
        <v>1528.6950000000002</v>
      </c>
    </row>
    <row r="70" spans="1:9" ht="18" hidden="1" customHeight="1">
      <c r="A70" s="30"/>
      <c r="B70" s="77" t="s">
        <v>102</v>
      </c>
      <c r="C70" s="16" t="s">
        <v>32</v>
      </c>
      <c r="D70" s="14"/>
      <c r="E70" s="63">
        <v>34.5</v>
      </c>
      <c r="F70" s="13">
        <f t="shared" ref="F70:F71" si="10">SUM(E70)</f>
        <v>34.5</v>
      </c>
      <c r="G70" s="13">
        <v>47.79</v>
      </c>
      <c r="H70" s="76">
        <f t="shared" si="8"/>
        <v>1.648755</v>
      </c>
      <c r="I70" s="13">
        <f t="shared" si="9"/>
        <v>1648.7549999999999</v>
      </c>
    </row>
    <row r="71" spans="1:9" ht="18.75" hidden="1" customHeight="1">
      <c r="A71" s="30"/>
      <c r="B71" s="14" t="s">
        <v>54</v>
      </c>
      <c r="C71" s="16" t="s">
        <v>55</v>
      </c>
      <c r="D71" s="14" t="s">
        <v>51</v>
      </c>
      <c r="E71" s="18">
        <v>5</v>
      </c>
      <c r="F71" s="13">
        <f t="shared" si="10"/>
        <v>5</v>
      </c>
      <c r="G71" s="13">
        <v>53.32</v>
      </c>
      <c r="H71" s="76">
        <f t="shared" si="8"/>
        <v>0.2666</v>
      </c>
      <c r="I71" s="13">
        <f t="shared" si="9"/>
        <v>266.60000000000002</v>
      </c>
    </row>
    <row r="72" spans="1:9" ht="15.75" customHeight="1">
      <c r="A72" s="30"/>
      <c r="B72" s="95" t="s">
        <v>139</v>
      </c>
      <c r="C72" s="49"/>
      <c r="D72" s="14"/>
      <c r="E72" s="18"/>
      <c r="F72" s="13"/>
      <c r="G72" s="13"/>
      <c r="H72" s="76"/>
      <c r="I72" s="13"/>
    </row>
    <row r="73" spans="1:9" ht="15.75" customHeight="1">
      <c r="A73" s="30">
        <v>13</v>
      </c>
      <c r="B73" s="36" t="s">
        <v>140</v>
      </c>
      <c r="C73" s="176" t="s">
        <v>141</v>
      </c>
      <c r="D73" s="36"/>
      <c r="E73" s="188">
        <v>4731.7</v>
      </c>
      <c r="F73" s="115">
        <f>SUM(E73*12)</f>
        <v>56780.399999999994</v>
      </c>
      <c r="G73" s="115">
        <v>2.4900000000000002</v>
      </c>
      <c r="H73" s="76">
        <f t="shared" ref="H73" si="11">SUM(F73*G73/1000)</f>
        <v>141.383196</v>
      </c>
      <c r="I73" s="13">
        <f>F73/12*G73</f>
        <v>11781.933000000001</v>
      </c>
    </row>
    <row r="74" spans="1:9" ht="15.75" customHeight="1">
      <c r="A74" s="30"/>
      <c r="B74" s="179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0" customHeight="1">
      <c r="A75" s="30">
        <v>14</v>
      </c>
      <c r="B75" s="36" t="s">
        <v>142</v>
      </c>
      <c r="C75" s="168" t="s">
        <v>97</v>
      </c>
      <c r="D75" s="36" t="s">
        <v>225</v>
      </c>
      <c r="E75" s="17">
        <v>1</v>
      </c>
      <c r="F75" s="35">
        <v>1</v>
      </c>
      <c r="G75" s="115">
        <v>2151.87</v>
      </c>
      <c r="H75" s="76">
        <f t="shared" ref="H75:H78" si="12">SUM(F75*G75/1000)</f>
        <v>2.1518699999999997</v>
      </c>
      <c r="I75" s="13">
        <f>G75*1</f>
        <v>2151.87</v>
      </c>
    </row>
    <row r="76" spans="1:9" ht="22.5" hidden="1" customHeight="1">
      <c r="A76" s="30">
        <v>19</v>
      </c>
      <c r="B76" s="47" t="s">
        <v>143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t="18" hidden="1" customHeight="1">
      <c r="A77" s="30">
        <v>22</v>
      </c>
      <c r="B77" s="14" t="s">
        <v>68</v>
      </c>
      <c r="C77" s="16" t="s">
        <v>69</v>
      </c>
      <c r="D77" s="14" t="s">
        <v>63</v>
      </c>
      <c r="E77" s="18">
        <v>8</v>
      </c>
      <c r="F77" s="13">
        <f>E77/10</f>
        <v>0.8</v>
      </c>
      <c r="G77" s="13">
        <v>657.87</v>
      </c>
      <c r="H77" s="76">
        <f t="shared" si="12"/>
        <v>0.5262960000000001</v>
      </c>
      <c r="I77" s="13">
        <f>G77*0.3</f>
        <v>197.36099999999999</v>
      </c>
    </row>
    <row r="78" spans="1:9" ht="21.75" hidden="1" customHeight="1">
      <c r="A78" s="30"/>
      <c r="B78" s="14" t="s">
        <v>144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2"/>
        <v>1.1187199999999999</v>
      </c>
      <c r="I78" s="13">
        <v>0</v>
      </c>
    </row>
    <row r="79" spans="1:9" ht="19.5" hidden="1" customHeight="1">
      <c r="A79" s="30"/>
      <c r="B79" s="47" t="s">
        <v>145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 ht="15.75" customHeight="1">
      <c r="A80" s="30">
        <v>15</v>
      </c>
      <c r="B80" s="105" t="s">
        <v>146</v>
      </c>
      <c r="C80" s="106" t="s">
        <v>97</v>
      </c>
      <c r="D80" s="36" t="s">
        <v>173</v>
      </c>
      <c r="E80" s="177">
        <v>2</v>
      </c>
      <c r="F80" s="175">
        <f>E80*12</f>
        <v>24</v>
      </c>
      <c r="G80" s="182">
        <v>404</v>
      </c>
      <c r="H80" s="76">
        <f t="shared" ref="H80" si="13">SUM(F80*G80/1000)</f>
        <v>9.6959999999999997</v>
      </c>
      <c r="I80" s="13">
        <f>F80/12*G80</f>
        <v>808</v>
      </c>
    </row>
    <row r="81" spans="1:9" ht="15.75" hidden="1" customHeight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t="15.75" hidden="1" customHeight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8"/>
        <v>1.0857270000000001</v>
      </c>
      <c r="I82" s="13">
        <v>0</v>
      </c>
    </row>
    <row r="83" spans="1:9" ht="16.5" hidden="1" customHeight="1">
      <c r="A83" s="30"/>
      <c r="B83" s="96" t="s">
        <v>86</v>
      </c>
      <c r="C83" s="79"/>
      <c r="D83" s="32"/>
      <c r="E83" s="33"/>
      <c r="F83" s="67"/>
      <c r="G83" s="67"/>
      <c r="H83" s="80">
        <f>SUM(H56:H82)</f>
        <v>343.57688922600005</v>
      </c>
      <c r="I83" s="67"/>
    </row>
    <row r="84" spans="1:9" ht="15.75" hidden="1" customHeight="1">
      <c r="A84" s="30">
        <v>18</v>
      </c>
      <c r="B84" s="61" t="s">
        <v>103</v>
      </c>
      <c r="C84" s="16"/>
      <c r="D84" s="14"/>
      <c r="E84" s="57"/>
      <c r="F84" s="13">
        <v>1</v>
      </c>
      <c r="G84" s="13">
        <v>214</v>
      </c>
      <c r="H84" s="76">
        <f>G84*F84/1000</f>
        <v>0.214</v>
      </c>
      <c r="I84" s="13">
        <f>G84*1</f>
        <v>214</v>
      </c>
    </row>
    <row r="85" spans="1:9" ht="15.75" customHeight="1">
      <c r="A85" s="230" t="s">
        <v>149</v>
      </c>
      <c r="B85" s="231"/>
      <c r="C85" s="231"/>
      <c r="D85" s="231"/>
      <c r="E85" s="231"/>
      <c r="F85" s="231"/>
      <c r="G85" s="231"/>
      <c r="H85" s="231"/>
      <c r="I85" s="232"/>
    </row>
    <row r="86" spans="1:9" ht="15.75" customHeight="1">
      <c r="A86" s="30">
        <v>16</v>
      </c>
      <c r="B86" s="113" t="s">
        <v>104</v>
      </c>
      <c r="C86" s="168" t="s">
        <v>52</v>
      </c>
      <c r="D86" s="169"/>
      <c r="E86" s="115">
        <v>4731.7</v>
      </c>
      <c r="F86" s="115">
        <f>SUM(E86*12)</f>
        <v>56780.399999999994</v>
      </c>
      <c r="G86" s="191">
        <v>3.38</v>
      </c>
      <c r="H86" s="76">
        <f>SUM(F86*G86/1000)</f>
        <v>191.91775199999998</v>
      </c>
      <c r="I86" s="13">
        <f>F86/12*G86</f>
        <v>15993.145999999999</v>
      </c>
    </row>
    <row r="87" spans="1:9" ht="31.5" customHeight="1">
      <c r="A87" s="30">
        <v>17</v>
      </c>
      <c r="B87" s="36" t="s">
        <v>72</v>
      </c>
      <c r="C87" s="168"/>
      <c r="D87" s="48"/>
      <c r="E87" s="163">
        <f>E86</f>
        <v>4731.7</v>
      </c>
      <c r="F87" s="115">
        <f>E87*12</f>
        <v>56780.399999999994</v>
      </c>
      <c r="G87" s="115">
        <v>3.05</v>
      </c>
      <c r="H87" s="76">
        <f>F87*G87/1000</f>
        <v>173.18021999999996</v>
      </c>
      <c r="I87" s="13">
        <f>F87/12*G87</f>
        <v>14431.684999999999</v>
      </c>
    </row>
    <row r="88" spans="1:9" ht="15.75" customHeight="1">
      <c r="A88" s="30"/>
      <c r="B88" s="37" t="s">
        <v>74</v>
      </c>
      <c r="C88" s="79"/>
      <c r="D88" s="78"/>
      <c r="E88" s="67"/>
      <c r="F88" s="67"/>
      <c r="G88" s="67"/>
      <c r="H88" s="80">
        <f>H87</f>
        <v>173.18021999999996</v>
      </c>
      <c r="I88" s="67">
        <f>I87+I86+I80+I75+I73+I64+I62+I61+I43+I40+I39+I38+I37+I18+I17+I16+I56</f>
        <v>83568.401962500007</v>
      </c>
    </row>
    <row r="89" spans="1:9" ht="15.75" customHeight="1">
      <c r="A89" s="227" t="s">
        <v>57</v>
      </c>
      <c r="B89" s="228"/>
      <c r="C89" s="228"/>
      <c r="D89" s="228"/>
      <c r="E89" s="228"/>
      <c r="F89" s="228"/>
      <c r="G89" s="228"/>
      <c r="H89" s="228"/>
      <c r="I89" s="229"/>
    </row>
    <row r="90" spans="1:9" ht="28.5" customHeight="1">
      <c r="A90" s="30">
        <v>18</v>
      </c>
      <c r="B90" s="105" t="s">
        <v>151</v>
      </c>
      <c r="C90" s="106" t="s">
        <v>152</v>
      </c>
      <c r="D90" s="192" t="s">
        <v>234</v>
      </c>
      <c r="E90" s="167"/>
      <c r="F90" s="167">
        <v>4</v>
      </c>
      <c r="G90" s="167">
        <v>697.33</v>
      </c>
      <c r="H90" s="76"/>
      <c r="I90" s="13">
        <f>G90*1</f>
        <v>697.33</v>
      </c>
    </row>
    <row r="91" spans="1:9" ht="28.5" customHeight="1">
      <c r="A91" s="30">
        <v>19</v>
      </c>
      <c r="B91" s="105" t="s">
        <v>183</v>
      </c>
      <c r="C91" s="106" t="s">
        <v>152</v>
      </c>
      <c r="D91" s="193" t="s">
        <v>233</v>
      </c>
      <c r="E91" s="167"/>
      <c r="F91" s="167">
        <v>2</v>
      </c>
      <c r="G91" s="167">
        <v>614.47</v>
      </c>
      <c r="H91" s="76"/>
      <c r="I91" s="13">
        <f>G91*2</f>
        <v>1228.94</v>
      </c>
    </row>
    <row r="92" spans="1:9" ht="28.5" customHeight="1">
      <c r="A92" s="30">
        <v>20</v>
      </c>
      <c r="B92" s="105" t="s">
        <v>226</v>
      </c>
      <c r="C92" s="106" t="s">
        <v>120</v>
      </c>
      <c r="D92" s="193" t="s">
        <v>231</v>
      </c>
      <c r="E92" s="167"/>
      <c r="F92" s="167">
        <v>6</v>
      </c>
      <c r="G92" s="167">
        <v>1504.51</v>
      </c>
      <c r="H92" s="76"/>
      <c r="I92" s="13">
        <f>G92*6</f>
        <v>9027.06</v>
      </c>
    </row>
    <row r="93" spans="1:9" ht="28.5" customHeight="1">
      <c r="A93" s="30">
        <v>21</v>
      </c>
      <c r="B93" s="105" t="s">
        <v>227</v>
      </c>
      <c r="C93" s="106" t="s">
        <v>228</v>
      </c>
      <c r="D93" s="192" t="s">
        <v>232</v>
      </c>
      <c r="E93" s="167"/>
      <c r="F93" s="167">
        <v>0.25</v>
      </c>
      <c r="G93" s="167">
        <v>8968.52</v>
      </c>
      <c r="H93" s="76"/>
      <c r="I93" s="13">
        <f>G93*0.25</f>
        <v>2242.13</v>
      </c>
    </row>
    <row r="94" spans="1:9" ht="18" customHeight="1">
      <c r="A94" s="30">
        <v>22</v>
      </c>
      <c r="B94" s="97" t="s">
        <v>229</v>
      </c>
      <c r="C94" s="83" t="s">
        <v>97</v>
      </c>
      <c r="D94" s="192" t="s">
        <v>230</v>
      </c>
      <c r="E94" s="167"/>
      <c r="F94" s="167">
        <v>1</v>
      </c>
      <c r="G94" s="167">
        <v>368.33</v>
      </c>
      <c r="H94" s="76"/>
      <c r="I94" s="13">
        <f>G94*1</f>
        <v>368.33</v>
      </c>
    </row>
    <row r="95" spans="1:9" ht="15.75" customHeight="1">
      <c r="A95" s="30"/>
      <c r="B95" s="42" t="s">
        <v>49</v>
      </c>
      <c r="C95" s="38"/>
      <c r="D95" s="45"/>
      <c r="E95" s="38">
        <v>1</v>
      </c>
      <c r="F95" s="38"/>
      <c r="G95" s="38"/>
      <c r="H95" s="38"/>
      <c r="I95" s="33">
        <f>SUM(I90:I94)</f>
        <v>13563.789999999999</v>
      </c>
    </row>
    <row r="96" spans="1:9" ht="15.75" customHeight="1">
      <c r="A96" s="30"/>
      <c r="B96" s="44" t="s">
        <v>73</v>
      </c>
      <c r="C96" s="15"/>
      <c r="D96" s="15"/>
      <c r="E96" s="39"/>
      <c r="F96" s="39"/>
      <c r="G96" s="40"/>
      <c r="H96" s="40"/>
      <c r="I96" s="17">
        <v>0</v>
      </c>
    </row>
    <row r="97" spans="1:9" ht="15.75" customHeight="1">
      <c r="A97" s="46"/>
      <c r="B97" s="43" t="s">
        <v>131</v>
      </c>
      <c r="C97" s="34"/>
      <c r="D97" s="34"/>
      <c r="E97" s="34"/>
      <c r="F97" s="34"/>
      <c r="G97" s="34"/>
      <c r="H97" s="34"/>
      <c r="I97" s="41">
        <f>I88+I95</f>
        <v>97132.191962500001</v>
      </c>
    </row>
    <row r="98" spans="1:9" ht="15.75" customHeight="1">
      <c r="A98" s="224" t="s">
        <v>235</v>
      </c>
      <c r="B98" s="224"/>
      <c r="C98" s="224"/>
      <c r="D98" s="224"/>
      <c r="E98" s="224"/>
      <c r="F98" s="224"/>
      <c r="G98" s="224"/>
      <c r="H98" s="224"/>
      <c r="I98" s="224"/>
    </row>
    <row r="99" spans="1:9" ht="15.75" customHeight="1">
      <c r="A99" s="55"/>
      <c r="B99" s="225" t="s">
        <v>236</v>
      </c>
      <c r="C99" s="225"/>
      <c r="D99" s="225"/>
      <c r="E99" s="225"/>
      <c r="F99" s="225"/>
      <c r="G99" s="225"/>
      <c r="H99" s="60"/>
      <c r="I99" s="3"/>
    </row>
    <row r="100" spans="1:9" ht="15.75" customHeight="1">
      <c r="A100" s="90"/>
      <c r="B100" s="215" t="s">
        <v>6</v>
      </c>
      <c r="C100" s="215"/>
      <c r="D100" s="215"/>
      <c r="E100" s="215"/>
      <c r="F100" s="215"/>
      <c r="G100" s="215"/>
      <c r="H100" s="25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226" t="s">
        <v>7</v>
      </c>
      <c r="B102" s="226"/>
      <c r="C102" s="226"/>
      <c r="D102" s="226"/>
      <c r="E102" s="226"/>
      <c r="F102" s="226"/>
      <c r="G102" s="226"/>
      <c r="H102" s="226"/>
      <c r="I102" s="226"/>
    </row>
    <row r="103" spans="1:9" ht="15.75" customHeight="1">
      <c r="A103" s="226" t="s">
        <v>8</v>
      </c>
      <c r="B103" s="226"/>
      <c r="C103" s="226"/>
      <c r="D103" s="226"/>
      <c r="E103" s="226"/>
      <c r="F103" s="226"/>
      <c r="G103" s="226"/>
      <c r="H103" s="226"/>
      <c r="I103" s="226"/>
    </row>
    <row r="104" spans="1:9" ht="23.25" customHeight="1">
      <c r="A104" s="219" t="s">
        <v>58</v>
      </c>
      <c r="B104" s="219"/>
      <c r="C104" s="219"/>
      <c r="D104" s="219"/>
      <c r="E104" s="219"/>
      <c r="F104" s="219"/>
      <c r="G104" s="219"/>
      <c r="H104" s="219"/>
      <c r="I104" s="219"/>
    </row>
    <row r="105" spans="1:9" ht="15.75">
      <c r="A105" s="11"/>
    </row>
    <row r="106" spans="1:9" ht="15.75">
      <c r="A106" s="213" t="s">
        <v>9</v>
      </c>
      <c r="B106" s="213"/>
      <c r="C106" s="213"/>
      <c r="D106" s="213"/>
      <c r="E106" s="213"/>
      <c r="F106" s="213"/>
      <c r="G106" s="213"/>
      <c r="H106" s="213"/>
      <c r="I106" s="213"/>
    </row>
    <row r="107" spans="1:9" ht="15.75" customHeight="1">
      <c r="A107" s="4"/>
    </row>
    <row r="108" spans="1:9" ht="15.75" customHeight="1">
      <c r="B108" s="92" t="s">
        <v>10</v>
      </c>
      <c r="C108" s="214" t="s">
        <v>201</v>
      </c>
      <c r="D108" s="214"/>
      <c r="E108" s="214"/>
      <c r="F108" s="58"/>
      <c r="I108" s="94"/>
    </row>
    <row r="109" spans="1:9" ht="15.75" customHeight="1">
      <c r="A109" s="90"/>
      <c r="C109" s="215" t="s">
        <v>11</v>
      </c>
      <c r="D109" s="215"/>
      <c r="E109" s="215"/>
      <c r="F109" s="25"/>
      <c r="I109" s="93" t="s">
        <v>12</v>
      </c>
    </row>
    <row r="110" spans="1:9" ht="15.75" customHeight="1">
      <c r="A110" s="26"/>
      <c r="C110" s="12"/>
      <c r="D110" s="12"/>
      <c r="G110" s="12"/>
      <c r="H110" s="12"/>
    </row>
    <row r="111" spans="1:9" ht="15.75" customHeight="1">
      <c r="B111" s="92" t="s">
        <v>13</v>
      </c>
      <c r="C111" s="216"/>
      <c r="D111" s="216"/>
      <c r="E111" s="216"/>
      <c r="F111" s="59"/>
      <c r="I111" s="94"/>
    </row>
    <row r="112" spans="1:9">
      <c r="A112" s="90"/>
      <c r="C112" s="217" t="s">
        <v>11</v>
      </c>
      <c r="D112" s="217"/>
      <c r="E112" s="217"/>
      <c r="F112" s="90"/>
      <c r="I112" s="93" t="s">
        <v>12</v>
      </c>
    </row>
    <row r="113" spans="1:9" ht="15.75">
      <c r="A113" s="4" t="s">
        <v>14</v>
      </c>
    </row>
    <row r="114" spans="1:9" ht="15.75" customHeight="1">
      <c r="A114" s="218" t="s">
        <v>15</v>
      </c>
      <c r="B114" s="218"/>
      <c r="C114" s="218"/>
      <c r="D114" s="218"/>
      <c r="E114" s="218"/>
      <c r="F114" s="218"/>
      <c r="G114" s="218"/>
      <c r="H114" s="218"/>
      <c r="I114" s="218"/>
    </row>
    <row r="115" spans="1:9" ht="45" customHeight="1">
      <c r="A115" s="212" t="s">
        <v>16</v>
      </c>
      <c r="B115" s="212"/>
      <c r="C115" s="212"/>
      <c r="D115" s="212"/>
      <c r="E115" s="212"/>
      <c r="F115" s="212"/>
      <c r="G115" s="212"/>
      <c r="H115" s="212"/>
      <c r="I115" s="212"/>
    </row>
    <row r="116" spans="1:9" ht="30" customHeight="1">
      <c r="A116" s="212" t="s">
        <v>17</v>
      </c>
      <c r="B116" s="212"/>
      <c r="C116" s="212"/>
      <c r="D116" s="212"/>
      <c r="E116" s="212"/>
      <c r="F116" s="212"/>
      <c r="G116" s="212"/>
      <c r="H116" s="212"/>
      <c r="I116" s="212"/>
    </row>
    <row r="117" spans="1:9" ht="30" customHeight="1">
      <c r="A117" s="212" t="s">
        <v>21</v>
      </c>
      <c r="B117" s="212"/>
      <c r="C117" s="212"/>
      <c r="D117" s="212"/>
      <c r="E117" s="212"/>
      <c r="F117" s="212"/>
      <c r="G117" s="212"/>
      <c r="H117" s="212"/>
      <c r="I117" s="212"/>
    </row>
    <row r="118" spans="1:9" ht="15" customHeight="1">
      <c r="A118" s="212" t="s">
        <v>20</v>
      </c>
      <c r="B118" s="212"/>
      <c r="C118" s="212"/>
      <c r="D118" s="212"/>
      <c r="E118" s="212"/>
      <c r="F118" s="212"/>
      <c r="G118" s="212"/>
      <c r="H118" s="212"/>
      <c r="I118" s="212"/>
    </row>
  </sheetData>
  <autoFilter ref="I12:I55"/>
  <mergeCells count="29">
    <mergeCell ref="A114:I114"/>
    <mergeCell ref="A115:I115"/>
    <mergeCell ref="A116:I116"/>
    <mergeCell ref="A117:I117"/>
    <mergeCell ref="A118:I118"/>
    <mergeCell ref="R60:U60"/>
    <mergeCell ref="C112:E112"/>
    <mergeCell ref="A89:I89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5:I85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" top="0.27559055118110237" bottom="0.27559055118110237" header="0.31496062992125984" footer="0.31496062992125984"/>
  <pageSetup paperSize="9" scale="59" orientation="portrait" r:id="rId1"/>
  <rowBreaks count="1" manualBreakCount="1">
    <brk id="112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1"/>
  <sheetViews>
    <sheetView view="pageBreakPreview" topLeftCell="A84" zoomScale="60" zoomScaleNormal="100" workbookViewId="0">
      <selection activeCell="L100" sqref="L100"/>
    </sheetView>
  </sheetViews>
  <sheetFormatPr defaultRowHeight="15"/>
  <cols>
    <col min="2" max="2" width="51.42578125" customWidth="1"/>
    <col min="3" max="3" width="18.28515625" customWidth="1"/>
    <col min="4" max="4" width="20.5703125" customWidth="1"/>
    <col min="5" max="5" width="10.140625" hidden="1" customWidth="1"/>
    <col min="6" max="6" width="6.28515625" hidden="1" customWidth="1"/>
    <col min="7" max="7" width="18.140625" customWidth="1"/>
    <col min="8" max="8" width="0" hidden="1" customWidth="1"/>
    <col min="9" max="9" width="18.140625" customWidth="1"/>
  </cols>
  <sheetData>
    <row r="1" spans="1:9" ht="15.75">
      <c r="A1" s="28" t="s">
        <v>158</v>
      </c>
      <c r="I1" s="27"/>
    </row>
    <row r="2" spans="1:9" ht="15.75">
      <c r="A2" s="29" t="s">
        <v>59</v>
      </c>
    </row>
    <row r="3" spans="1:9" ht="15.75">
      <c r="A3" s="233" t="s">
        <v>153</v>
      </c>
      <c r="B3" s="233"/>
      <c r="C3" s="233"/>
      <c r="D3" s="233"/>
      <c r="E3" s="233"/>
      <c r="F3" s="233"/>
      <c r="G3" s="233"/>
      <c r="H3" s="233"/>
      <c r="I3" s="233"/>
    </row>
    <row r="4" spans="1:9" ht="32.25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237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02"/>
      <c r="C6" s="102"/>
      <c r="D6" s="102"/>
      <c r="E6" s="102"/>
      <c r="F6" s="102"/>
      <c r="G6" s="102"/>
      <c r="H6" s="102"/>
      <c r="I6" s="31">
        <v>44316</v>
      </c>
    </row>
    <row r="7" spans="1:9" ht="15.75">
      <c r="B7" s="101"/>
      <c r="C7" s="101"/>
      <c r="D7" s="101"/>
      <c r="E7" s="3"/>
      <c r="F7" s="3"/>
      <c r="G7" s="3"/>
      <c r="H7" s="3"/>
    </row>
    <row r="8" spans="1:9" ht="84" customHeight="1">
      <c r="A8" s="236" t="s">
        <v>203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50.25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65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</row>
    <row r="16" spans="1:9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5" customHeight="1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/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idden="1">
      <c r="A20" s="30">
        <v>4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</row>
    <row r="21" spans="1:9" hidden="1">
      <c r="A21" s="30">
        <v>5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/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/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/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idden="1">
      <c r="A25" s="30"/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8" hidden="1" customHeight="1">
      <c r="A26" s="30">
        <v>4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20" t="s">
        <v>78</v>
      </c>
      <c r="B27" s="220"/>
      <c r="C27" s="220"/>
      <c r="D27" s="220"/>
      <c r="E27" s="220"/>
      <c r="F27" s="220"/>
      <c r="G27" s="220"/>
      <c r="H27" s="220"/>
      <c r="I27" s="220"/>
    </row>
    <row r="28" spans="1:9" hidden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idden="1">
      <c r="A29" s="30"/>
      <c r="B29" s="61" t="s">
        <v>96</v>
      </c>
      <c r="C29" s="62" t="s">
        <v>82</v>
      </c>
      <c r="D29" s="61" t="s">
        <v>129</v>
      </c>
      <c r="E29" s="64">
        <v>436.6</v>
      </c>
      <c r="F29" s="64">
        <f>SUM(E29*52/1000)</f>
        <v>22.703200000000002</v>
      </c>
      <c r="G29" s="64">
        <v>204.44</v>
      </c>
      <c r="H29" s="65">
        <f t="shared" ref="H29:H35" si="2">SUM(F29*G29/1000)</f>
        <v>4.641442208</v>
      </c>
      <c r="I29" s="13">
        <f>F29/6*G29</f>
        <v>773.57370133333336</v>
      </c>
    </row>
    <row r="30" spans="1:9" ht="45" hidden="1">
      <c r="A30" s="30"/>
      <c r="B30" s="61" t="s">
        <v>107</v>
      </c>
      <c r="C30" s="62" t="s">
        <v>82</v>
      </c>
      <c r="D30" s="61" t="s">
        <v>130</v>
      </c>
      <c r="E30" s="64">
        <v>54.4</v>
      </c>
      <c r="F30" s="64">
        <f>SUM(E30*78/1000)</f>
        <v>4.2431999999999999</v>
      </c>
      <c r="G30" s="64">
        <v>339.21</v>
      </c>
      <c r="H30" s="65">
        <f t="shared" si="2"/>
        <v>1.4393358719999998</v>
      </c>
      <c r="I30" s="13">
        <f t="shared" ref="I30:I33" si="3">F30/6*G30</f>
        <v>239.88931199999996</v>
      </c>
    </row>
    <row r="31" spans="1:9" hidden="1">
      <c r="A31" s="30"/>
      <c r="B31" s="61" t="s">
        <v>27</v>
      </c>
      <c r="C31" s="62" t="s">
        <v>82</v>
      </c>
      <c r="D31" s="61" t="s">
        <v>51</v>
      </c>
      <c r="E31" s="64">
        <v>436.6</v>
      </c>
      <c r="F31" s="64">
        <f>SUM(E31/1000)</f>
        <v>0.43660000000000004</v>
      </c>
      <c r="G31" s="64">
        <v>3961.23</v>
      </c>
      <c r="H31" s="65">
        <f t="shared" si="2"/>
        <v>1.7294730180000002</v>
      </c>
      <c r="I31" s="13">
        <f>F31*G31</f>
        <v>1729.4730180000001</v>
      </c>
    </row>
    <row r="32" spans="1:9" hidden="1">
      <c r="A32" s="30"/>
      <c r="B32" s="61" t="s">
        <v>119</v>
      </c>
      <c r="C32" s="62" t="s">
        <v>38</v>
      </c>
      <c r="D32" s="61" t="s">
        <v>60</v>
      </c>
      <c r="E32" s="64">
        <v>4</v>
      </c>
      <c r="F32" s="64">
        <f>E32*155/100</f>
        <v>6.2</v>
      </c>
      <c r="G32" s="64">
        <v>1707.63</v>
      </c>
      <c r="H32" s="65">
        <f>G32*F32/1000</f>
        <v>10.587306</v>
      </c>
      <c r="I32" s="13">
        <f t="shared" si="3"/>
        <v>1764.5510000000004</v>
      </c>
    </row>
    <row r="33" spans="1:9" hidden="1">
      <c r="A33" s="30"/>
      <c r="B33" s="61" t="s">
        <v>95</v>
      </c>
      <c r="C33" s="62" t="s">
        <v>30</v>
      </c>
      <c r="D33" s="61" t="s">
        <v>60</v>
      </c>
      <c r="E33" s="68">
        <f>1/3</f>
        <v>0.33333333333333331</v>
      </c>
      <c r="F33" s="64">
        <f>155/3</f>
        <v>51.666666666666664</v>
      </c>
      <c r="G33" s="64">
        <v>74.349999999999994</v>
      </c>
      <c r="H33" s="65">
        <f>SUM(G33*155/3/1000)</f>
        <v>3.8414166666666665</v>
      </c>
      <c r="I33" s="13">
        <f t="shared" si="3"/>
        <v>640.23611111111109</v>
      </c>
    </row>
    <row r="34" spans="1:9" hidden="1">
      <c r="A34" s="30"/>
      <c r="B34" s="61" t="s">
        <v>61</v>
      </c>
      <c r="C34" s="62" t="s">
        <v>32</v>
      </c>
      <c r="D34" s="61" t="s">
        <v>63</v>
      </c>
      <c r="E34" s="63"/>
      <c r="F34" s="64">
        <v>2</v>
      </c>
      <c r="G34" s="64">
        <v>250.92</v>
      </c>
      <c r="H34" s="65">
        <f t="shared" si="2"/>
        <v>0.50183999999999995</v>
      </c>
      <c r="I34" s="13">
        <v>0</v>
      </c>
    </row>
    <row r="35" spans="1:9" hidden="1">
      <c r="A35" s="30"/>
      <c r="B35" s="61" t="s">
        <v>62</v>
      </c>
      <c r="C35" s="62" t="s">
        <v>31</v>
      </c>
      <c r="D35" s="61" t="s">
        <v>63</v>
      </c>
      <c r="E35" s="63"/>
      <c r="F35" s="64">
        <v>1</v>
      </c>
      <c r="G35" s="64">
        <v>1490.31</v>
      </c>
      <c r="H35" s="65">
        <f t="shared" si="2"/>
        <v>1.49031</v>
      </c>
      <c r="I35" s="13">
        <v>0</v>
      </c>
    </row>
    <row r="36" spans="1:9">
      <c r="A36" s="30"/>
      <c r="B36" s="81" t="s">
        <v>5</v>
      </c>
      <c r="C36" s="62"/>
      <c r="D36" s="61"/>
      <c r="E36" s="63"/>
      <c r="F36" s="64"/>
      <c r="G36" s="64"/>
      <c r="H36" s="65" t="s">
        <v>118</v>
      </c>
      <c r="I36" s="13"/>
    </row>
    <row r="37" spans="1:9" ht="16.5" hidden="1" customHeight="1">
      <c r="A37" s="30">
        <v>5</v>
      </c>
      <c r="B37" s="171" t="s">
        <v>26</v>
      </c>
      <c r="C37" s="114" t="s">
        <v>31</v>
      </c>
      <c r="D37" s="113" t="s">
        <v>191</v>
      </c>
      <c r="E37" s="165"/>
      <c r="F37" s="116">
        <v>5</v>
      </c>
      <c r="G37" s="124">
        <v>1855</v>
      </c>
      <c r="H37" s="65">
        <f t="shared" ref="H37:H43" si="4">SUM(F37*G37/1000)</f>
        <v>9.2750000000000004</v>
      </c>
      <c r="I37" s="13">
        <f>G37*0.7</f>
        <v>1298.5</v>
      </c>
    </row>
    <row r="38" spans="1:9">
      <c r="A38" s="30">
        <v>4</v>
      </c>
      <c r="B38" s="171" t="s">
        <v>133</v>
      </c>
      <c r="C38" s="172" t="s">
        <v>29</v>
      </c>
      <c r="D38" s="113" t="s">
        <v>171</v>
      </c>
      <c r="E38" s="163">
        <v>137</v>
      </c>
      <c r="F38" s="154">
        <f>E38*30/1000</f>
        <v>4.1100000000000003</v>
      </c>
      <c r="G38" s="124">
        <v>3014.36</v>
      </c>
      <c r="H38" s="65">
        <f t="shared" si="4"/>
        <v>12.389019600000001</v>
      </c>
      <c r="I38" s="13">
        <f t="shared" ref="I38:I43" si="5">F38/6*G38</f>
        <v>2064.8366000000001</v>
      </c>
    </row>
    <row r="39" spans="1:9">
      <c r="A39" s="30">
        <v>5</v>
      </c>
      <c r="B39" s="113" t="s">
        <v>64</v>
      </c>
      <c r="C39" s="114" t="s">
        <v>29</v>
      </c>
      <c r="D39" s="113" t="s">
        <v>170</v>
      </c>
      <c r="E39" s="124">
        <v>137</v>
      </c>
      <c r="F39" s="154">
        <f>SUM(E39*155/1000)</f>
        <v>21.234999999999999</v>
      </c>
      <c r="G39" s="124">
        <v>502.82</v>
      </c>
      <c r="H39" s="65">
        <f t="shared" si="4"/>
        <v>10.677382700000001</v>
      </c>
      <c r="I39" s="13">
        <f t="shared" si="5"/>
        <v>1779.5637833333333</v>
      </c>
    </row>
    <row r="40" spans="1:9" ht="60">
      <c r="A40" s="30">
        <v>6</v>
      </c>
      <c r="B40" s="113" t="s">
        <v>76</v>
      </c>
      <c r="C40" s="114" t="s">
        <v>82</v>
      </c>
      <c r="D40" s="113" t="s">
        <v>172</v>
      </c>
      <c r="E40" s="124">
        <v>54.4</v>
      </c>
      <c r="F40" s="154">
        <f>SUM(E40*35/1000)</f>
        <v>1.9039999999999999</v>
      </c>
      <c r="G40" s="124">
        <v>8319.2999999999993</v>
      </c>
      <c r="H40" s="65">
        <f t="shared" si="4"/>
        <v>15.839947199999999</v>
      </c>
      <c r="I40" s="13">
        <f t="shared" si="5"/>
        <v>2639.9911999999995</v>
      </c>
    </row>
    <row r="41" spans="1:9" ht="17.25" hidden="1" customHeight="1">
      <c r="A41" s="30">
        <v>9</v>
      </c>
      <c r="B41" s="113" t="s">
        <v>83</v>
      </c>
      <c r="C41" s="114" t="s">
        <v>82</v>
      </c>
      <c r="D41" s="113"/>
      <c r="E41" s="124">
        <v>137</v>
      </c>
      <c r="F41" s="154">
        <f>E41*30/1000</f>
        <v>4.1100000000000003</v>
      </c>
      <c r="G41" s="124">
        <v>614.55999999999995</v>
      </c>
      <c r="H41" s="65">
        <f t="shared" si="4"/>
        <v>2.5258416000000001</v>
      </c>
      <c r="I41" s="13">
        <f>G41*F41/30*2</f>
        <v>168.38944000000001</v>
      </c>
    </row>
    <row r="42" spans="1:9" ht="18" hidden="1" customHeight="1">
      <c r="A42" s="30">
        <v>10</v>
      </c>
      <c r="B42" s="171" t="s">
        <v>66</v>
      </c>
      <c r="C42" s="172" t="s">
        <v>32</v>
      </c>
      <c r="D42" s="171"/>
      <c r="E42" s="184"/>
      <c r="F42" s="154">
        <v>0.9</v>
      </c>
      <c r="G42" s="154">
        <v>900</v>
      </c>
      <c r="H42" s="65">
        <f t="shared" si="4"/>
        <v>0.81</v>
      </c>
      <c r="I42" s="13">
        <f>G42*F42/30*2</f>
        <v>54</v>
      </c>
    </row>
    <row r="43" spans="1:9" ht="30">
      <c r="A43" s="30">
        <v>7</v>
      </c>
      <c r="B43" s="105" t="s">
        <v>134</v>
      </c>
      <c r="C43" s="106" t="s">
        <v>29</v>
      </c>
      <c r="D43" s="171" t="s">
        <v>186</v>
      </c>
      <c r="E43" s="184">
        <v>3</v>
      </c>
      <c r="F43" s="154">
        <f>SUM(E43*12/1000)</f>
        <v>3.5999999999999997E-2</v>
      </c>
      <c r="G43" s="154">
        <v>19757.060000000001</v>
      </c>
      <c r="H43" s="65">
        <f t="shared" si="4"/>
        <v>0.71125415999999997</v>
      </c>
      <c r="I43" s="13">
        <f t="shared" si="5"/>
        <v>118.54235999999999</v>
      </c>
    </row>
    <row r="44" spans="1:9" hidden="1">
      <c r="A44" s="221" t="s">
        <v>121</v>
      </c>
      <c r="B44" s="222"/>
      <c r="C44" s="222"/>
      <c r="D44" s="222"/>
      <c r="E44" s="222"/>
      <c r="F44" s="222"/>
      <c r="G44" s="222"/>
      <c r="H44" s="222"/>
      <c r="I44" s="223"/>
    </row>
    <row r="45" spans="1:9" hidden="1">
      <c r="A45" s="30"/>
      <c r="B45" s="61" t="s">
        <v>113</v>
      </c>
      <c r="C45" s="62" t="s">
        <v>82</v>
      </c>
      <c r="D45" s="61" t="s">
        <v>40</v>
      </c>
      <c r="E45" s="63">
        <v>1320.9</v>
      </c>
      <c r="F45" s="64">
        <f>SUM(E45*2/1000)</f>
        <v>2.6418000000000004</v>
      </c>
      <c r="G45" s="13">
        <v>1114.1300000000001</v>
      </c>
      <c r="H45" s="65">
        <f t="shared" ref="H45:H53" si="6">SUM(F45*G45/1000)</f>
        <v>2.943308634000001</v>
      </c>
      <c r="I45" s="13">
        <v>0</v>
      </c>
    </row>
    <row r="46" spans="1:9" hidden="1">
      <c r="A46" s="30"/>
      <c r="B46" s="61" t="s">
        <v>33</v>
      </c>
      <c r="C46" s="62" t="s">
        <v>82</v>
      </c>
      <c r="D46" s="61" t="s">
        <v>40</v>
      </c>
      <c r="E46" s="63">
        <v>52</v>
      </c>
      <c r="F46" s="64">
        <f>E46*2/1000</f>
        <v>0.104</v>
      </c>
      <c r="G46" s="13">
        <v>4419.05</v>
      </c>
      <c r="H46" s="65">
        <f t="shared" si="6"/>
        <v>0.45958120000000002</v>
      </c>
      <c r="I46" s="13">
        <v>0</v>
      </c>
    </row>
    <row r="47" spans="1:9" hidden="1">
      <c r="A47" s="30"/>
      <c r="B47" s="61" t="s">
        <v>34</v>
      </c>
      <c r="C47" s="62" t="s">
        <v>82</v>
      </c>
      <c r="D47" s="61" t="s">
        <v>40</v>
      </c>
      <c r="E47" s="63">
        <v>1520.8</v>
      </c>
      <c r="F47" s="64">
        <f>SUM(E47*2/1000)</f>
        <v>3.0415999999999999</v>
      </c>
      <c r="G47" s="13">
        <v>1803.69</v>
      </c>
      <c r="H47" s="65">
        <f t="shared" si="6"/>
        <v>5.4861035039999999</v>
      </c>
      <c r="I47" s="13">
        <v>0</v>
      </c>
    </row>
    <row r="48" spans="1:9" hidden="1">
      <c r="A48" s="30"/>
      <c r="B48" s="61" t="s">
        <v>35</v>
      </c>
      <c r="C48" s="62" t="s">
        <v>82</v>
      </c>
      <c r="D48" s="61" t="s">
        <v>40</v>
      </c>
      <c r="E48" s="63">
        <v>3433.81</v>
      </c>
      <c r="F48" s="64">
        <f>SUM(E48*2/1000)</f>
        <v>6.8676199999999996</v>
      </c>
      <c r="G48" s="13">
        <v>1243.43</v>
      </c>
      <c r="H48" s="65">
        <f t="shared" si="6"/>
        <v>8.5394047365999999</v>
      </c>
      <c r="I48" s="13">
        <v>0</v>
      </c>
    </row>
    <row r="49" spans="1:9" hidden="1">
      <c r="A49" s="30">
        <v>13</v>
      </c>
      <c r="B49" s="61" t="s">
        <v>53</v>
      </c>
      <c r="C49" s="62" t="s">
        <v>82</v>
      </c>
      <c r="D49" s="61" t="s">
        <v>125</v>
      </c>
      <c r="E49" s="63">
        <v>4731.7</v>
      </c>
      <c r="F49" s="64">
        <f>SUM(E49*5/1000)</f>
        <v>23.6585</v>
      </c>
      <c r="G49" s="13">
        <v>1803.69</v>
      </c>
      <c r="H49" s="65">
        <f t="shared" si="6"/>
        <v>42.672599865000002</v>
      </c>
      <c r="I49" s="13">
        <f>F49/5*G49</f>
        <v>8534.5199730000004</v>
      </c>
    </row>
    <row r="50" spans="1:9" ht="45" hidden="1">
      <c r="A50" s="30"/>
      <c r="B50" s="61" t="s">
        <v>84</v>
      </c>
      <c r="C50" s="62" t="s">
        <v>82</v>
      </c>
      <c r="D50" s="61" t="s">
        <v>40</v>
      </c>
      <c r="E50" s="63">
        <v>4731.7</v>
      </c>
      <c r="F50" s="64">
        <f>SUM(E50*2/1000)</f>
        <v>9.4634</v>
      </c>
      <c r="G50" s="13">
        <v>1591.6</v>
      </c>
      <c r="H50" s="65">
        <f t="shared" si="6"/>
        <v>15.061947439999999</v>
      </c>
      <c r="I50" s="13">
        <v>0</v>
      </c>
    </row>
    <row r="51" spans="1:9" ht="30" hidden="1">
      <c r="A51" s="30"/>
      <c r="B51" s="61" t="s">
        <v>85</v>
      </c>
      <c r="C51" s="62" t="s">
        <v>36</v>
      </c>
      <c r="D51" s="61" t="s">
        <v>40</v>
      </c>
      <c r="E51" s="63">
        <v>20</v>
      </c>
      <c r="F51" s="64">
        <f>SUM(E51*2/100)</f>
        <v>0.4</v>
      </c>
      <c r="G51" s="13">
        <v>4058.32</v>
      </c>
      <c r="H51" s="65">
        <f>SUM(F51*G51/1000)</f>
        <v>1.6233280000000001</v>
      </c>
      <c r="I51" s="13">
        <v>0</v>
      </c>
    </row>
    <row r="52" spans="1:9" hidden="1">
      <c r="A52" s="30"/>
      <c r="B52" s="61" t="s">
        <v>37</v>
      </c>
      <c r="C52" s="62" t="s">
        <v>38</v>
      </c>
      <c r="D52" s="61" t="s">
        <v>40</v>
      </c>
      <c r="E52" s="63">
        <v>1</v>
      </c>
      <c r="F52" s="64">
        <v>0.02</v>
      </c>
      <c r="G52" s="13">
        <v>7412.92</v>
      </c>
      <c r="H52" s="65">
        <f t="shared" si="6"/>
        <v>0.14825839999999998</v>
      </c>
      <c r="I52" s="13">
        <v>0</v>
      </c>
    </row>
    <row r="53" spans="1:9" hidden="1">
      <c r="A53" s="30">
        <v>13</v>
      </c>
      <c r="B53" s="61" t="s">
        <v>39</v>
      </c>
      <c r="C53" s="62" t="s">
        <v>97</v>
      </c>
      <c r="D53" s="61" t="s">
        <v>51</v>
      </c>
      <c r="E53" s="63">
        <v>160</v>
      </c>
      <c r="F53" s="64">
        <f>SUM(E53)</f>
        <v>160</v>
      </c>
      <c r="G53" s="13">
        <v>86.15</v>
      </c>
      <c r="H53" s="65">
        <f t="shared" si="6"/>
        <v>13.784000000000001</v>
      </c>
      <c r="I53" s="13">
        <f>G53*160</f>
        <v>13784</v>
      </c>
    </row>
    <row r="54" spans="1:9">
      <c r="A54" s="221" t="s">
        <v>148</v>
      </c>
      <c r="B54" s="222"/>
      <c r="C54" s="222"/>
      <c r="D54" s="222"/>
      <c r="E54" s="222"/>
      <c r="F54" s="222"/>
      <c r="G54" s="222"/>
      <c r="H54" s="222"/>
      <c r="I54" s="223"/>
    </row>
    <row r="55" spans="1:9" hidden="1">
      <c r="A55" s="30"/>
      <c r="B55" s="81" t="s">
        <v>41</v>
      </c>
      <c r="C55" s="62"/>
      <c r="D55" s="61"/>
      <c r="E55" s="63"/>
      <c r="F55" s="64"/>
      <c r="G55" s="64"/>
      <c r="H55" s="65"/>
      <c r="I55" s="13"/>
    </row>
    <row r="56" spans="1:9" ht="30" hidden="1">
      <c r="A56" s="30">
        <v>14</v>
      </c>
      <c r="B56" s="61" t="s">
        <v>114</v>
      </c>
      <c r="C56" s="62" t="s">
        <v>80</v>
      </c>
      <c r="D56" s="61" t="s">
        <v>98</v>
      </c>
      <c r="E56" s="63">
        <v>107.21</v>
      </c>
      <c r="F56" s="64">
        <f>SUM(E56*6/100)</f>
        <v>6.4325999999999999</v>
      </c>
      <c r="G56" s="13">
        <v>2029.3</v>
      </c>
      <c r="H56" s="65">
        <f>SUM(F56*G56/1000)</f>
        <v>13.053675180000001</v>
      </c>
      <c r="I56" s="13">
        <f>F56/6*G56</f>
        <v>2175.6125299999999</v>
      </c>
    </row>
    <row r="57" spans="1:9" hidden="1">
      <c r="A57" s="30">
        <v>14</v>
      </c>
      <c r="B57" s="70" t="s">
        <v>116</v>
      </c>
      <c r="C57" s="71" t="s">
        <v>117</v>
      </c>
      <c r="D57" s="70" t="s">
        <v>40</v>
      </c>
      <c r="E57" s="72">
        <v>4</v>
      </c>
      <c r="F57" s="73">
        <v>0.8</v>
      </c>
      <c r="G57" s="13">
        <v>237.1</v>
      </c>
      <c r="H57" s="65">
        <f t="shared" ref="H57" si="7">SUM(F57*G57/1000)</f>
        <v>0.18968000000000002</v>
      </c>
      <c r="I57" s="13">
        <f>F57/2*G57</f>
        <v>94.84</v>
      </c>
    </row>
    <row r="58" spans="1:9" hidden="1">
      <c r="A58" s="30">
        <v>12</v>
      </c>
      <c r="B58" s="113" t="s">
        <v>115</v>
      </c>
      <c r="C58" s="114" t="s">
        <v>80</v>
      </c>
      <c r="D58" s="113" t="s">
        <v>173</v>
      </c>
      <c r="E58" s="165">
        <v>3.8</v>
      </c>
      <c r="F58" s="116">
        <f>SUM(E58*6/100)</f>
        <v>0.22799999999999998</v>
      </c>
      <c r="G58" s="35">
        <v>2029.3</v>
      </c>
      <c r="H58" s="65">
        <f t="shared" ref="H58" si="8">SUM(F58*G58/1000)</f>
        <v>0.46268039999999994</v>
      </c>
      <c r="I58" s="13">
        <f>F58/6*G58</f>
        <v>77.113399999999999</v>
      </c>
    </row>
    <row r="59" spans="1:9" hidden="1">
      <c r="A59" s="30">
        <v>17</v>
      </c>
      <c r="B59" s="61" t="s">
        <v>136</v>
      </c>
      <c r="C59" s="62" t="s">
        <v>137</v>
      </c>
      <c r="D59" s="61" t="s">
        <v>63</v>
      </c>
      <c r="E59" s="63"/>
      <c r="F59" s="64">
        <v>3</v>
      </c>
      <c r="G59" s="13">
        <v>1582.05</v>
      </c>
      <c r="H59" s="65">
        <f>SUM(F59*G59/1000)</f>
        <v>4.7461499999999992</v>
      </c>
      <c r="I59" s="13">
        <f>G59*1.5</f>
        <v>2373.0749999999998</v>
      </c>
    </row>
    <row r="60" spans="1:9">
      <c r="A60" s="30"/>
      <c r="B60" s="82" t="s">
        <v>42</v>
      </c>
      <c r="C60" s="71"/>
      <c r="D60" s="70"/>
      <c r="E60" s="72"/>
      <c r="F60" s="73"/>
      <c r="G60" s="13"/>
      <c r="H60" s="74"/>
      <c r="I60" s="13"/>
    </row>
    <row r="61" spans="1:9" hidden="1">
      <c r="A61" s="30">
        <v>18</v>
      </c>
      <c r="B61" s="70" t="s">
        <v>138</v>
      </c>
      <c r="C61" s="71" t="s">
        <v>50</v>
      </c>
      <c r="D61" s="70" t="s">
        <v>51</v>
      </c>
      <c r="E61" s="72">
        <v>660.45</v>
      </c>
      <c r="F61" s="73">
        <f>E61/100</f>
        <v>6.6045000000000007</v>
      </c>
      <c r="G61" s="13">
        <v>1040.8399999999999</v>
      </c>
      <c r="H61" s="74">
        <f>F61*G61/1000</f>
        <v>6.87422778</v>
      </c>
      <c r="I61" s="13">
        <f>G61*(1.2/100)</f>
        <v>12.490079999999999</v>
      </c>
    </row>
    <row r="62" spans="1:9">
      <c r="A62" s="30">
        <v>8</v>
      </c>
      <c r="B62" s="70" t="s">
        <v>108</v>
      </c>
      <c r="C62" s="71" t="s">
        <v>25</v>
      </c>
      <c r="D62" s="70" t="s">
        <v>173</v>
      </c>
      <c r="E62" s="72">
        <v>200</v>
      </c>
      <c r="F62" s="175">
        <v>2400</v>
      </c>
      <c r="G62" s="56">
        <v>1.4</v>
      </c>
      <c r="H62" s="73">
        <f>F62*G62/1000</f>
        <v>3.36</v>
      </c>
      <c r="I62" s="13">
        <f>F62/12*G62</f>
        <v>280</v>
      </c>
    </row>
    <row r="63" spans="1:9" hidden="1">
      <c r="A63" s="30"/>
      <c r="B63" s="82" t="s">
        <v>43</v>
      </c>
      <c r="C63" s="71"/>
      <c r="D63" s="70"/>
      <c r="E63" s="72"/>
      <c r="F63" s="75"/>
      <c r="G63" s="75"/>
      <c r="H63" s="73" t="s">
        <v>118</v>
      </c>
      <c r="I63" s="13"/>
    </row>
    <row r="64" spans="1:9" hidden="1">
      <c r="A64" s="30">
        <v>16</v>
      </c>
      <c r="B64" s="14" t="s">
        <v>44</v>
      </c>
      <c r="C64" s="16" t="s">
        <v>97</v>
      </c>
      <c r="D64" s="14" t="s">
        <v>63</v>
      </c>
      <c r="E64" s="18">
        <v>10</v>
      </c>
      <c r="F64" s="64">
        <f>SUM(E64)</f>
        <v>10</v>
      </c>
      <c r="G64" s="13">
        <v>291.68</v>
      </c>
      <c r="H64" s="76">
        <f t="shared" ref="H64:H82" si="9">SUM(F64*G64/1000)</f>
        <v>2.9168000000000003</v>
      </c>
      <c r="I64" s="13">
        <f>G64*3</f>
        <v>875.04</v>
      </c>
    </row>
    <row r="65" spans="1:9" hidden="1">
      <c r="A65" s="30"/>
      <c r="B65" s="14" t="s">
        <v>45</v>
      </c>
      <c r="C65" s="16" t="s">
        <v>97</v>
      </c>
      <c r="D65" s="14" t="s">
        <v>63</v>
      </c>
      <c r="E65" s="18">
        <v>9</v>
      </c>
      <c r="F65" s="64">
        <f>SUM(E65)</f>
        <v>9</v>
      </c>
      <c r="G65" s="13">
        <v>100.01</v>
      </c>
      <c r="H65" s="76">
        <f t="shared" si="9"/>
        <v>0.90009000000000006</v>
      </c>
      <c r="I65" s="13">
        <v>0</v>
      </c>
    </row>
    <row r="66" spans="1:9" hidden="1">
      <c r="A66" s="30"/>
      <c r="B66" s="14" t="s">
        <v>46</v>
      </c>
      <c r="C66" s="16" t="s">
        <v>99</v>
      </c>
      <c r="D66" s="14" t="s">
        <v>51</v>
      </c>
      <c r="E66" s="63">
        <v>19836</v>
      </c>
      <c r="F66" s="13">
        <f>SUM(E66/100)</f>
        <v>198.36</v>
      </c>
      <c r="G66" s="13">
        <v>278.24</v>
      </c>
      <c r="H66" s="76">
        <f t="shared" si="9"/>
        <v>55.191686400000009</v>
      </c>
      <c r="I66" s="13">
        <f>F66*G66</f>
        <v>55191.686400000006</v>
      </c>
    </row>
    <row r="67" spans="1:9" hidden="1">
      <c r="A67" s="30"/>
      <c r="B67" s="14" t="s">
        <v>47</v>
      </c>
      <c r="C67" s="16" t="s">
        <v>100</v>
      </c>
      <c r="D67" s="14"/>
      <c r="E67" s="63">
        <v>19836</v>
      </c>
      <c r="F67" s="13">
        <f>SUM(E67/1000)</f>
        <v>19.835999999999999</v>
      </c>
      <c r="G67" s="13">
        <v>216.68</v>
      </c>
      <c r="H67" s="76">
        <f t="shared" si="9"/>
        <v>4.2980644799999999</v>
      </c>
      <c r="I67" s="13">
        <f t="shared" ref="I67:I71" si="10">F67*G67</f>
        <v>4298.06448</v>
      </c>
    </row>
    <row r="68" spans="1:9" hidden="1">
      <c r="A68" s="30"/>
      <c r="B68" s="14" t="s">
        <v>48</v>
      </c>
      <c r="C68" s="16" t="s">
        <v>71</v>
      </c>
      <c r="D68" s="14" t="s">
        <v>51</v>
      </c>
      <c r="E68" s="63">
        <v>3155</v>
      </c>
      <c r="F68" s="13">
        <f>SUM(E68/100)</f>
        <v>31.55</v>
      </c>
      <c r="G68" s="13">
        <v>2720.94</v>
      </c>
      <c r="H68" s="76">
        <f t="shared" si="9"/>
        <v>85.845657000000003</v>
      </c>
      <c r="I68" s="13">
        <f t="shared" si="10"/>
        <v>85845.657000000007</v>
      </c>
    </row>
    <row r="69" spans="1:9" hidden="1">
      <c r="A69" s="30"/>
      <c r="B69" s="77" t="s">
        <v>101</v>
      </c>
      <c r="C69" s="16" t="s">
        <v>32</v>
      </c>
      <c r="D69" s="14"/>
      <c r="E69" s="63">
        <v>34.5</v>
      </c>
      <c r="F69" s="13">
        <f>SUM(E69)</f>
        <v>34.5</v>
      </c>
      <c r="G69" s="13">
        <v>44.31</v>
      </c>
      <c r="H69" s="76">
        <f t="shared" si="9"/>
        <v>1.5286950000000001</v>
      </c>
      <c r="I69" s="13">
        <f t="shared" si="10"/>
        <v>1528.6950000000002</v>
      </c>
    </row>
    <row r="70" spans="1:9" hidden="1">
      <c r="A70" s="30"/>
      <c r="B70" s="77" t="s">
        <v>102</v>
      </c>
      <c r="C70" s="16" t="s">
        <v>32</v>
      </c>
      <c r="D70" s="14"/>
      <c r="E70" s="63">
        <v>34.5</v>
      </c>
      <c r="F70" s="13">
        <f t="shared" ref="F70:F71" si="11">SUM(E70)</f>
        <v>34.5</v>
      </c>
      <c r="G70" s="13">
        <v>47.79</v>
      </c>
      <c r="H70" s="76">
        <f t="shared" si="9"/>
        <v>1.648755</v>
      </c>
      <c r="I70" s="13">
        <f t="shared" si="10"/>
        <v>1648.7549999999999</v>
      </c>
    </row>
    <row r="71" spans="1:9" hidden="1">
      <c r="A71" s="30"/>
      <c r="B71" s="14" t="s">
        <v>54</v>
      </c>
      <c r="C71" s="16" t="s">
        <v>55</v>
      </c>
      <c r="D71" s="14" t="s">
        <v>51</v>
      </c>
      <c r="E71" s="18">
        <v>5</v>
      </c>
      <c r="F71" s="13">
        <f t="shared" si="11"/>
        <v>5</v>
      </c>
      <c r="G71" s="13">
        <v>53.32</v>
      </c>
      <c r="H71" s="76">
        <f t="shared" si="9"/>
        <v>0.2666</v>
      </c>
      <c r="I71" s="13">
        <f t="shared" si="10"/>
        <v>266.60000000000002</v>
      </c>
    </row>
    <row r="72" spans="1:9">
      <c r="A72" s="30"/>
      <c r="B72" s="95" t="s">
        <v>139</v>
      </c>
      <c r="C72" s="49"/>
      <c r="D72" s="14"/>
      <c r="E72" s="18"/>
      <c r="F72" s="13"/>
      <c r="G72" s="13"/>
      <c r="H72" s="76"/>
      <c r="I72" s="13"/>
    </row>
    <row r="73" spans="1:9">
      <c r="A73" s="30">
        <v>9</v>
      </c>
      <c r="B73" s="36" t="s">
        <v>140</v>
      </c>
      <c r="C73" s="176" t="s">
        <v>141</v>
      </c>
      <c r="D73" s="36"/>
      <c r="E73" s="17">
        <v>4731.7</v>
      </c>
      <c r="F73" s="35">
        <f>SUM(E73*12)</f>
        <v>56780.399999999994</v>
      </c>
      <c r="G73" s="115">
        <v>2.4900000000000002</v>
      </c>
      <c r="H73" s="76">
        <f t="shared" ref="H73" si="12">SUM(F73*G73/1000)</f>
        <v>141.383196</v>
      </c>
      <c r="I73" s="13">
        <f>F73/12*G73</f>
        <v>11781.933000000001</v>
      </c>
    </row>
    <row r="74" spans="1:9">
      <c r="A74" s="30"/>
      <c r="B74" s="103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0" hidden="1">
      <c r="A75" s="30"/>
      <c r="B75" s="14" t="s">
        <v>142</v>
      </c>
      <c r="C75" s="16" t="s">
        <v>97</v>
      </c>
      <c r="D75" s="14" t="s">
        <v>63</v>
      </c>
      <c r="E75" s="18">
        <v>1</v>
      </c>
      <c r="F75" s="13">
        <v>1</v>
      </c>
      <c r="G75" s="13">
        <v>1543.4</v>
      </c>
      <c r="H75" s="76">
        <f t="shared" ref="H75:H78" si="13">SUM(F75*G75/1000)</f>
        <v>1.5434000000000001</v>
      </c>
      <c r="I75" s="13">
        <v>0</v>
      </c>
    </row>
    <row r="76" spans="1:9" hidden="1">
      <c r="A76" s="30">
        <v>19</v>
      </c>
      <c r="B76" s="47" t="s">
        <v>143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idden="1">
      <c r="A77" s="30">
        <v>22</v>
      </c>
      <c r="B77" s="14" t="s">
        <v>68</v>
      </c>
      <c r="C77" s="16" t="s">
        <v>69</v>
      </c>
      <c r="D77" s="14" t="s">
        <v>63</v>
      </c>
      <c r="E77" s="18">
        <v>8</v>
      </c>
      <c r="F77" s="13">
        <f>E77/10</f>
        <v>0.8</v>
      </c>
      <c r="G77" s="13">
        <v>657.87</v>
      </c>
      <c r="H77" s="76">
        <f t="shared" si="13"/>
        <v>0.5262960000000001</v>
      </c>
      <c r="I77" s="13">
        <f>G77*0.3</f>
        <v>197.36099999999999</v>
      </c>
    </row>
    <row r="78" spans="1:9" hidden="1">
      <c r="A78" s="30"/>
      <c r="B78" s="14" t="s">
        <v>144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3"/>
        <v>1.1187199999999999</v>
      </c>
      <c r="I78" s="13">
        <v>0</v>
      </c>
    </row>
    <row r="79" spans="1:9" hidden="1">
      <c r="A79" s="30"/>
      <c r="B79" s="47" t="s">
        <v>145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>
      <c r="A80" s="30">
        <v>10</v>
      </c>
      <c r="B80" s="105" t="s">
        <v>146</v>
      </c>
      <c r="C80" s="106" t="s">
        <v>97</v>
      </c>
      <c r="D80" s="36" t="s">
        <v>173</v>
      </c>
      <c r="E80" s="177">
        <v>2</v>
      </c>
      <c r="F80" s="175">
        <f>E80*12</f>
        <v>24</v>
      </c>
      <c r="G80" s="182">
        <v>404</v>
      </c>
      <c r="H80" s="76">
        <f t="shared" ref="H80" si="14">SUM(F80*G80/1000)</f>
        <v>9.6959999999999997</v>
      </c>
      <c r="I80" s="13">
        <f>F80/12*G80</f>
        <v>808</v>
      </c>
    </row>
    <row r="81" spans="1:9" hidden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idden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9"/>
        <v>1.0857270000000001</v>
      </c>
      <c r="I82" s="13">
        <v>0</v>
      </c>
    </row>
    <row r="83" spans="1:9" ht="28.5" hidden="1">
      <c r="A83" s="30"/>
      <c r="B83" s="96" t="s">
        <v>86</v>
      </c>
      <c r="C83" s="79"/>
      <c r="D83" s="32"/>
      <c r="E83" s="33"/>
      <c r="F83" s="67"/>
      <c r="G83" s="67"/>
      <c r="H83" s="80">
        <f>SUM(H56:H82)</f>
        <v>340.5240802400001</v>
      </c>
      <c r="I83" s="67"/>
    </row>
    <row r="84" spans="1:9" ht="0.75" customHeight="1">
      <c r="A84" s="30"/>
      <c r="B84" s="61" t="s">
        <v>103</v>
      </c>
      <c r="C84" s="16"/>
      <c r="D84" s="14"/>
      <c r="E84" s="57"/>
      <c r="F84" s="13">
        <v>1</v>
      </c>
      <c r="G84" s="13">
        <v>20512</v>
      </c>
      <c r="H84" s="76">
        <f>G84*F84/1000</f>
        <v>20.512</v>
      </c>
      <c r="I84" s="13">
        <v>0</v>
      </c>
    </row>
    <row r="85" spans="1:9">
      <c r="A85" s="230" t="s">
        <v>149</v>
      </c>
      <c r="B85" s="231"/>
      <c r="C85" s="231"/>
      <c r="D85" s="231"/>
      <c r="E85" s="231"/>
      <c r="F85" s="231"/>
      <c r="G85" s="231"/>
      <c r="H85" s="231"/>
      <c r="I85" s="232"/>
    </row>
    <row r="86" spans="1:9">
      <c r="A86" s="30">
        <v>11</v>
      </c>
      <c r="B86" s="113" t="s">
        <v>104</v>
      </c>
      <c r="C86" s="168" t="s">
        <v>52</v>
      </c>
      <c r="D86" s="169"/>
      <c r="E86" s="115">
        <v>4731.7</v>
      </c>
      <c r="F86" s="115">
        <f>SUM(E86*12)</f>
        <v>56780.399999999994</v>
      </c>
      <c r="G86" s="115">
        <v>3.38</v>
      </c>
      <c r="H86" s="76">
        <f>SUM(F86*G86/1000)</f>
        <v>191.91775199999998</v>
      </c>
      <c r="I86" s="13">
        <f>F86/12*G86</f>
        <v>15993.145999999999</v>
      </c>
    </row>
    <row r="87" spans="1:9" ht="30">
      <c r="A87" s="30">
        <v>12</v>
      </c>
      <c r="B87" s="36" t="s">
        <v>72</v>
      </c>
      <c r="C87" s="168"/>
      <c r="D87" s="48"/>
      <c r="E87" s="163">
        <f>E86</f>
        <v>4731.7</v>
      </c>
      <c r="F87" s="115">
        <f>E87*12</f>
        <v>56780.399999999994</v>
      </c>
      <c r="G87" s="115">
        <v>3.05</v>
      </c>
      <c r="H87" s="76">
        <f>F87*G87/1000</f>
        <v>173.18021999999996</v>
      </c>
      <c r="I87" s="13">
        <f>F87/12*G87</f>
        <v>14431.684999999999</v>
      </c>
    </row>
    <row r="88" spans="1:9">
      <c r="A88" s="30"/>
      <c r="B88" s="37" t="s">
        <v>74</v>
      </c>
      <c r="C88" s="79"/>
      <c r="D88" s="78"/>
      <c r="E88" s="67"/>
      <c r="F88" s="67"/>
      <c r="G88" s="67"/>
      <c r="H88" s="80">
        <f>H87</f>
        <v>173.18021999999996</v>
      </c>
      <c r="I88" s="67">
        <f>I87+I86+I80+I73+I62+I43+I40+I39+I38+I18+I17+I16</f>
        <v>66267.08872249999</v>
      </c>
    </row>
    <row r="89" spans="1:9">
      <c r="A89" s="227" t="s">
        <v>57</v>
      </c>
      <c r="B89" s="228"/>
      <c r="C89" s="228"/>
      <c r="D89" s="228"/>
      <c r="E89" s="228"/>
      <c r="F89" s="228"/>
      <c r="G89" s="228"/>
      <c r="H89" s="228"/>
      <c r="I89" s="229"/>
    </row>
    <row r="90" spans="1:9" ht="30">
      <c r="A90" s="30">
        <v>13</v>
      </c>
      <c r="B90" s="105" t="s">
        <v>151</v>
      </c>
      <c r="C90" s="106" t="s">
        <v>152</v>
      </c>
      <c r="D90" s="192" t="s">
        <v>245</v>
      </c>
      <c r="E90" s="167"/>
      <c r="F90" s="167">
        <v>4</v>
      </c>
      <c r="G90" s="167">
        <v>697.33</v>
      </c>
      <c r="H90" s="76"/>
      <c r="I90" s="13">
        <f>G90*2</f>
        <v>1394.66</v>
      </c>
    </row>
    <row r="91" spans="1:9">
      <c r="A91" s="30">
        <v>14</v>
      </c>
      <c r="B91" s="105" t="s">
        <v>176</v>
      </c>
      <c r="C91" s="106" t="s">
        <v>77</v>
      </c>
      <c r="D91" s="192" t="s">
        <v>246</v>
      </c>
      <c r="E91" s="167"/>
      <c r="F91" s="167">
        <v>1</v>
      </c>
      <c r="G91" s="167">
        <v>231.54</v>
      </c>
      <c r="H91" s="76"/>
      <c r="I91" s="13">
        <f>G91*1</f>
        <v>231.54</v>
      </c>
    </row>
    <row r="92" spans="1:9" ht="45">
      <c r="A92" s="30">
        <v>15</v>
      </c>
      <c r="B92" s="105" t="s">
        <v>238</v>
      </c>
      <c r="C92" s="106" t="s">
        <v>120</v>
      </c>
      <c r="D92" s="193" t="s">
        <v>278</v>
      </c>
      <c r="E92" s="167"/>
      <c r="F92" s="167">
        <v>16</v>
      </c>
      <c r="G92" s="167">
        <v>1584.54</v>
      </c>
      <c r="H92" s="76"/>
      <c r="I92" s="13">
        <f>G92*18</f>
        <v>28521.72</v>
      </c>
    </row>
    <row r="93" spans="1:9" ht="30">
      <c r="A93" s="30">
        <v>16</v>
      </c>
      <c r="B93" s="105" t="s">
        <v>239</v>
      </c>
      <c r="C93" s="106" t="s">
        <v>120</v>
      </c>
      <c r="D93" s="192" t="s">
        <v>244</v>
      </c>
      <c r="E93" s="167"/>
      <c r="F93" s="167">
        <v>2</v>
      </c>
      <c r="G93" s="167">
        <v>1478.55</v>
      </c>
      <c r="H93" s="76"/>
      <c r="I93" s="13">
        <f>G93*2</f>
        <v>2957.1</v>
      </c>
    </row>
    <row r="94" spans="1:9">
      <c r="A94" s="30">
        <v>17</v>
      </c>
      <c r="B94" s="105" t="s">
        <v>240</v>
      </c>
      <c r="C94" s="106" t="s">
        <v>200</v>
      </c>
      <c r="D94" s="192"/>
      <c r="E94" s="167"/>
      <c r="F94" s="167">
        <v>1</v>
      </c>
      <c r="G94" s="167">
        <v>672.88</v>
      </c>
      <c r="H94" s="76"/>
      <c r="I94" s="13">
        <f>G94*1</f>
        <v>672.88</v>
      </c>
    </row>
    <row r="95" spans="1:9">
      <c r="A95" s="30">
        <v>18</v>
      </c>
      <c r="B95" s="200" t="s">
        <v>241</v>
      </c>
      <c r="C95" s="30" t="s">
        <v>242</v>
      </c>
      <c r="D95" s="192" t="s">
        <v>243</v>
      </c>
      <c r="E95" s="167"/>
      <c r="F95" s="167">
        <v>65</v>
      </c>
      <c r="G95" s="167">
        <v>356.72</v>
      </c>
      <c r="H95" s="76"/>
      <c r="I95" s="13">
        <f>G95*65</f>
        <v>23186.800000000003</v>
      </c>
    </row>
    <row r="96" spans="1:9" ht="30">
      <c r="A96" s="30">
        <v>19</v>
      </c>
      <c r="B96" s="181" t="s">
        <v>247</v>
      </c>
      <c r="C96" s="176" t="s">
        <v>248</v>
      </c>
      <c r="D96" s="192" t="s">
        <v>249</v>
      </c>
      <c r="E96" s="167"/>
      <c r="F96" s="167">
        <v>1</v>
      </c>
      <c r="G96" s="167">
        <v>2287.54</v>
      </c>
      <c r="H96" s="76"/>
      <c r="I96" s="13">
        <f>G96*1</f>
        <v>2287.54</v>
      </c>
    </row>
    <row r="97" spans="1:9">
      <c r="A97" s="30">
        <v>20</v>
      </c>
      <c r="B97" s="105" t="s">
        <v>276</v>
      </c>
      <c r="C97" s="106" t="s">
        <v>152</v>
      </c>
      <c r="D97" s="192" t="s">
        <v>277</v>
      </c>
      <c r="E97" s="167"/>
      <c r="F97" s="167">
        <v>1</v>
      </c>
      <c r="G97" s="167">
        <v>521.13</v>
      </c>
      <c r="H97" s="76"/>
      <c r="I97" s="13">
        <f>G97*1</f>
        <v>521.13</v>
      </c>
    </row>
    <row r="98" spans="1:9">
      <c r="A98" s="30"/>
      <c r="B98" s="42" t="s">
        <v>49</v>
      </c>
      <c r="C98" s="38"/>
      <c r="D98" s="45"/>
      <c r="E98" s="38">
        <v>1</v>
      </c>
      <c r="F98" s="38"/>
      <c r="G98" s="38"/>
      <c r="H98" s="38"/>
      <c r="I98" s="33">
        <f>SUM(I90:I97)</f>
        <v>59773.37</v>
      </c>
    </row>
    <row r="99" spans="1:9">
      <c r="A99" s="30"/>
      <c r="B99" s="44" t="s">
        <v>73</v>
      </c>
      <c r="C99" s="15"/>
      <c r="D99" s="15"/>
      <c r="E99" s="39"/>
      <c r="F99" s="39"/>
      <c r="G99" s="40"/>
      <c r="H99" s="40"/>
      <c r="I99" s="17">
        <v>0</v>
      </c>
    </row>
    <row r="100" spans="1:9">
      <c r="A100" s="46"/>
      <c r="B100" s="43" t="s">
        <v>131</v>
      </c>
      <c r="C100" s="34"/>
      <c r="D100" s="34"/>
      <c r="E100" s="34"/>
      <c r="F100" s="34"/>
      <c r="G100" s="34"/>
      <c r="H100" s="34"/>
      <c r="I100" s="41">
        <f>I88+I98</f>
        <v>126040.45872249999</v>
      </c>
    </row>
    <row r="101" spans="1:9" ht="15.75">
      <c r="A101" s="224" t="s">
        <v>279</v>
      </c>
      <c r="B101" s="224"/>
      <c r="C101" s="224"/>
      <c r="D101" s="224"/>
      <c r="E101" s="224"/>
      <c r="F101" s="224"/>
      <c r="G101" s="224"/>
      <c r="H101" s="224"/>
      <c r="I101" s="224"/>
    </row>
    <row r="102" spans="1:9" ht="15.75">
      <c r="A102" s="55"/>
      <c r="B102" s="225" t="s">
        <v>280</v>
      </c>
      <c r="C102" s="225"/>
      <c r="D102" s="225"/>
      <c r="E102" s="225"/>
      <c r="F102" s="225"/>
      <c r="G102" s="225"/>
      <c r="H102" s="60"/>
      <c r="I102" s="3"/>
    </row>
    <row r="103" spans="1:9">
      <c r="A103" s="100"/>
      <c r="B103" s="215" t="s">
        <v>6</v>
      </c>
      <c r="C103" s="215"/>
      <c r="D103" s="215"/>
      <c r="E103" s="215"/>
      <c r="F103" s="215"/>
      <c r="G103" s="215"/>
      <c r="H103" s="25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26" t="s">
        <v>7</v>
      </c>
      <c r="B105" s="226"/>
      <c r="C105" s="226"/>
      <c r="D105" s="226"/>
      <c r="E105" s="226"/>
      <c r="F105" s="226"/>
      <c r="G105" s="226"/>
      <c r="H105" s="226"/>
      <c r="I105" s="226"/>
    </row>
    <row r="106" spans="1:9" ht="15.75">
      <c r="A106" s="226" t="s">
        <v>8</v>
      </c>
      <c r="B106" s="226"/>
      <c r="C106" s="226"/>
      <c r="D106" s="226"/>
      <c r="E106" s="226"/>
      <c r="F106" s="226"/>
      <c r="G106" s="226"/>
      <c r="H106" s="226"/>
      <c r="I106" s="226"/>
    </row>
    <row r="107" spans="1:9" ht="15.75">
      <c r="A107" s="219" t="s">
        <v>58</v>
      </c>
      <c r="B107" s="219"/>
      <c r="C107" s="219"/>
      <c r="D107" s="219"/>
      <c r="E107" s="219"/>
      <c r="F107" s="219"/>
      <c r="G107" s="219"/>
      <c r="H107" s="219"/>
      <c r="I107" s="219"/>
    </row>
    <row r="108" spans="1:9" ht="15.75">
      <c r="A108" s="11"/>
    </row>
    <row r="109" spans="1:9" ht="15.75">
      <c r="A109" s="213" t="s">
        <v>9</v>
      </c>
      <c r="B109" s="213"/>
      <c r="C109" s="213"/>
      <c r="D109" s="213"/>
      <c r="E109" s="213"/>
      <c r="F109" s="213"/>
      <c r="G109" s="213"/>
      <c r="H109" s="213"/>
      <c r="I109" s="213"/>
    </row>
    <row r="110" spans="1:9" ht="15.75">
      <c r="A110" s="4"/>
    </row>
    <row r="111" spans="1:9" ht="15.75">
      <c r="B111" s="101" t="s">
        <v>10</v>
      </c>
      <c r="C111" s="214" t="s">
        <v>201</v>
      </c>
      <c r="D111" s="214"/>
      <c r="E111" s="214"/>
      <c r="F111" s="58"/>
      <c r="I111" s="99"/>
    </row>
    <row r="112" spans="1:9">
      <c r="A112" s="100"/>
      <c r="C112" s="215" t="s">
        <v>11</v>
      </c>
      <c r="D112" s="215"/>
      <c r="E112" s="215"/>
      <c r="F112" s="25"/>
      <c r="I112" s="98" t="s">
        <v>12</v>
      </c>
    </row>
    <row r="113" spans="1:9" ht="15.75">
      <c r="A113" s="26"/>
      <c r="C113" s="12"/>
      <c r="D113" s="12"/>
      <c r="G113" s="12"/>
      <c r="H113" s="12"/>
    </row>
    <row r="114" spans="1:9" ht="15.75">
      <c r="B114" s="101" t="s">
        <v>13</v>
      </c>
      <c r="C114" s="216"/>
      <c r="D114" s="216"/>
      <c r="E114" s="216"/>
      <c r="F114" s="59"/>
      <c r="I114" s="99"/>
    </row>
    <row r="115" spans="1:9">
      <c r="A115" s="100"/>
      <c r="C115" s="217" t="s">
        <v>11</v>
      </c>
      <c r="D115" s="217"/>
      <c r="E115" s="217"/>
      <c r="F115" s="100"/>
      <c r="I115" s="98" t="s">
        <v>12</v>
      </c>
    </row>
    <row r="116" spans="1:9" ht="15.75">
      <c r="A116" s="4" t="s">
        <v>14</v>
      </c>
    </row>
    <row r="117" spans="1:9">
      <c r="A117" s="218" t="s">
        <v>15</v>
      </c>
      <c r="B117" s="218"/>
      <c r="C117" s="218"/>
      <c r="D117" s="218"/>
      <c r="E117" s="218"/>
      <c r="F117" s="218"/>
      <c r="G117" s="218"/>
      <c r="H117" s="218"/>
      <c r="I117" s="218"/>
    </row>
    <row r="118" spans="1:9" ht="42" customHeight="1">
      <c r="A118" s="212" t="s">
        <v>16</v>
      </c>
      <c r="B118" s="212"/>
      <c r="C118" s="212"/>
      <c r="D118" s="212"/>
      <c r="E118" s="212"/>
      <c r="F118" s="212"/>
      <c r="G118" s="212"/>
      <c r="H118" s="212"/>
      <c r="I118" s="212"/>
    </row>
    <row r="119" spans="1:9" ht="37.5" customHeight="1">
      <c r="A119" s="212" t="s">
        <v>17</v>
      </c>
      <c r="B119" s="212"/>
      <c r="C119" s="212"/>
      <c r="D119" s="212"/>
      <c r="E119" s="212"/>
      <c r="F119" s="212"/>
      <c r="G119" s="212"/>
      <c r="H119" s="212"/>
      <c r="I119" s="212"/>
    </row>
    <row r="120" spans="1:9" ht="43.5" customHeight="1">
      <c r="A120" s="212" t="s">
        <v>21</v>
      </c>
      <c r="B120" s="212"/>
      <c r="C120" s="212"/>
      <c r="D120" s="212"/>
      <c r="E120" s="212"/>
      <c r="F120" s="212"/>
      <c r="G120" s="212"/>
      <c r="H120" s="212"/>
      <c r="I120" s="212"/>
    </row>
    <row r="121" spans="1:9" ht="15.75">
      <c r="A121" s="212" t="s">
        <v>20</v>
      </c>
      <c r="B121" s="212"/>
      <c r="C121" s="212"/>
      <c r="D121" s="212"/>
      <c r="E121" s="212"/>
      <c r="F121" s="212"/>
      <c r="G121" s="212"/>
      <c r="H121" s="212"/>
      <c r="I121" s="212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7:I27"/>
    <mergeCell ref="A44:I44"/>
    <mergeCell ref="A54:I54"/>
    <mergeCell ref="A85:I85"/>
    <mergeCell ref="A89:I89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" top="0.74803149606299213" bottom="0.74803149606299213" header="0.31496062992125984" footer="0.31496062992125984"/>
  <pageSetup paperSize="9" scale="61" orientation="portrait" horizontalDpi="0" verticalDpi="0" r:id="rId1"/>
  <rowBreaks count="1" manualBreakCount="1">
    <brk id="10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25"/>
  <sheetViews>
    <sheetView view="pageBreakPreview" topLeftCell="A84" zoomScale="60" zoomScaleNormal="100" workbookViewId="0">
      <selection activeCell="T130" sqref="T130"/>
    </sheetView>
  </sheetViews>
  <sheetFormatPr defaultRowHeight="15"/>
  <cols>
    <col min="2" max="2" width="51.42578125" customWidth="1"/>
    <col min="3" max="3" width="18.28515625" customWidth="1"/>
    <col min="4" max="4" width="19.28515625" customWidth="1"/>
    <col min="5" max="5" width="0" hidden="1" customWidth="1"/>
    <col min="6" max="6" width="12.7109375" hidden="1" customWidth="1"/>
    <col min="7" max="7" width="17.7109375" customWidth="1"/>
    <col min="8" max="8" width="0" hidden="1" customWidth="1"/>
    <col min="9" max="9" width="18.28515625" customWidth="1"/>
  </cols>
  <sheetData>
    <row r="1" spans="1:9" ht="15.75">
      <c r="A1" s="28" t="s">
        <v>158</v>
      </c>
      <c r="I1" s="27"/>
    </row>
    <row r="2" spans="1:9" ht="15.75">
      <c r="A2" s="29" t="s">
        <v>59</v>
      </c>
    </row>
    <row r="3" spans="1:9" ht="15.75">
      <c r="A3" s="233" t="s">
        <v>154</v>
      </c>
      <c r="B3" s="233"/>
      <c r="C3" s="233"/>
      <c r="D3" s="233"/>
      <c r="E3" s="233"/>
      <c r="F3" s="233"/>
      <c r="G3" s="233"/>
      <c r="H3" s="233"/>
      <c r="I3" s="233"/>
    </row>
    <row r="4" spans="1:9" ht="31.5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250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08"/>
      <c r="C6" s="108"/>
      <c r="D6" s="108"/>
      <c r="E6" s="108"/>
      <c r="F6" s="108"/>
      <c r="G6" s="108"/>
      <c r="H6" s="108"/>
      <c r="I6" s="31">
        <v>44347</v>
      </c>
    </row>
    <row r="7" spans="1:9" ht="15.75">
      <c r="B7" s="110"/>
      <c r="C7" s="110"/>
      <c r="D7" s="110"/>
      <c r="E7" s="3"/>
      <c r="F7" s="3"/>
      <c r="G7" s="3"/>
      <c r="H7" s="3"/>
    </row>
    <row r="8" spans="1:9" ht="90" customHeight="1">
      <c r="A8" s="236" t="s">
        <v>203</v>
      </c>
      <c r="B8" s="236"/>
      <c r="C8" s="236"/>
      <c r="D8" s="236"/>
      <c r="E8" s="236"/>
      <c r="F8" s="236"/>
      <c r="G8" s="236"/>
      <c r="H8" s="236"/>
      <c r="I8" s="236"/>
    </row>
    <row r="9" spans="1:9" ht="1.5" customHeight="1">
      <c r="A9" s="4"/>
    </row>
    <row r="10" spans="1:9" ht="64.5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</row>
    <row r="11" spans="1:9" ht="0.75" customHeight="1">
      <c r="A11" s="4"/>
    </row>
    <row r="12" spans="1:9" ht="71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</row>
    <row r="16" spans="1:9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idden="1">
      <c r="A20" s="30">
        <v>5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</row>
    <row r="21" spans="1:9" hidden="1">
      <c r="A21" s="30">
        <v>6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idden="1">
      <c r="A26" s="30">
        <v>4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20" t="s">
        <v>78</v>
      </c>
      <c r="B27" s="220"/>
      <c r="C27" s="220"/>
      <c r="D27" s="220"/>
      <c r="E27" s="220"/>
      <c r="F27" s="220"/>
      <c r="G27" s="220"/>
      <c r="H27" s="220"/>
      <c r="I27" s="220"/>
    </row>
    <row r="28" spans="1:9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>
      <c r="A29" s="30">
        <v>4</v>
      </c>
      <c r="B29" s="113" t="s">
        <v>96</v>
      </c>
      <c r="C29" s="114" t="s">
        <v>82</v>
      </c>
      <c r="D29" s="113" t="s">
        <v>178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4" si="2">SUM(F29*G29/1000)</f>
        <v>5.8264066560000014</v>
      </c>
      <c r="I29" s="13">
        <f>F29/6*G29</f>
        <v>971.06777600000009</v>
      </c>
    </row>
    <row r="30" spans="1:9" ht="30">
      <c r="A30" s="30">
        <v>5</v>
      </c>
      <c r="B30" s="113" t="s">
        <v>192</v>
      </c>
      <c r="C30" s="114" t="s">
        <v>82</v>
      </c>
      <c r="D30" s="113" t="s">
        <v>168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>
      <c r="A31" s="30">
        <v>6</v>
      </c>
      <c r="B31" s="113" t="s">
        <v>27</v>
      </c>
      <c r="C31" s="114" t="s">
        <v>82</v>
      </c>
      <c r="D31" s="113" t="s">
        <v>173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>
      <c r="A32" s="30">
        <v>7</v>
      </c>
      <c r="B32" s="113" t="s">
        <v>119</v>
      </c>
      <c r="C32" s="114" t="s">
        <v>38</v>
      </c>
      <c r="D32" s="113" t="s">
        <v>178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si="2"/>
        <v>0.50183999999999995</v>
      </c>
      <c r="I33" s="13">
        <v>0</v>
      </c>
    </row>
    <row r="34" spans="1:9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2"/>
        <v>1.49031</v>
      </c>
      <c r="I34" s="13">
        <v>0</v>
      </c>
    </row>
    <row r="35" spans="1:9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4">SUM(F36*G36/1000)</f>
        <v>10.015000000000001</v>
      </c>
      <c r="I36" s="13">
        <f t="shared" ref="I36:I42" si="5">F36/6*G36</f>
        <v>1669.1666666666667</v>
      </c>
    </row>
    <row r="37" spans="1:9" hidden="1">
      <c r="A37" s="30">
        <v>7</v>
      </c>
      <c r="B37" s="61" t="s">
        <v>133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4"/>
        <v>4.50069696</v>
      </c>
      <c r="I37" s="13">
        <f t="shared" si="5"/>
        <v>750.11615999999992</v>
      </c>
    </row>
    <row r="38" spans="1:9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4"/>
        <v>3.87888864</v>
      </c>
      <c r="I38" s="13">
        <f t="shared" si="5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4"/>
        <v>8.3113867199999998</v>
      </c>
      <c r="I39" s="13">
        <f t="shared" si="5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4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4"/>
        <v>0.8773470000000001</v>
      </c>
      <c r="I41" s="13">
        <f>(F41/7.5*1.5)*G41</f>
        <v>175.46940000000004</v>
      </c>
    </row>
    <row r="42" spans="1:9" ht="30" hidden="1">
      <c r="A42" s="30">
        <v>12</v>
      </c>
      <c r="B42" s="47" t="s">
        <v>134</v>
      </c>
      <c r="C42" s="49" t="s">
        <v>29</v>
      </c>
      <c r="D42" s="61" t="s">
        <v>135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4"/>
        <v>9.3671999999999991E-3</v>
      </c>
      <c r="I42" s="13">
        <f t="shared" si="5"/>
        <v>1.5611999999999997</v>
      </c>
    </row>
    <row r="43" spans="1:9">
      <c r="A43" s="221" t="s">
        <v>121</v>
      </c>
      <c r="B43" s="222"/>
      <c r="C43" s="222"/>
      <c r="D43" s="222"/>
      <c r="E43" s="222"/>
      <c r="F43" s="222"/>
      <c r="G43" s="222"/>
      <c r="H43" s="222"/>
      <c r="I43" s="223"/>
    </row>
    <row r="44" spans="1:9">
      <c r="A44" s="30">
        <v>8</v>
      </c>
      <c r="B44" s="61" t="s">
        <v>113</v>
      </c>
      <c r="C44" s="62" t="s">
        <v>82</v>
      </c>
      <c r="D44" s="61" t="s">
        <v>173</v>
      </c>
      <c r="E44" s="63">
        <v>1320.9</v>
      </c>
      <c r="F44" s="64">
        <f>SUM(E44*2/1000)</f>
        <v>2.6418000000000004</v>
      </c>
      <c r="G44" s="115">
        <v>1217.79</v>
      </c>
      <c r="H44" s="65">
        <f t="shared" ref="H44:H52" si="6">SUM(F44*G44/1000)</f>
        <v>3.2171576220000002</v>
      </c>
      <c r="I44" s="13">
        <f>2.6418/2*G44</f>
        <v>1608.5788109999999</v>
      </c>
    </row>
    <row r="45" spans="1:9">
      <c r="A45" s="30">
        <v>9</v>
      </c>
      <c r="B45" s="61" t="s">
        <v>33</v>
      </c>
      <c r="C45" s="62" t="s">
        <v>82</v>
      </c>
      <c r="D45" s="61" t="s">
        <v>173</v>
      </c>
      <c r="E45" s="63">
        <v>52</v>
      </c>
      <c r="F45" s="64">
        <f>E45*2/1000</f>
        <v>0.104</v>
      </c>
      <c r="G45" s="115">
        <v>830.69</v>
      </c>
      <c r="H45" s="65">
        <f t="shared" si="6"/>
        <v>8.6391760000000012E-2</v>
      </c>
      <c r="I45" s="13">
        <f>0.104/2*G45</f>
        <v>43.195880000000002</v>
      </c>
    </row>
    <row r="46" spans="1:9">
      <c r="A46" s="30">
        <v>10</v>
      </c>
      <c r="B46" s="61" t="s">
        <v>34</v>
      </c>
      <c r="C46" s="62" t="s">
        <v>82</v>
      </c>
      <c r="D46" s="61" t="s">
        <v>173</v>
      </c>
      <c r="E46" s="63">
        <v>1520.8</v>
      </c>
      <c r="F46" s="64">
        <f>SUM(E46*2/1000)</f>
        <v>3.0415999999999999</v>
      </c>
      <c r="G46" s="115">
        <v>830.69</v>
      </c>
      <c r="H46" s="65">
        <f t="shared" si="6"/>
        <v>2.5266267040000003</v>
      </c>
      <c r="I46" s="13">
        <f>3.0416/2*G46</f>
        <v>1263.3133520000001</v>
      </c>
    </row>
    <row r="47" spans="1:9">
      <c r="A47" s="30">
        <v>11</v>
      </c>
      <c r="B47" s="61" t="s">
        <v>35</v>
      </c>
      <c r="C47" s="62" t="s">
        <v>82</v>
      </c>
      <c r="D47" s="61" t="s">
        <v>173</v>
      </c>
      <c r="E47" s="63">
        <v>3433.81</v>
      </c>
      <c r="F47" s="64">
        <f>SUM(E47*2/1000)</f>
        <v>6.8676199999999996</v>
      </c>
      <c r="G47" s="115">
        <v>869.86</v>
      </c>
      <c r="H47" s="65">
        <f t="shared" si="6"/>
        <v>5.9738679332000002</v>
      </c>
      <c r="I47" s="13">
        <f>6.86762/2*G47</f>
        <v>2986.9339666000001</v>
      </c>
    </row>
    <row r="48" spans="1:9" ht="18" customHeight="1">
      <c r="A48" s="30">
        <v>12</v>
      </c>
      <c r="B48" s="61" t="s">
        <v>53</v>
      </c>
      <c r="C48" s="62" t="s">
        <v>82</v>
      </c>
      <c r="D48" s="61" t="s">
        <v>173</v>
      </c>
      <c r="E48" s="63">
        <v>4731.7</v>
      </c>
      <c r="F48" s="64">
        <f>SUM(E48*5/1000)</f>
        <v>23.6585</v>
      </c>
      <c r="G48" s="115">
        <v>1739.68</v>
      </c>
      <c r="H48" s="65">
        <f t="shared" si="6"/>
        <v>41.158219280000004</v>
      </c>
      <c r="I48" s="13">
        <f>F48/5*G48</f>
        <v>8231.6438560000006</v>
      </c>
    </row>
    <row r="49" spans="1:9" ht="32.25" customHeight="1">
      <c r="A49" s="30">
        <v>13</v>
      </c>
      <c r="B49" s="61" t="s">
        <v>84</v>
      </c>
      <c r="C49" s="62" t="s">
        <v>82</v>
      </c>
      <c r="D49" s="61" t="s">
        <v>173</v>
      </c>
      <c r="E49" s="63">
        <v>4731.7</v>
      </c>
      <c r="F49" s="64">
        <f>SUM(E49*2/1000)</f>
        <v>9.4634</v>
      </c>
      <c r="G49" s="115">
        <v>1739.68</v>
      </c>
      <c r="H49" s="65">
        <f t="shared" si="6"/>
        <v>16.463287712</v>
      </c>
      <c r="I49" s="13">
        <f>9.4634/2*G49</f>
        <v>8231.6438560000006</v>
      </c>
    </row>
    <row r="50" spans="1:9" ht="30">
      <c r="A50" s="30">
        <v>14</v>
      </c>
      <c r="B50" s="61" t="s">
        <v>85</v>
      </c>
      <c r="C50" s="62" t="s">
        <v>36</v>
      </c>
      <c r="D50" s="61" t="s">
        <v>173</v>
      </c>
      <c r="E50" s="63">
        <v>20</v>
      </c>
      <c r="F50" s="64">
        <f>SUM(E50*2/100)</f>
        <v>0.4</v>
      </c>
      <c r="G50" s="115">
        <v>3914.31</v>
      </c>
      <c r="H50" s="65">
        <f>SUM(F50*G50/1000)</f>
        <v>1.5657240000000001</v>
      </c>
      <c r="I50" s="13">
        <f>0.4/2*G50</f>
        <v>782.86200000000008</v>
      </c>
    </row>
    <row r="51" spans="1:9">
      <c r="A51" s="30">
        <v>15</v>
      </c>
      <c r="B51" s="61" t="s">
        <v>37</v>
      </c>
      <c r="C51" s="62" t="s">
        <v>38</v>
      </c>
      <c r="D51" s="61" t="s">
        <v>173</v>
      </c>
      <c r="E51" s="63">
        <v>1</v>
      </c>
      <c r="F51" s="64">
        <v>0.02</v>
      </c>
      <c r="G51" s="115">
        <v>8102.62</v>
      </c>
      <c r="H51" s="65">
        <f t="shared" si="6"/>
        <v>0.16205240000000001</v>
      </c>
      <c r="I51" s="13">
        <f>0.02/2*G51</f>
        <v>81.026200000000003</v>
      </c>
    </row>
    <row r="52" spans="1:9">
      <c r="A52" s="30">
        <v>16</v>
      </c>
      <c r="B52" s="61" t="s">
        <v>39</v>
      </c>
      <c r="C52" s="62" t="s">
        <v>97</v>
      </c>
      <c r="D52" s="183">
        <v>44328</v>
      </c>
      <c r="E52" s="63">
        <v>160</v>
      </c>
      <c r="F52" s="64">
        <f>SUM(E52)</f>
        <v>160</v>
      </c>
      <c r="G52" s="164">
        <v>87.32</v>
      </c>
      <c r="H52" s="65">
        <f t="shared" si="6"/>
        <v>13.9712</v>
      </c>
      <c r="I52" s="13">
        <f>G52*160</f>
        <v>13971.199999999999</v>
      </c>
    </row>
    <row r="53" spans="1:9">
      <c r="A53" s="221" t="s">
        <v>122</v>
      </c>
      <c r="B53" s="222"/>
      <c r="C53" s="222"/>
      <c r="D53" s="222"/>
      <c r="E53" s="222"/>
      <c r="F53" s="222"/>
      <c r="G53" s="222"/>
      <c r="H53" s="222"/>
      <c r="I53" s="223"/>
    </row>
    <row r="54" spans="1:9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30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7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7"/>
        <v>0.46268039999999994</v>
      </c>
      <c r="I57" s="13">
        <f>F57/6*G57</f>
        <v>77.113399999999999</v>
      </c>
    </row>
    <row r="58" spans="1:9">
      <c r="A58" s="30">
        <v>17</v>
      </c>
      <c r="B58" s="61" t="s">
        <v>136</v>
      </c>
      <c r="C58" s="62" t="s">
        <v>137</v>
      </c>
      <c r="D58" s="61" t="s">
        <v>283</v>
      </c>
      <c r="E58" s="63"/>
      <c r="F58" s="64">
        <v>3</v>
      </c>
      <c r="G58" s="115">
        <v>1730</v>
      </c>
      <c r="H58" s="65">
        <f>SUM(F58*G58/1000)</f>
        <v>5.19</v>
      </c>
      <c r="I58" s="13">
        <f>G58*3</f>
        <v>5190</v>
      </c>
    </row>
    <row r="59" spans="1:9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138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>
      <c r="A61" s="30">
        <v>18</v>
      </c>
      <c r="B61" s="70" t="s">
        <v>108</v>
      </c>
      <c r="C61" s="71" t="s">
        <v>25</v>
      </c>
      <c r="D61" s="70" t="s">
        <v>173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20.25" hidden="1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21.75" hidden="1" customHeight="1">
      <c r="A63" s="30">
        <v>25</v>
      </c>
      <c r="B63" s="14" t="s">
        <v>44</v>
      </c>
      <c r="C63" s="16" t="s">
        <v>97</v>
      </c>
      <c r="D63" s="14" t="s">
        <v>173</v>
      </c>
      <c r="E63" s="18">
        <v>10</v>
      </c>
      <c r="F63" s="64">
        <f>SUM(E63)</f>
        <v>10</v>
      </c>
      <c r="G63" s="13">
        <v>291.68</v>
      </c>
      <c r="H63" s="76">
        <f t="shared" ref="H63:H81" si="8">SUM(F63*G63/1000)</f>
        <v>2.9168000000000003</v>
      </c>
      <c r="I63" s="13">
        <f>G63*1</f>
        <v>291.68</v>
      </c>
    </row>
    <row r="64" spans="1:9" ht="21" hidden="1" customHeight="1">
      <c r="A64" s="30"/>
      <c r="B64" s="14" t="s">
        <v>45</v>
      </c>
      <c r="C64" s="16" t="s">
        <v>97</v>
      </c>
      <c r="D64" s="14" t="s">
        <v>63</v>
      </c>
      <c r="E64" s="18">
        <v>9</v>
      </c>
      <c r="F64" s="64">
        <f>SUM(E64)</f>
        <v>9</v>
      </c>
      <c r="G64" s="13">
        <v>100.01</v>
      </c>
      <c r="H64" s="76">
        <f t="shared" si="8"/>
        <v>0.90009000000000006</v>
      </c>
      <c r="I64" s="13">
        <v>0</v>
      </c>
    </row>
    <row r="65" spans="1:9" ht="21.75" hidden="1" customHeight="1">
      <c r="A65" s="30">
        <v>27</v>
      </c>
      <c r="B65" s="14" t="s">
        <v>46</v>
      </c>
      <c r="C65" s="16" t="s">
        <v>99</v>
      </c>
      <c r="D65" s="14" t="s">
        <v>51</v>
      </c>
      <c r="E65" s="63">
        <v>19836</v>
      </c>
      <c r="F65" s="13">
        <f>SUM(E65/100)</f>
        <v>198.36</v>
      </c>
      <c r="G65" s="13">
        <v>278.24</v>
      </c>
      <c r="H65" s="76">
        <f t="shared" si="8"/>
        <v>55.191686400000009</v>
      </c>
      <c r="I65" s="13">
        <f>F65*G65</f>
        <v>55191.686400000006</v>
      </c>
    </row>
    <row r="66" spans="1:9" ht="19.5" hidden="1" customHeight="1">
      <c r="A66" s="30">
        <v>28</v>
      </c>
      <c r="B66" s="14" t="s">
        <v>47</v>
      </c>
      <c r="C66" s="16" t="s">
        <v>100</v>
      </c>
      <c r="D66" s="14"/>
      <c r="E66" s="63">
        <v>19836</v>
      </c>
      <c r="F66" s="13">
        <f>SUM(E66/1000)</f>
        <v>19.835999999999999</v>
      </c>
      <c r="G66" s="13">
        <v>216.68</v>
      </c>
      <c r="H66" s="76">
        <f t="shared" si="8"/>
        <v>4.2980644799999999</v>
      </c>
      <c r="I66" s="13">
        <f t="shared" ref="I66:I70" si="9">F66*G66</f>
        <v>4298.06448</v>
      </c>
    </row>
    <row r="67" spans="1:9" ht="21.75" hidden="1" customHeight="1">
      <c r="A67" s="30">
        <v>29</v>
      </c>
      <c r="B67" s="14" t="s">
        <v>48</v>
      </c>
      <c r="C67" s="16" t="s">
        <v>71</v>
      </c>
      <c r="D67" s="14" t="s">
        <v>51</v>
      </c>
      <c r="E67" s="63">
        <v>3155</v>
      </c>
      <c r="F67" s="13">
        <f>SUM(E67/100)</f>
        <v>31.55</v>
      </c>
      <c r="G67" s="13">
        <v>2720.94</v>
      </c>
      <c r="H67" s="76">
        <f t="shared" si="8"/>
        <v>85.845657000000003</v>
      </c>
      <c r="I67" s="13">
        <f t="shared" si="9"/>
        <v>85845.657000000007</v>
      </c>
    </row>
    <row r="68" spans="1:9" ht="21" hidden="1" customHeight="1">
      <c r="A68" s="30">
        <v>30</v>
      </c>
      <c r="B68" s="77" t="s">
        <v>101</v>
      </c>
      <c r="C68" s="16" t="s">
        <v>32</v>
      </c>
      <c r="D68" s="14"/>
      <c r="E68" s="63">
        <v>34.5</v>
      </c>
      <c r="F68" s="13">
        <f>SUM(E68)</f>
        <v>34.5</v>
      </c>
      <c r="G68" s="13">
        <v>44.31</v>
      </c>
      <c r="H68" s="76">
        <f t="shared" si="8"/>
        <v>1.5286950000000001</v>
      </c>
      <c r="I68" s="13">
        <f t="shared" si="9"/>
        <v>1528.6950000000002</v>
      </c>
    </row>
    <row r="69" spans="1:9" ht="20.25" hidden="1" customHeight="1">
      <c r="A69" s="30">
        <v>31</v>
      </c>
      <c r="B69" s="77" t="s">
        <v>102</v>
      </c>
      <c r="C69" s="16" t="s">
        <v>32</v>
      </c>
      <c r="D69" s="14"/>
      <c r="E69" s="63">
        <v>34.5</v>
      </c>
      <c r="F69" s="13">
        <f t="shared" ref="F69:F70" si="10">SUM(E69)</f>
        <v>34.5</v>
      </c>
      <c r="G69" s="13">
        <v>47.79</v>
      </c>
      <c r="H69" s="76">
        <f t="shared" si="8"/>
        <v>1.648755</v>
      </c>
      <c r="I69" s="13">
        <f t="shared" si="9"/>
        <v>1648.7549999999999</v>
      </c>
    </row>
    <row r="70" spans="1:9" ht="17.25" hidden="1" customHeight="1">
      <c r="A70" s="30"/>
      <c r="B70" s="14" t="s">
        <v>54</v>
      </c>
      <c r="C70" s="16" t="s">
        <v>55</v>
      </c>
      <c r="D70" s="14" t="s">
        <v>51</v>
      </c>
      <c r="E70" s="18">
        <v>5</v>
      </c>
      <c r="F70" s="13">
        <f t="shared" si="10"/>
        <v>5</v>
      </c>
      <c r="G70" s="13">
        <v>53.32</v>
      </c>
      <c r="H70" s="76">
        <f t="shared" si="8"/>
        <v>0.2666</v>
      </c>
      <c r="I70" s="13">
        <f t="shared" si="9"/>
        <v>266.60000000000002</v>
      </c>
    </row>
    <row r="71" spans="1:9">
      <c r="A71" s="30"/>
      <c r="B71" s="95" t="s">
        <v>139</v>
      </c>
      <c r="C71" s="49"/>
      <c r="D71" s="14"/>
      <c r="E71" s="18"/>
      <c r="F71" s="13"/>
      <c r="G71" s="13"/>
      <c r="H71" s="76"/>
      <c r="I71" s="13"/>
    </row>
    <row r="72" spans="1:9" ht="24" customHeight="1">
      <c r="A72" s="30">
        <v>19</v>
      </c>
      <c r="B72" s="36" t="s">
        <v>140</v>
      </c>
      <c r="C72" s="176" t="s">
        <v>141</v>
      </c>
      <c r="D72" s="36"/>
      <c r="E72" s="17">
        <v>4731.7</v>
      </c>
      <c r="F72" s="35">
        <f>SUM(E72*12)</f>
        <v>56780.399999999994</v>
      </c>
      <c r="G72" s="115">
        <v>2.4900000000000002</v>
      </c>
      <c r="H72" s="76">
        <f t="shared" ref="H72" si="11">SUM(F72*G72/1000)</f>
        <v>141.383196</v>
      </c>
      <c r="I72" s="13">
        <f>F72/12*G72</f>
        <v>11781.933000000001</v>
      </c>
    </row>
    <row r="73" spans="1:9">
      <c r="A73" s="30"/>
      <c r="B73" s="109" t="s">
        <v>67</v>
      </c>
      <c r="C73" s="16"/>
      <c r="D73" s="14"/>
      <c r="E73" s="18"/>
      <c r="F73" s="13"/>
      <c r="G73" s="13"/>
      <c r="H73" s="76" t="s">
        <v>118</v>
      </c>
      <c r="I73" s="13"/>
    </row>
    <row r="74" spans="1:9" ht="30" hidden="1">
      <c r="A74" s="30"/>
      <c r="B74" s="14" t="s">
        <v>142</v>
      </c>
      <c r="C74" s="16" t="s">
        <v>97</v>
      </c>
      <c r="D74" s="14" t="s">
        <v>63</v>
      </c>
      <c r="E74" s="18">
        <v>1</v>
      </c>
      <c r="F74" s="13">
        <v>1</v>
      </c>
      <c r="G74" s="13">
        <v>1543.4</v>
      </c>
      <c r="H74" s="76">
        <f t="shared" ref="H74:H77" si="12">SUM(F74*G74/1000)</f>
        <v>1.5434000000000001</v>
      </c>
      <c r="I74" s="13">
        <v>0</v>
      </c>
    </row>
    <row r="75" spans="1:9" hidden="1">
      <c r="A75" s="30">
        <v>19</v>
      </c>
      <c r="B75" s="47" t="s">
        <v>143</v>
      </c>
      <c r="C75" s="49" t="s">
        <v>97</v>
      </c>
      <c r="D75" s="14" t="s">
        <v>63</v>
      </c>
      <c r="E75" s="18">
        <v>4</v>
      </c>
      <c r="F75" s="13">
        <v>1</v>
      </c>
      <c r="G75" s="13">
        <v>130.96</v>
      </c>
      <c r="H75" s="76">
        <f>SUM(F75*G75/1000)</f>
        <v>0.13096000000000002</v>
      </c>
      <c r="I75" s="13">
        <v>0</v>
      </c>
    </row>
    <row r="76" spans="1:9" hidden="1">
      <c r="A76" s="30">
        <v>22</v>
      </c>
      <c r="B76" s="14" t="s">
        <v>68</v>
      </c>
      <c r="C76" s="16" t="s">
        <v>69</v>
      </c>
      <c r="D76" s="14" t="s">
        <v>63</v>
      </c>
      <c r="E76" s="18">
        <v>8</v>
      </c>
      <c r="F76" s="13">
        <f>E76/10</f>
        <v>0.8</v>
      </c>
      <c r="G76" s="13">
        <v>657.87</v>
      </c>
      <c r="H76" s="76">
        <f t="shared" si="12"/>
        <v>0.5262960000000001</v>
      </c>
      <c r="I76" s="13">
        <f>G76*0.3</f>
        <v>197.36099999999999</v>
      </c>
    </row>
    <row r="77" spans="1:9" hidden="1">
      <c r="A77" s="30"/>
      <c r="B77" s="14" t="s">
        <v>144</v>
      </c>
      <c r="C77" s="16" t="s">
        <v>97</v>
      </c>
      <c r="D77" s="14" t="s">
        <v>63</v>
      </c>
      <c r="E77" s="18">
        <v>1</v>
      </c>
      <c r="F77" s="64">
        <f>SUM(E77)</f>
        <v>1</v>
      </c>
      <c r="G77" s="13">
        <v>1118.72</v>
      </c>
      <c r="H77" s="76">
        <f t="shared" si="12"/>
        <v>1.1187199999999999</v>
      </c>
      <c r="I77" s="13">
        <v>0</v>
      </c>
    </row>
    <row r="78" spans="1:9" hidden="1">
      <c r="A78" s="30"/>
      <c r="B78" s="47" t="s">
        <v>145</v>
      </c>
      <c r="C78" s="49" t="s">
        <v>97</v>
      </c>
      <c r="D78" s="14" t="s">
        <v>63</v>
      </c>
      <c r="E78" s="18">
        <v>1</v>
      </c>
      <c r="F78" s="56">
        <v>1</v>
      </c>
      <c r="G78" s="13">
        <v>3757.02</v>
      </c>
      <c r="H78" s="76">
        <f>SUM(F78*G78/1000)</f>
        <v>3.7570199999999998</v>
      </c>
      <c r="I78" s="13">
        <v>0</v>
      </c>
    </row>
    <row r="79" spans="1:9">
      <c r="A79" s="30">
        <v>20</v>
      </c>
      <c r="B79" s="105" t="s">
        <v>146</v>
      </c>
      <c r="C79" s="106" t="s">
        <v>97</v>
      </c>
      <c r="D79" s="36" t="s">
        <v>173</v>
      </c>
      <c r="E79" s="177">
        <v>2</v>
      </c>
      <c r="F79" s="175">
        <f>E79*12</f>
        <v>24</v>
      </c>
      <c r="G79" s="182">
        <v>404</v>
      </c>
      <c r="H79" s="76">
        <f t="shared" ref="H79" si="13">SUM(F79*G79/1000)</f>
        <v>9.6959999999999997</v>
      </c>
      <c r="I79" s="13">
        <f>F79/12*G79</f>
        <v>808</v>
      </c>
    </row>
    <row r="80" spans="1:9" hidden="1">
      <c r="A80" s="30"/>
      <c r="B80" s="79" t="s">
        <v>70</v>
      </c>
      <c r="C80" s="16"/>
      <c r="D80" s="14"/>
      <c r="E80" s="18"/>
      <c r="F80" s="13"/>
      <c r="G80" s="13" t="s">
        <v>118</v>
      </c>
      <c r="H80" s="76" t="s">
        <v>118</v>
      </c>
      <c r="I80" s="13"/>
    </row>
    <row r="81" spans="1:9" hidden="1">
      <c r="A81" s="30"/>
      <c r="B81" s="44" t="s">
        <v>110</v>
      </c>
      <c r="C81" s="16" t="s">
        <v>71</v>
      </c>
      <c r="D81" s="14"/>
      <c r="E81" s="18"/>
      <c r="F81" s="13">
        <v>0.3</v>
      </c>
      <c r="G81" s="13">
        <v>3619.09</v>
      </c>
      <c r="H81" s="76">
        <f t="shared" si="8"/>
        <v>1.0857270000000001</v>
      </c>
      <c r="I81" s="13">
        <v>0</v>
      </c>
    </row>
    <row r="82" spans="1:9" ht="28.5" hidden="1">
      <c r="A82" s="30"/>
      <c r="B82" s="96" t="s">
        <v>86</v>
      </c>
      <c r="C82" s="79"/>
      <c r="D82" s="32"/>
      <c r="E82" s="33"/>
      <c r="F82" s="67"/>
      <c r="G82" s="67"/>
      <c r="H82" s="80">
        <f>SUM(H55:H81)</f>
        <v>340.9679302400001</v>
      </c>
      <c r="I82" s="67"/>
    </row>
    <row r="83" spans="1:9" hidden="1">
      <c r="A83" s="30"/>
      <c r="B83" s="61" t="s">
        <v>103</v>
      </c>
      <c r="C83" s="16"/>
      <c r="D83" s="14"/>
      <c r="E83" s="57"/>
      <c r="F83" s="13">
        <v>1</v>
      </c>
      <c r="G83" s="13">
        <v>20512</v>
      </c>
      <c r="H83" s="76">
        <f>G83*F83/1000</f>
        <v>20.512</v>
      </c>
      <c r="I83" s="13">
        <v>0</v>
      </c>
    </row>
    <row r="84" spans="1:9">
      <c r="A84" s="230" t="s">
        <v>123</v>
      </c>
      <c r="B84" s="231"/>
      <c r="C84" s="231"/>
      <c r="D84" s="231"/>
      <c r="E84" s="231"/>
      <c r="F84" s="231"/>
      <c r="G84" s="231"/>
      <c r="H84" s="231"/>
      <c r="I84" s="232"/>
    </row>
    <row r="85" spans="1:9">
      <c r="A85" s="30">
        <v>21</v>
      </c>
      <c r="B85" s="113" t="s">
        <v>104</v>
      </c>
      <c r="C85" s="168" t="s">
        <v>52</v>
      </c>
      <c r="D85" s="169"/>
      <c r="E85" s="115">
        <v>4731.7</v>
      </c>
      <c r="F85" s="115">
        <f>SUM(E85*12)</f>
        <v>56780.399999999994</v>
      </c>
      <c r="G85" s="115">
        <v>3.38</v>
      </c>
      <c r="H85" s="76">
        <f>SUM(F85*G85/1000)</f>
        <v>191.91775199999998</v>
      </c>
      <c r="I85" s="13">
        <f>F85/12*G85</f>
        <v>15993.145999999999</v>
      </c>
    </row>
    <row r="86" spans="1:9" ht="30">
      <c r="A86" s="30">
        <v>22</v>
      </c>
      <c r="B86" s="36" t="s">
        <v>72</v>
      </c>
      <c r="C86" s="168"/>
      <c r="D86" s="48"/>
      <c r="E86" s="163">
        <f>E85</f>
        <v>4731.7</v>
      </c>
      <c r="F86" s="115">
        <f>E86*12</f>
        <v>56780.399999999994</v>
      </c>
      <c r="G86" s="115">
        <v>3.05</v>
      </c>
      <c r="H86" s="76">
        <f>F86*G86/1000</f>
        <v>173.18021999999996</v>
      </c>
      <c r="I86" s="13">
        <f>F86/12*G86</f>
        <v>14431.684999999999</v>
      </c>
    </row>
    <row r="87" spans="1:9">
      <c r="A87" s="30"/>
      <c r="B87" s="37" t="s">
        <v>74</v>
      </c>
      <c r="C87" s="79"/>
      <c r="D87" s="78"/>
      <c r="E87" s="67"/>
      <c r="F87" s="67"/>
      <c r="G87" s="67"/>
      <c r="H87" s="80">
        <f>H86</f>
        <v>173.18021999999996</v>
      </c>
      <c r="I87" s="67">
        <f>I86+I85+I79+I72+I61+I52+I51+I50+I49+I48+I47+I46+I45+I44+I32+I31+I30+I29+I18+I17+I16+I58</f>
        <v>106178.02213276665</v>
      </c>
    </row>
    <row r="88" spans="1:9">
      <c r="A88" s="227" t="s">
        <v>57</v>
      </c>
      <c r="B88" s="228"/>
      <c r="C88" s="228"/>
      <c r="D88" s="228"/>
      <c r="E88" s="228"/>
      <c r="F88" s="228"/>
      <c r="G88" s="228"/>
      <c r="H88" s="228"/>
      <c r="I88" s="229"/>
    </row>
    <row r="89" spans="1:9" ht="30">
      <c r="A89" s="30">
        <v>23</v>
      </c>
      <c r="B89" s="181" t="s">
        <v>247</v>
      </c>
      <c r="C89" s="176" t="s">
        <v>248</v>
      </c>
      <c r="D89" s="192" t="s">
        <v>249</v>
      </c>
      <c r="E89" s="167"/>
      <c r="F89" s="167">
        <v>2</v>
      </c>
      <c r="G89" s="167">
        <v>2287.54</v>
      </c>
      <c r="H89" s="76"/>
      <c r="I89" s="13">
        <f>G89*1</f>
        <v>2287.54</v>
      </c>
    </row>
    <row r="90" spans="1:9">
      <c r="A90" s="30">
        <v>24</v>
      </c>
      <c r="B90" s="105" t="s">
        <v>268</v>
      </c>
      <c r="C90" s="106" t="s">
        <v>29</v>
      </c>
      <c r="D90" s="202"/>
      <c r="E90" s="167"/>
      <c r="F90" s="167">
        <v>4.4320000000000004</v>
      </c>
      <c r="G90" s="167">
        <v>241.69</v>
      </c>
      <c r="H90" s="84"/>
      <c r="I90" s="13">
        <f>G90*4.432</f>
        <v>1071.1700800000001</v>
      </c>
    </row>
    <row r="91" spans="1:9" ht="30">
      <c r="A91" s="30">
        <v>25</v>
      </c>
      <c r="B91" s="105" t="s">
        <v>251</v>
      </c>
      <c r="C91" s="106" t="s">
        <v>120</v>
      </c>
      <c r="D91" s="202" t="s">
        <v>257</v>
      </c>
      <c r="E91" s="167"/>
      <c r="F91" s="167">
        <v>35</v>
      </c>
      <c r="G91" s="167">
        <v>730</v>
      </c>
      <c r="H91" s="84"/>
      <c r="I91" s="13">
        <f>G91*35</f>
        <v>25550</v>
      </c>
    </row>
    <row r="92" spans="1:9">
      <c r="A92" s="30">
        <v>26</v>
      </c>
      <c r="B92" s="105" t="s">
        <v>150</v>
      </c>
      <c r="C92" s="106" t="s">
        <v>120</v>
      </c>
      <c r="D92" s="192" t="s">
        <v>207</v>
      </c>
      <c r="E92" s="167"/>
      <c r="F92" s="167">
        <v>2</v>
      </c>
      <c r="G92" s="167">
        <v>295.36</v>
      </c>
      <c r="H92" s="84"/>
      <c r="I92" s="13">
        <v>0</v>
      </c>
    </row>
    <row r="93" spans="1:9" ht="30">
      <c r="A93" s="30">
        <v>27</v>
      </c>
      <c r="B93" s="181" t="s">
        <v>127</v>
      </c>
      <c r="C93" s="176" t="s">
        <v>128</v>
      </c>
      <c r="D93" s="201">
        <v>44320</v>
      </c>
      <c r="E93" s="167"/>
      <c r="F93" s="167">
        <v>0.2</v>
      </c>
      <c r="G93" s="167">
        <v>1948.52</v>
      </c>
      <c r="H93" s="84"/>
      <c r="I93" s="13">
        <f>G93*0.2</f>
        <v>389.70400000000001</v>
      </c>
    </row>
    <row r="94" spans="1:9">
      <c r="A94" s="30">
        <v>28</v>
      </c>
      <c r="B94" s="105" t="s">
        <v>174</v>
      </c>
      <c r="C94" s="106" t="s">
        <v>175</v>
      </c>
      <c r="D94" s="192"/>
      <c r="E94" s="167"/>
      <c r="F94" s="167">
        <v>1</v>
      </c>
      <c r="G94" s="167">
        <v>960.31</v>
      </c>
      <c r="H94" s="84"/>
      <c r="I94" s="13">
        <f>G94*1</f>
        <v>960.31</v>
      </c>
    </row>
    <row r="95" spans="1:9">
      <c r="A95" s="30">
        <v>29</v>
      </c>
      <c r="B95" s="105" t="s">
        <v>75</v>
      </c>
      <c r="C95" s="106" t="s">
        <v>97</v>
      </c>
      <c r="D95" s="192"/>
      <c r="E95" s="167"/>
      <c r="F95" s="167">
        <v>1</v>
      </c>
      <c r="G95" s="167">
        <v>224.48</v>
      </c>
      <c r="H95" s="84"/>
      <c r="I95" s="13">
        <f>G95*1</f>
        <v>224.48</v>
      </c>
    </row>
    <row r="96" spans="1:9">
      <c r="A96" s="30">
        <v>30</v>
      </c>
      <c r="B96" s="105" t="s">
        <v>252</v>
      </c>
      <c r="C96" s="106" t="s">
        <v>152</v>
      </c>
      <c r="D96" s="192" t="s">
        <v>254</v>
      </c>
      <c r="E96" s="167"/>
      <c r="F96" s="167">
        <v>1</v>
      </c>
      <c r="G96" s="167">
        <v>344.83</v>
      </c>
      <c r="H96" s="84"/>
      <c r="I96" s="13">
        <f>G96*1</f>
        <v>344.83</v>
      </c>
    </row>
    <row r="97" spans="1:9" ht="30">
      <c r="A97" s="30">
        <v>31</v>
      </c>
      <c r="B97" s="105" t="s">
        <v>193</v>
      </c>
      <c r="C97" s="106" t="s">
        <v>36</v>
      </c>
      <c r="D97" s="192" t="s">
        <v>173</v>
      </c>
      <c r="E97" s="167"/>
      <c r="F97" s="167">
        <v>0.03</v>
      </c>
      <c r="G97" s="167">
        <v>4273.32</v>
      </c>
      <c r="H97" s="84"/>
      <c r="I97" s="13">
        <v>0</v>
      </c>
    </row>
    <row r="98" spans="1:9" ht="30">
      <c r="A98" s="30">
        <v>32</v>
      </c>
      <c r="B98" s="105" t="s">
        <v>238</v>
      </c>
      <c r="C98" s="106" t="s">
        <v>120</v>
      </c>
      <c r="D98" s="192" t="s">
        <v>255</v>
      </c>
      <c r="E98" s="167"/>
      <c r="F98" s="167">
        <v>23</v>
      </c>
      <c r="G98" s="167">
        <v>1584.54</v>
      </c>
      <c r="H98" s="84"/>
      <c r="I98" s="13">
        <f>G98*7</f>
        <v>11091.779999999999</v>
      </c>
    </row>
    <row r="99" spans="1:9" ht="30">
      <c r="A99" s="30">
        <v>33</v>
      </c>
      <c r="B99" s="105" t="s">
        <v>253</v>
      </c>
      <c r="C99" s="106" t="s">
        <v>120</v>
      </c>
      <c r="D99" s="192" t="s">
        <v>256</v>
      </c>
      <c r="E99" s="167"/>
      <c r="F99" s="167">
        <v>1</v>
      </c>
      <c r="G99" s="167">
        <v>1380.91</v>
      </c>
      <c r="H99" s="84"/>
      <c r="I99" s="13">
        <f>G99*1</f>
        <v>1380.91</v>
      </c>
    </row>
    <row r="100" spans="1:9">
      <c r="A100" s="30">
        <v>34</v>
      </c>
      <c r="B100" s="105" t="s">
        <v>251</v>
      </c>
      <c r="C100" s="106" t="s">
        <v>281</v>
      </c>
      <c r="D100" s="192" t="s">
        <v>282</v>
      </c>
      <c r="E100" s="167"/>
      <c r="F100" s="167">
        <v>20</v>
      </c>
      <c r="G100" s="167">
        <v>404.52</v>
      </c>
      <c r="H100" s="84"/>
      <c r="I100" s="13">
        <f>G100*20</f>
        <v>8090.4</v>
      </c>
    </row>
    <row r="101" spans="1:9">
      <c r="A101" s="30">
        <v>35</v>
      </c>
      <c r="B101" s="105" t="s">
        <v>267</v>
      </c>
      <c r="C101" s="106" t="s">
        <v>152</v>
      </c>
      <c r="D101" s="192" t="s">
        <v>293</v>
      </c>
      <c r="E101" s="167"/>
      <c r="F101" s="167">
        <v>1</v>
      </c>
      <c r="G101" s="167">
        <v>138.44999999999999</v>
      </c>
      <c r="H101" s="76"/>
      <c r="I101" s="13">
        <f>G101*1</f>
        <v>138.44999999999999</v>
      </c>
    </row>
    <row r="102" spans="1:9">
      <c r="A102" s="30"/>
      <c r="B102" s="42" t="s">
        <v>49</v>
      </c>
      <c r="C102" s="38"/>
      <c r="D102" s="45"/>
      <c r="E102" s="38">
        <v>1</v>
      </c>
      <c r="F102" s="38"/>
      <c r="G102" s="38"/>
      <c r="H102" s="38"/>
      <c r="I102" s="33">
        <f>SUM(I89:I101)</f>
        <v>51529.574080000006</v>
      </c>
    </row>
    <row r="103" spans="1:9">
      <c r="A103" s="30"/>
      <c r="B103" s="44" t="s">
        <v>73</v>
      </c>
      <c r="C103" s="15"/>
      <c r="D103" s="15"/>
      <c r="E103" s="39"/>
      <c r="F103" s="39"/>
      <c r="G103" s="40"/>
      <c r="H103" s="40"/>
      <c r="I103" s="17">
        <v>0</v>
      </c>
    </row>
    <row r="104" spans="1:9">
      <c r="A104" s="46"/>
      <c r="B104" s="43" t="s">
        <v>131</v>
      </c>
      <c r="C104" s="34"/>
      <c r="D104" s="34"/>
      <c r="E104" s="34"/>
      <c r="F104" s="34"/>
      <c r="G104" s="34"/>
      <c r="H104" s="34"/>
      <c r="I104" s="41">
        <f>I87+I102</f>
        <v>157707.59621276666</v>
      </c>
    </row>
    <row r="105" spans="1:9" ht="15.75">
      <c r="A105" s="224" t="s">
        <v>294</v>
      </c>
      <c r="B105" s="224"/>
      <c r="C105" s="224"/>
      <c r="D105" s="224"/>
      <c r="E105" s="224"/>
      <c r="F105" s="224"/>
      <c r="G105" s="224"/>
      <c r="H105" s="224"/>
      <c r="I105" s="224"/>
    </row>
    <row r="106" spans="1:9" ht="15.75">
      <c r="A106" s="55"/>
      <c r="B106" s="225" t="s">
        <v>295</v>
      </c>
      <c r="C106" s="225"/>
      <c r="D106" s="225"/>
      <c r="E106" s="225"/>
      <c r="F106" s="225"/>
      <c r="G106" s="225"/>
      <c r="H106" s="60"/>
      <c r="I106" s="3"/>
    </row>
    <row r="107" spans="1:9">
      <c r="A107" s="107"/>
      <c r="B107" s="215" t="s">
        <v>6</v>
      </c>
      <c r="C107" s="215"/>
      <c r="D107" s="215"/>
      <c r="E107" s="215"/>
      <c r="F107" s="215"/>
      <c r="G107" s="215"/>
      <c r="H107" s="25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226" t="s">
        <v>7</v>
      </c>
      <c r="B109" s="226"/>
      <c r="C109" s="226"/>
      <c r="D109" s="226"/>
      <c r="E109" s="226"/>
      <c r="F109" s="226"/>
      <c r="G109" s="226"/>
      <c r="H109" s="226"/>
      <c r="I109" s="226"/>
    </row>
    <row r="110" spans="1:9" ht="15.75">
      <c r="A110" s="226" t="s">
        <v>8</v>
      </c>
      <c r="B110" s="226"/>
      <c r="C110" s="226"/>
      <c r="D110" s="226"/>
      <c r="E110" s="226"/>
      <c r="F110" s="226"/>
      <c r="G110" s="226"/>
      <c r="H110" s="226"/>
      <c r="I110" s="226"/>
    </row>
    <row r="111" spans="1:9" ht="15.75">
      <c r="A111" s="219" t="s">
        <v>58</v>
      </c>
      <c r="B111" s="219"/>
      <c r="C111" s="219"/>
      <c r="D111" s="219"/>
      <c r="E111" s="219"/>
      <c r="F111" s="219"/>
      <c r="G111" s="219"/>
      <c r="H111" s="219"/>
      <c r="I111" s="219"/>
    </row>
    <row r="112" spans="1:9" ht="15.75">
      <c r="A112" s="11"/>
    </row>
    <row r="113" spans="1:9" ht="15.75">
      <c r="A113" s="213" t="s">
        <v>9</v>
      </c>
      <c r="B113" s="213"/>
      <c r="C113" s="213"/>
      <c r="D113" s="213"/>
      <c r="E113" s="213"/>
      <c r="F113" s="213"/>
      <c r="G113" s="213"/>
      <c r="H113" s="213"/>
      <c r="I113" s="213"/>
    </row>
    <row r="114" spans="1:9" ht="15.75">
      <c r="A114" s="4"/>
    </row>
    <row r="115" spans="1:9" ht="15.75">
      <c r="B115" s="110" t="s">
        <v>10</v>
      </c>
      <c r="C115" s="214" t="s">
        <v>201</v>
      </c>
      <c r="D115" s="214"/>
      <c r="E115" s="214"/>
      <c r="F115" s="58"/>
      <c r="I115" s="112"/>
    </row>
    <row r="116" spans="1:9">
      <c r="A116" s="107"/>
      <c r="C116" s="215" t="s">
        <v>11</v>
      </c>
      <c r="D116" s="215"/>
      <c r="E116" s="215"/>
      <c r="F116" s="25"/>
      <c r="I116" s="111" t="s">
        <v>12</v>
      </c>
    </row>
    <row r="117" spans="1:9" ht="15.75">
      <c r="A117" s="26"/>
      <c r="C117" s="12"/>
      <c r="D117" s="12"/>
      <c r="G117" s="12"/>
      <c r="H117" s="12"/>
    </row>
    <row r="118" spans="1:9" ht="15.75">
      <c r="B118" s="110" t="s">
        <v>13</v>
      </c>
      <c r="C118" s="216"/>
      <c r="D118" s="216"/>
      <c r="E118" s="216"/>
      <c r="F118" s="59"/>
      <c r="I118" s="112"/>
    </row>
    <row r="119" spans="1:9">
      <c r="A119" s="107"/>
      <c r="C119" s="217" t="s">
        <v>11</v>
      </c>
      <c r="D119" s="217"/>
      <c r="E119" s="217"/>
      <c r="F119" s="107"/>
      <c r="I119" s="111" t="s">
        <v>12</v>
      </c>
    </row>
    <row r="120" spans="1:9" ht="15.75">
      <c r="A120" s="4" t="s">
        <v>14</v>
      </c>
    </row>
    <row r="121" spans="1:9">
      <c r="A121" s="218" t="s">
        <v>15</v>
      </c>
      <c r="B121" s="218"/>
      <c r="C121" s="218"/>
      <c r="D121" s="218"/>
      <c r="E121" s="218"/>
      <c r="F121" s="218"/>
      <c r="G121" s="218"/>
      <c r="H121" s="218"/>
      <c r="I121" s="218"/>
    </row>
    <row r="122" spans="1:9" ht="47.25" customHeight="1">
      <c r="A122" s="212" t="s">
        <v>16</v>
      </c>
      <c r="B122" s="212"/>
      <c r="C122" s="212"/>
      <c r="D122" s="212"/>
      <c r="E122" s="212"/>
      <c r="F122" s="212"/>
      <c r="G122" s="212"/>
      <c r="H122" s="212"/>
      <c r="I122" s="212"/>
    </row>
    <row r="123" spans="1:9" ht="47.25" customHeight="1">
      <c r="A123" s="212" t="s">
        <v>17</v>
      </c>
      <c r="B123" s="212"/>
      <c r="C123" s="212"/>
      <c r="D123" s="212"/>
      <c r="E123" s="212"/>
      <c r="F123" s="212"/>
      <c r="G123" s="212"/>
      <c r="H123" s="212"/>
      <c r="I123" s="212"/>
    </row>
    <row r="124" spans="1:9" ht="42.75" customHeight="1">
      <c r="A124" s="212" t="s">
        <v>21</v>
      </c>
      <c r="B124" s="212"/>
      <c r="C124" s="212"/>
      <c r="D124" s="212"/>
      <c r="E124" s="212"/>
      <c r="F124" s="212"/>
      <c r="G124" s="212"/>
      <c r="H124" s="212"/>
      <c r="I124" s="212"/>
    </row>
    <row r="125" spans="1:9" ht="15.75">
      <c r="A125" s="212" t="s">
        <v>20</v>
      </c>
      <c r="B125" s="212"/>
      <c r="C125" s="212"/>
      <c r="D125" s="212"/>
      <c r="E125" s="212"/>
      <c r="F125" s="212"/>
      <c r="G125" s="212"/>
      <c r="H125" s="212"/>
      <c r="I125" s="212"/>
    </row>
  </sheetData>
  <mergeCells count="28">
    <mergeCell ref="A111:I111"/>
    <mergeCell ref="A3:I3"/>
    <mergeCell ref="A8:I8"/>
    <mergeCell ref="A27:I27"/>
    <mergeCell ref="A4:I4"/>
    <mergeCell ref="A5:I5"/>
    <mergeCell ref="A10:I10"/>
    <mergeCell ref="A14:I14"/>
    <mergeCell ref="A15:I15"/>
    <mergeCell ref="A43:I43"/>
    <mergeCell ref="A53:I53"/>
    <mergeCell ref="A84:I84"/>
    <mergeCell ref="A124:I124"/>
    <mergeCell ref="A125:I125"/>
    <mergeCell ref="A88:I88"/>
    <mergeCell ref="A105:I105"/>
    <mergeCell ref="B106:G106"/>
    <mergeCell ref="B107:G107"/>
    <mergeCell ref="A110:I110"/>
    <mergeCell ref="A113:I113"/>
    <mergeCell ref="A121:I121"/>
    <mergeCell ref="A122:I122"/>
    <mergeCell ref="A123:I123"/>
    <mergeCell ref="C119:E119"/>
    <mergeCell ref="C116:E116"/>
    <mergeCell ref="C115:E115"/>
    <mergeCell ref="C118:E118"/>
    <mergeCell ref="A109:I109"/>
  </mergeCells>
  <pageMargins left="0.11811023622047245" right="0" top="0.35433070866141736" bottom="0.35433070866141736" header="0.31496062992125984" footer="0.31496062992125984"/>
  <pageSetup paperSize="9" scale="70" orientation="portrait" horizontalDpi="0" verticalDpi="0" r:id="rId1"/>
  <rowBreaks count="1" manualBreakCount="1">
    <brk id="96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127"/>
  <sheetViews>
    <sheetView view="pageBreakPreview" topLeftCell="A53" zoomScale="60" zoomScaleNormal="100" workbookViewId="0">
      <selection activeCell="B101" sqref="B101:I101"/>
    </sheetView>
  </sheetViews>
  <sheetFormatPr defaultRowHeight="15"/>
  <cols>
    <col min="1" max="1" width="9.85546875" customWidth="1"/>
    <col min="2" max="2" width="49" customWidth="1"/>
    <col min="3" max="3" width="23.7109375" customWidth="1"/>
    <col min="4" max="4" width="22.140625" customWidth="1"/>
    <col min="5" max="5" width="0" hidden="1" customWidth="1"/>
    <col min="6" max="6" width="16.5703125" hidden="1" customWidth="1"/>
    <col min="7" max="7" width="21" customWidth="1"/>
    <col min="8" max="8" width="0" hidden="1" customWidth="1"/>
    <col min="9" max="9" width="21.140625" customWidth="1"/>
  </cols>
  <sheetData>
    <row r="1" spans="1:9" ht="15.75">
      <c r="A1" s="28" t="s">
        <v>158</v>
      </c>
      <c r="I1" s="27"/>
    </row>
    <row r="2" spans="1:9" ht="15.75">
      <c r="A2" s="29" t="s">
        <v>59</v>
      </c>
    </row>
    <row r="3" spans="1:9" ht="15.75">
      <c r="A3" s="233" t="s">
        <v>155</v>
      </c>
      <c r="B3" s="233"/>
      <c r="C3" s="233"/>
      <c r="D3" s="233"/>
      <c r="E3" s="233"/>
      <c r="F3" s="233"/>
      <c r="G3" s="233"/>
      <c r="H3" s="233"/>
      <c r="I3" s="233"/>
    </row>
    <row r="4" spans="1:9" ht="33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258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19"/>
      <c r="C6" s="119"/>
      <c r="D6" s="119"/>
      <c r="E6" s="119"/>
      <c r="F6" s="119"/>
      <c r="G6" s="119"/>
      <c r="H6" s="119"/>
      <c r="I6" s="31">
        <v>44377</v>
      </c>
    </row>
    <row r="7" spans="1:9" ht="15.75">
      <c r="B7" s="121"/>
      <c r="C7" s="121"/>
      <c r="D7" s="121"/>
      <c r="E7" s="3"/>
      <c r="F7" s="3"/>
      <c r="G7" s="3"/>
      <c r="H7" s="3"/>
    </row>
    <row r="8" spans="1:9" ht="83.25" customHeight="1">
      <c r="A8" s="236" t="s">
        <v>203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69.75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66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</row>
    <row r="16" spans="1:9" ht="18.75" customHeight="1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7.25" customHeight="1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6.5" customHeight="1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t="19.5" customHeight="1">
      <c r="A19" s="30">
        <v>4</v>
      </c>
      <c r="B19" s="113" t="s">
        <v>87</v>
      </c>
      <c r="C19" s="114" t="s">
        <v>88</v>
      </c>
      <c r="D19" s="113" t="s">
        <v>194</v>
      </c>
      <c r="E19" s="165">
        <v>42.2</v>
      </c>
      <c r="F19" s="116">
        <f>SUM(E19/10)</f>
        <v>4.2200000000000006</v>
      </c>
      <c r="G19" s="116">
        <v>243.94</v>
      </c>
      <c r="H19" s="65">
        <f t="shared" si="0"/>
        <v>1.0294268000000002</v>
      </c>
      <c r="I19" s="13">
        <f>F19*G19</f>
        <v>1029.4268000000002</v>
      </c>
    </row>
    <row r="20" spans="1:9" hidden="1">
      <c r="A20" s="30">
        <v>5</v>
      </c>
      <c r="B20" s="113" t="s">
        <v>90</v>
      </c>
      <c r="C20" s="114" t="s">
        <v>80</v>
      </c>
      <c r="D20" s="113" t="s">
        <v>173</v>
      </c>
      <c r="E20" s="165">
        <v>14</v>
      </c>
      <c r="F20" s="116">
        <f>SUM(E20*2/100)</f>
        <v>0.28000000000000003</v>
      </c>
      <c r="G20" s="116">
        <v>312.35000000000002</v>
      </c>
      <c r="H20" s="65">
        <f t="shared" si="0"/>
        <v>8.7458000000000008E-2</v>
      </c>
      <c r="I20" s="13">
        <f>F20/2*G20</f>
        <v>43.729000000000006</v>
      </c>
    </row>
    <row r="21" spans="1:9" hidden="1">
      <c r="A21" s="30">
        <v>6</v>
      </c>
      <c r="B21" s="113" t="s">
        <v>91</v>
      </c>
      <c r="C21" s="114" t="s">
        <v>80</v>
      </c>
      <c r="D21" s="113" t="s">
        <v>181</v>
      </c>
      <c r="E21" s="165">
        <v>6</v>
      </c>
      <c r="F21" s="116">
        <f>SUM(E21*1/100)</f>
        <v>0.06</v>
      </c>
      <c r="G21" s="116">
        <v>309.81</v>
      </c>
      <c r="H21" s="65">
        <f>SUM(F21*G21/1000)</f>
        <v>1.85886E-2</v>
      </c>
      <c r="I21" s="13">
        <f>F21*G21</f>
        <v>18.5886</v>
      </c>
    </row>
    <row r="22" spans="1:9" hidden="1">
      <c r="A22" s="30">
        <v>7</v>
      </c>
      <c r="B22" s="113" t="s">
        <v>92</v>
      </c>
      <c r="C22" s="114" t="s">
        <v>50</v>
      </c>
      <c r="D22" s="113" t="s">
        <v>195</v>
      </c>
      <c r="E22" s="165">
        <v>640</v>
      </c>
      <c r="F22" s="116">
        <f>SUM(E22/100)</f>
        <v>6.4</v>
      </c>
      <c r="G22" s="116">
        <v>386</v>
      </c>
      <c r="H22" s="65">
        <f t="shared" si="0"/>
        <v>2.4704000000000002</v>
      </c>
      <c r="I22" s="13">
        <f t="shared" ref="I22:I25" si="1">F22*G22</f>
        <v>2470.4</v>
      </c>
    </row>
    <row r="23" spans="1:9" hidden="1">
      <c r="A23" s="30">
        <v>8</v>
      </c>
      <c r="B23" s="113" t="s">
        <v>93</v>
      </c>
      <c r="C23" s="114" t="s">
        <v>50</v>
      </c>
      <c r="D23" s="113" t="s">
        <v>194</v>
      </c>
      <c r="E23" s="194">
        <v>49</v>
      </c>
      <c r="F23" s="116">
        <f>SUM(E23/100)</f>
        <v>0.49</v>
      </c>
      <c r="G23" s="116">
        <v>63.49</v>
      </c>
      <c r="H23" s="65">
        <f t="shared" si="0"/>
        <v>3.1110099999999998E-2</v>
      </c>
      <c r="I23" s="13">
        <f t="shared" si="1"/>
        <v>31.110099999999999</v>
      </c>
    </row>
    <row r="24" spans="1:9" hidden="1">
      <c r="A24" s="30">
        <v>9</v>
      </c>
      <c r="B24" s="113" t="s">
        <v>94</v>
      </c>
      <c r="C24" s="114" t="s">
        <v>50</v>
      </c>
      <c r="D24" s="113" t="s">
        <v>173</v>
      </c>
      <c r="E24" s="165">
        <v>8.5</v>
      </c>
      <c r="F24" s="116">
        <f>SUM(E24/100)</f>
        <v>8.5000000000000006E-2</v>
      </c>
      <c r="G24" s="116">
        <v>746.6</v>
      </c>
      <c r="H24" s="65">
        <f t="shared" si="0"/>
        <v>6.3461000000000004E-2</v>
      </c>
      <c r="I24" s="13">
        <f t="shared" si="1"/>
        <v>63.461000000000006</v>
      </c>
    </row>
    <row r="25" spans="1:9" ht="30" hidden="1">
      <c r="A25" s="30">
        <v>10</v>
      </c>
      <c r="B25" s="113" t="s">
        <v>109</v>
      </c>
      <c r="C25" s="114" t="s">
        <v>50</v>
      </c>
      <c r="D25" s="113" t="s">
        <v>181</v>
      </c>
      <c r="E25" s="165">
        <v>19</v>
      </c>
      <c r="F25" s="116">
        <f>E25/100</f>
        <v>0.19</v>
      </c>
      <c r="G25" s="116">
        <v>309.81</v>
      </c>
      <c r="H25" s="65">
        <f>G25*F25/1000</f>
        <v>5.8863900000000004E-2</v>
      </c>
      <c r="I25" s="13">
        <f t="shared" si="1"/>
        <v>58.863900000000001</v>
      </c>
    </row>
    <row r="26" spans="1:9" ht="17.25" hidden="1" customHeight="1">
      <c r="A26" s="30">
        <v>11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20" t="s">
        <v>78</v>
      </c>
      <c r="B27" s="220"/>
      <c r="C27" s="220"/>
      <c r="D27" s="220"/>
      <c r="E27" s="220"/>
      <c r="F27" s="220"/>
      <c r="G27" s="220"/>
      <c r="H27" s="220"/>
      <c r="I27" s="220"/>
    </row>
    <row r="28" spans="1:9" ht="15.75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t="20.25" customHeight="1">
      <c r="A29" s="30">
        <v>5</v>
      </c>
      <c r="B29" s="113" t="s">
        <v>96</v>
      </c>
      <c r="C29" s="114" t="s">
        <v>82</v>
      </c>
      <c r="D29" s="113" t="s">
        <v>178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1" si="2">SUM(F29*G29/1000)</f>
        <v>5.8264066560000014</v>
      </c>
      <c r="I29" s="13">
        <f>F29/6*G29</f>
        <v>971.06777600000009</v>
      </c>
    </row>
    <row r="30" spans="1:9" ht="39.75" customHeight="1">
      <c r="A30" s="30">
        <v>6</v>
      </c>
      <c r="B30" s="113" t="s">
        <v>192</v>
      </c>
      <c r="C30" s="114" t="s">
        <v>82</v>
      </c>
      <c r="D30" s="113" t="s">
        <v>168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 hidden="1">
      <c r="A31" s="30">
        <v>15</v>
      </c>
      <c r="B31" s="113" t="s">
        <v>27</v>
      </c>
      <c r="C31" s="114" t="s">
        <v>82</v>
      </c>
      <c r="D31" s="113" t="s">
        <v>173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 ht="17.25" customHeight="1">
      <c r="A32" s="30">
        <v>7</v>
      </c>
      <c r="B32" s="113" t="s">
        <v>119</v>
      </c>
      <c r="C32" s="114" t="s">
        <v>38</v>
      </c>
      <c r="D32" s="113" t="s">
        <v>178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ref="H33:H34" si="4">SUM(F33*G33/1000)</f>
        <v>0.50183999999999995</v>
      </c>
      <c r="I33" s="13">
        <v>0</v>
      </c>
    </row>
    <row r="34" spans="1:9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4"/>
        <v>1.49031</v>
      </c>
      <c r="I34" s="13">
        <v>0</v>
      </c>
    </row>
    <row r="35" spans="1:9" ht="19.5" hidden="1" customHeight="1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5">SUM(F36*G36/1000)</f>
        <v>10.015000000000001</v>
      </c>
      <c r="I36" s="13">
        <f t="shared" ref="I36:I42" si="6">F36/6*G36</f>
        <v>1669.1666666666667</v>
      </c>
    </row>
    <row r="37" spans="1:9" hidden="1">
      <c r="A37" s="30">
        <v>7</v>
      </c>
      <c r="B37" s="61" t="s">
        <v>133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5"/>
        <v>4.50069696</v>
      </c>
      <c r="I37" s="13">
        <f t="shared" si="6"/>
        <v>750.11615999999992</v>
      </c>
    </row>
    <row r="38" spans="1:9" ht="30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5"/>
        <v>3.87888864</v>
      </c>
      <c r="I38" s="13">
        <f t="shared" si="6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5"/>
        <v>8.3113867199999998</v>
      </c>
      <c r="I39" s="13">
        <f t="shared" si="6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5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5"/>
        <v>0.8773470000000001</v>
      </c>
      <c r="I41" s="13">
        <f>(F41/7.5*1.5)*G41</f>
        <v>175.46940000000004</v>
      </c>
    </row>
    <row r="42" spans="1:9" ht="30" hidden="1">
      <c r="A42" s="30">
        <v>12</v>
      </c>
      <c r="B42" s="47" t="s">
        <v>134</v>
      </c>
      <c r="C42" s="49" t="s">
        <v>29</v>
      </c>
      <c r="D42" s="61" t="s">
        <v>135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5"/>
        <v>9.3671999999999991E-3</v>
      </c>
      <c r="I42" s="13">
        <f t="shared" si="6"/>
        <v>1.5611999999999997</v>
      </c>
    </row>
    <row r="43" spans="1:9" ht="18.75" hidden="1" customHeight="1">
      <c r="A43" s="221" t="s">
        <v>121</v>
      </c>
      <c r="B43" s="222"/>
      <c r="C43" s="222"/>
      <c r="D43" s="222"/>
      <c r="E43" s="222"/>
      <c r="F43" s="222"/>
      <c r="G43" s="222"/>
      <c r="H43" s="222"/>
      <c r="I43" s="223"/>
    </row>
    <row r="44" spans="1:9" ht="27" hidden="1" customHeight="1">
      <c r="A44" s="30">
        <v>18</v>
      </c>
      <c r="B44" s="61" t="s">
        <v>113</v>
      </c>
      <c r="C44" s="62" t="s">
        <v>82</v>
      </c>
      <c r="D44" s="61" t="s">
        <v>40</v>
      </c>
      <c r="E44" s="63">
        <v>1320.9</v>
      </c>
      <c r="F44" s="64">
        <f>SUM(E44*2/1000)</f>
        <v>2.6418000000000004</v>
      </c>
      <c r="G44" s="35">
        <v>1114.1300000000001</v>
      </c>
      <c r="H44" s="65">
        <f t="shared" ref="H44:H52" si="7">SUM(F44*G44/1000)</f>
        <v>2.943308634000001</v>
      </c>
      <c r="I44" s="13">
        <f>2.6418/2*G44</f>
        <v>1471.654317</v>
      </c>
    </row>
    <row r="45" spans="1:9" ht="29.25" hidden="1" customHeight="1">
      <c r="A45" s="30">
        <v>19</v>
      </c>
      <c r="B45" s="61" t="s">
        <v>33</v>
      </c>
      <c r="C45" s="62" t="s">
        <v>82</v>
      </c>
      <c r="D45" s="61" t="s">
        <v>40</v>
      </c>
      <c r="E45" s="63">
        <v>52</v>
      </c>
      <c r="F45" s="64">
        <f>E45*2/1000</f>
        <v>0.104</v>
      </c>
      <c r="G45" s="35">
        <v>4419.05</v>
      </c>
      <c r="H45" s="65">
        <f t="shared" si="7"/>
        <v>0.45958120000000002</v>
      </c>
      <c r="I45" s="13">
        <f>0.104/2*G45</f>
        <v>229.79060000000001</v>
      </c>
    </row>
    <row r="46" spans="1:9" ht="27.75" hidden="1" customHeight="1">
      <c r="A46" s="30">
        <v>20</v>
      </c>
      <c r="B46" s="61" t="s">
        <v>34</v>
      </c>
      <c r="C46" s="62" t="s">
        <v>82</v>
      </c>
      <c r="D46" s="61" t="s">
        <v>40</v>
      </c>
      <c r="E46" s="63">
        <v>1520.8</v>
      </c>
      <c r="F46" s="64">
        <f>SUM(E46*2/1000)</f>
        <v>3.0415999999999999</v>
      </c>
      <c r="G46" s="35">
        <v>1803.69</v>
      </c>
      <c r="H46" s="65">
        <f t="shared" si="7"/>
        <v>5.4861035039999999</v>
      </c>
      <c r="I46" s="13">
        <f>3.0416/2*G46</f>
        <v>2743.0517519999999</v>
      </c>
    </row>
    <row r="47" spans="1:9" ht="28.5" hidden="1" customHeight="1">
      <c r="A47" s="30">
        <v>21</v>
      </c>
      <c r="B47" s="61" t="s">
        <v>35</v>
      </c>
      <c r="C47" s="62" t="s">
        <v>82</v>
      </c>
      <c r="D47" s="61" t="s">
        <v>40</v>
      </c>
      <c r="E47" s="63">
        <v>3433.81</v>
      </c>
      <c r="F47" s="64">
        <f>SUM(E47*2/1000)</f>
        <v>6.8676199999999996</v>
      </c>
      <c r="G47" s="35">
        <v>1243.43</v>
      </c>
      <c r="H47" s="65">
        <f t="shared" si="7"/>
        <v>8.5394047365999999</v>
      </c>
      <c r="I47" s="13">
        <f>6.86762/2*G47</f>
        <v>4269.7023682999998</v>
      </c>
    </row>
    <row r="48" spans="1:9" ht="25.5" hidden="1" customHeight="1">
      <c r="A48" s="30">
        <v>13</v>
      </c>
      <c r="B48" s="61" t="s">
        <v>53</v>
      </c>
      <c r="C48" s="62" t="s">
        <v>82</v>
      </c>
      <c r="D48" s="61" t="s">
        <v>125</v>
      </c>
      <c r="E48" s="63">
        <v>4731.7</v>
      </c>
      <c r="F48" s="64">
        <f>SUM(E48*5/1000)</f>
        <v>23.6585</v>
      </c>
      <c r="G48" s="35">
        <v>1803.69</v>
      </c>
      <c r="H48" s="65">
        <f t="shared" si="7"/>
        <v>42.672599865000002</v>
      </c>
      <c r="I48" s="13">
        <f>F48/5*G48</f>
        <v>8534.5199730000004</v>
      </c>
    </row>
    <row r="49" spans="1:9" ht="24" hidden="1" customHeight="1">
      <c r="A49" s="30">
        <v>22</v>
      </c>
      <c r="B49" s="61" t="s">
        <v>84</v>
      </c>
      <c r="C49" s="62" t="s">
        <v>82</v>
      </c>
      <c r="D49" s="61" t="s">
        <v>40</v>
      </c>
      <c r="E49" s="63">
        <v>4731.7</v>
      </c>
      <c r="F49" s="64">
        <f>SUM(E49*2/1000)</f>
        <v>9.4634</v>
      </c>
      <c r="G49" s="35">
        <v>1591.6</v>
      </c>
      <c r="H49" s="65">
        <f t="shared" si="7"/>
        <v>15.061947439999999</v>
      </c>
      <c r="I49" s="13">
        <f>9.4634/2*G49</f>
        <v>7530.97372</v>
      </c>
    </row>
    <row r="50" spans="1:9" ht="27" hidden="1" customHeight="1">
      <c r="A50" s="30">
        <v>23</v>
      </c>
      <c r="B50" s="61" t="s">
        <v>85</v>
      </c>
      <c r="C50" s="62" t="s">
        <v>36</v>
      </c>
      <c r="D50" s="61" t="s">
        <v>40</v>
      </c>
      <c r="E50" s="63">
        <v>20</v>
      </c>
      <c r="F50" s="64">
        <f>SUM(E50*2/100)</f>
        <v>0.4</v>
      </c>
      <c r="G50" s="35">
        <v>4058.32</v>
      </c>
      <c r="H50" s="65">
        <f>SUM(F50*G50/1000)</f>
        <v>1.6233280000000001</v>
      </c>
      <c r="I50" s="13">
        <f>0.4/2*G50</f>
        <v>811.6640000000001</v>
      </c>
    </row>
    <row r="51" spans="1:9" ht="24.75" hidden="1" customHeight="1">
      <c r="A51" s="30">
        <v>24</v>
      </c>
      <c r="B51" s="61" t="s">
        <v>37</v>
      </c>
      <c r="C51" s="62" t="s">
        <v>38</v>
      </c>
      <c r="D51" s="61" t="s">
        <v>40</v>
      </c>
      <c r="E51" s="63">
        <v>1</v>
      </c>
      <c r="F51" s="64">
        <v>0.02</v>
      </c>
      <c r="G51" s="35">
        <v>7412.92</v>
      </c>
      <c r="H51" s="65">
        <f t="shared" si="7"/>
        <v>0.14825839999999998</v>
      </c>
      <c r="I51" s="13">
        <f>0.02/2*G51</f>
        <v>74.129199999999997</v>
      </c>
    </row>
    <row r="52" spans="1:9" ht="18.75" hidden="1" customHeight="1">
      <c r="A52" s="30">
        <v>15</v>
      </c>
      <c r="B52" s="61" t="s">
        <v>39</v>
      </c>
      <c r="C52" s="62" t="s">
        <v>97</v>
      </c>
      <c r="D52" s="183">
        <v>44011</v>
      </c>
      <c r="E52" s="63">
        <v>160</v>
      </c>
      <c r="F52" s="64">
        <v>480</v>
      </c>
      <c r="G52" s="164">
        <v>87.32</v>
      </c>
      <c r="H52" s="65">
        <f t="shared" si="7"/>
        <v>41.913599999999995</v>
      </c>
      <c r="I52" s="13">
        <f>G52*480/3</f>
        <v>13971.199999999999</v>
      </c>
    </row>
    <row r="53" spans="1:9">
      <c r="A53" s="221" t="s">
        <v>148</v>
      </c>
      <c r="B53" s="222"/>
      <c r="C53" s="222"/>
      <c r="D53" s="222"/>
      <c r="E53" s="222"/>
      <c r="F53" s="222"/>
      <c r="G53" s="222"/>
      <c r="H53" s="222"/>
      <c r="I53" s="223"/>
    </row>
    <row r="54" spans="1:9" hidden="1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45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8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8"/>
        <v>0.46268039999999994</v>
      </c>
      <c r="I57" s="13">
        <f>F57/6*G57</f>
        <v>77.113399999999999</v>
      </c>
    </row>
    <row r="58" spans="1:9" ht="24.75" hidden="1" customHeight="1">
      <c r="A58" s="30">
        <v>10</v>
      </c>
      <c r="B58" s="61" t="s">
        <v>136</v>
      </c>
      <c r="C58" s="62" t="s">
        <v>137</v>
      </c>
      <c r="D58" s="61" t="s">
        <v>63</v>
      </c>
      <c r="E58" s="63"/>
      <c r="F58" s="64">
        <v>3</v>
      </c>
      <c r="G58" s="13">
        <v>1582.05</v>
      </c>
      <c r="H58" s="65">
        <f>SUM(F58*G58/1000)</f>
        <v>4.7461499999999992</v>
      </c>
      <c r="I58" s="13">
        <f>G58*2</f>
        <v>3164.1</v>
      </c>
    </row>
    <row r="59" spans="1:9" ht="17.25" customHeight="1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138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 ht="20.25" customHeight="1">
      <c r="A61" s="30">
        <v>8</v>
      </c>
      <c r="B61" s="70" t="s">
        <v>108</v>
      </c>
      <c r="C61" s="71" t="s">
        <v>25</v>
      </c>
      <c r="D61" s="70" t="s">
        <v>173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16.5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21.75" hidden="1" customHeight="1">
      <c r="A63" s="30">
        <v>17</v>
      </c>
      <c r="B63" s="14" t="s">
        <v>44</v>
      </c>
      <c r="C63" s="16" t="s">
        <v>97</v>
      </c>
      <c r="D63" s="14" t="s">
        <v>169</v>
      </c>
      <c r="E63" s="18">
        <v>10</v>
      </c>
      <c r="F63" s="64">
        <f>SUM(E63)</f>
        <v>10</v>
      </c>
      <c r="G63" s="115">
        <v>318.82</v>
      </c>
      <c r="H63" s="76">
        <f t="shared" ref="H63:H81" si="9">SUM(F63*G63/1000)</f>
        <v>3.1881999999999997</v>
      </c>
      <c r="I63" s="13">
        <f>G63*3</f>
        <v>956.46</v>
      </c>
    </row>
    <row r="64" spans="1:9">
      <c r="A64" s="30">
        <v>9</v>
      </c>
      <c r="B64" s="180" t="s">
        <v>46</v>
      </c>
      <c r="C64" s="203" t="s">
        <v>99</v>
      </c>
      <c r="D64" s="36"/>
      <c r="E64" s="17">
        <v>19836</v>
      </c>
      <c r="F64" s="117">
        <f>SUM(E64/100)</f>
        <v>198.36</v>
      </c>
      <c r="G64" s="35">
        <v>304.13</v>
      </c>
      <c r="H64" s="76">
        <f t="shared" si="9"/>
        <v>60.327226800000005</v>
      </c>
      <c r="I64" s="13">
        <f>F64*G64</f>
        <v>60327.226800000004</v>
      </c>
    </row>
    <row r="65" spans="1:9">
      <c r="A65" s="30">
        <v>10</v>
      </c>
      <c r="B65" s="204" t="s">
        <v>47</v>
      </c>
      <c r="C65" s="205" t="s">
        <v>100</v>
      </c>
      <c r="D65" s="206"/>
      <c r="E65" s="207">
        <v>19836</v>
      </c>
      <c r="F65" s="208">
        <f>SUM(E65/1000)</f>
        <v>19.835999999999999</v>
      </c>
      <c r="G65" s="208">
        <v>236.84</v>
      </c>
      <c r="H65" s="76">
        <f t="shared" si="9"/>
        <v>4.6979582400000002</v>
      </c>
      <c r="I65" s="13">
        <f t="shared" ref="I65:I69" si="10">F65*G65</f>
        <v>4697.9582399999999</v>
      </c>
    </row>
    <row r="66" spans="1:9">
      <c r="A66" s="30">
        <v>11</v>
      </c>
      <c r="B66" s="180" t="s">
        <v>48</v>
      </c>
      <c r="C66" s="168" t="s">
        <v>71</v>
      </c>
      <c r="D66" s="36"/>
      <c r="E66" s="165">
        <v>3155</v>
      </c>
      <c r="F66" s="35">
        <f>SUM(E66/100)</f>
        <v>31.55</v>
      </c>
      <c r="G66" s="35">
        <v>2974.1</v>
      </c>
      <c r="H66" s="76">
        <f t="shared" si="9"/>
        <v>93.832854999999995</v>
      </c>
      <c r="I66" s="13">
        <f t="shared" si="10"/>
        <v>93832.854999999996</v>
      </c>
    </row>
    <row r="67" spans="1:9">
      <c r="A67" s="30">
        <v>12</v>
      </c>
      <c r="B67" s="196" t="s">
        <v>101</v>
      </c>
      <c r="C67" s="168" t="s">
        <v>32</v>
      </c>
      <c r="D67" s="36"/>
      <c r="E67" s="165">
        <v>17.8</v>
      </c>
      <c r="F67" s="35">
        <f>SUM(E67)</f>
        <v>17.8</v>
      </c>
      <c r="G67" s="35">
        <v>47.98</v>
      </c>
      <c r="H67" s="76">
        <f t="shared" si="9"/>
        <v>0.85404400000000003</v>
      </c>
      <c r="I67" s="13">
        <f t="shared" si="10"/>
        <v>854.04399999999998</v>
      </c>
    </row>
    <row r="68" spans="1:9">
      <c r="A68" s="30">
        <v>13</v>
      </c>
      <c r="B68" s="196" t="s">
        <v>102</v>
      </c>
      <c r="C68" s="168" t="s">
        <v>32</v>
      </c>
      <c r="D68" s="36"/>
      <c r="E68" s="165">
        <v>17.8</v>
      </c>
      <c r="F68" s="35">
        <f>SUM(E68)</f>
        <v>17.8</v>
      </c>
      <c r="G68" s="35">
        <v>51.75</v>
      </c>
      <c r="H68" s="76">
        <f t="shared" si="9"/>
        <v>0.92115000000000014</v>
      </c>
      <c r="I68" s="13">
        <f t="shared" si="10"/>
        <v>921.15000000000009</v>
      </c>
    </row>
    <row r="69" spans="1:9" ht="21" hidden="1" customHeight="1">
      <c r="A69" s="30">
        <v>12</v>
      </c>
      <c r="B69" s="14" t="s">
        <v>54</v>
      </c>
      <c r="C69" s="16" t="s">
        <v>55</v>
      </c>
      <c r="D69" s="14" t="s">
        <v>51</v>
      </c>
      <c r="E69" s="18">
        <v>5</v>
      </c>
      <c r="F69" s="13">
        <f t="shared" ref="F69" si="11">SUM(E69)</f>
        <v>5</v>
      </c>
      <c r="G69" s="13">
        <v>65.42</v>
      </c>
      <c r="H69" s="76">
        <f t="shared" si="9"/>
        <v>0.3271</v>
      </c>
      <c r="I69" s="13">
        <f t="shared" si="10"/>
        <v>327.10000000000002</v>
      </c>
    </row>
    <row r="70" spans="1:9" ht="21" customHeight="1">
      <c r="A70" s="30">
        <v>14</v>
      </c>
      <c r="B70" s="36" t="s">
        <v>196</v>
      </c>
      <c r="C70" s="168"/>
      <c r="D70" s="36" t="s">
        <v>271</v>
      </c>
      <c r="E70" s="17">
        <v>12</v>
      </c>
      <c r="F70" s="35">
        <f>E70*1</f>
        <v>12</v>
      </c>
      <c r="G70" s="35">
        <v>968.66</v>
      </c>
      <c r="H70" s="76"/>
      <c r="I70" s="13">
        <f>G70*1</f>
        <v>968.66</v>
      </c>
    </row>
    <row r="71" spans="1:9" ht="18" customHeight="1">
      <c r="A71" s="30"/>
      <c r="B71" s="95" t="s">
        <v>139</v>
      </c>
      <c r="C71" s="49"/>
      <c r="D71" s="14"/>
      <c r="E71" s="18"/>
      <c r="F71" s="13"/>
      <c r="G71" s="13"/>
      <c r="H71" s="76"/>
      <c r="I71" s="13"/>
    </row>
    <row r="72" spans="1:9" ht="18" customHeight="1">
      <c r="A72" s="30">
        <v>15</v>
      </c>
      <c r="B72" s="36" t="s">
        <v>140</v>
      </c>
      <c r="C72" s="176" t="s">
        <v>141</v>
      </c>
      <c r="D72" s="36"/>
      <c r="E72" s="17">
        <v>4731.7</v>
      </c>
      <c r="F72" s="35">
        <f>SUM(E72*12)</f>
        <v>56780.399999999994</v>
      </c>
      <c r="G72" s="115">
        <v>2.4900000000000002</v>
      </c>
      <c r="H72" s="76">
        <f t="shared" ref="H72" si="12">SUM(F72*G72/1000)</f>
        <v>141.383196</v>
      </c>
      <c r="I72" s="13">
        <f>F72/12*G72</f>
        <v>11781.933000000001</v>
      </c>
    </row>
    <row r="73" spans="1:9" ht="17.25" customHeight="1">
      <c r="A73" s="30"/>
      <c r="B73" s="120" t="s">
        <v>67</v>
      </c>
      <c r="C73" s="16"/>
      <c r="D73" s="14"/>
      <c r="E73" s="18"/>
      <c r="F73" s="13"/>
      <c r="G73" s="13"/>
      <c r="H73" s="76" t="s">
        <v>118</v>
      </c>
      <c r="I73" s="13"/>
    </row>
    <row r="74" spans="1:9" ht="30" hidden="1">
      <c r="A74" s="30"/>
      <c r="B74" s="14" t="s">
        <v>142</v>
      </c>
      <c r="C74" s="16" t="s">
        <v>97</v>
      </c>
      <c r="D74" s="14" t="s">
        <v>63</v>
      </c>
      <c r="E74" s="18">
        <v>1</v>
      </c>
      <c r="F74" s="13">
        <v>1</v>
      </c>
      <c r="G74" s="13">
        <v>1543.4</v>
      </c>
      <c r="H74" s="76">
        <f t="shared" ref="H74:H77" si="13">SUM(F74*G74/1000)</f>
        <v>1.5434000000000001</v>
      </c>
      <c r="I74" s="13">
        <v>0</v>
      </c>
    </row>
    <row r="75" spans="1:9" hidden="1">
      <c r="A75" s="30">
        <v>19</v>
      </c>
      <c r="B75" s="47" t="s">
        <v>143</v>
      </c>
      <c r="C75" s="49" t="s">
        <v>97</v>
      </c>
      <c r="D75" s="14" t="s">
        <v>63</v>
      </c>
      <c r="E75" s="18">
        <v>4</v>
      </c>
      <c r="F75" s="13">
        <v>1</v>
      </c>
      <c r="G75" s="13">
        <v>130.96</v>
      </c>
      <c r="H75" s="76">
        <f>SUM(F75*G75/1000)</f>
        <v>0.13096000000000002</v>
      </c>
      <c r="I75" s="13">
        <v>0</v>
      </c>
    </row>
    <row r="76" spans="1:9" hidden="1">
      <c r="A76" s="30">
        <v>22</v>
      </c>
      <c r="B76" s="14" t="s">
        <v>68</v>
      </c>
      <c r="C76" s="16" t="s">
        <v>69</v>
      </c>
      <c r="D76" s="14" t="s">
        <v>63</v>
      </c>
      <c r="E76" s="18">
        <v>8</v>
      </c>
      <c r="F76" s="13">
        <f>E76/10</f>
        <v>0.8</v>
      </c>
      <c r="G76" s="13">
        <v>657.87</v>
      </c>
      <c r="H76" s="76">
        <f t="shared" si="13"/>
        <v>0.5262960000000001</v>
      </c>
      <c r="I76" s="13">
        <f>G76*0.3</f>
        <v>197.36099999999999</v>
      </c>
    </row>
    <row r="77" spans="1:9" hidden="1">
      <c r="A77" s="30"/>
      <c r="B77" s="14" t="s">
        <v>144</v>
      </c>
      <c r="C77" s="16" t="s">
        <v>97</v>
      </c>
      <c r="D77" s="14" t="s">
        <v>63</v>
      </c>
      <c r="E77" s="18">
        <v>1</v>
      </c>
      <c r="F77" s="64">
        <f>SUM(E77)</f>
        <v>1</v>
      </c>
      <c r="G77" s="13">
        <v>1118.72</v>
      </c>
      <c r="H77" s="76">
        <f t="shared" si="13"/>
        <v>1.1187199999999999</v>
      </c>
      <c r="I77" s="13">
        <v>0</v>
      </c>
    </row>
    <row r="78" spans="1:9" hidden="1">
      <c r="A78" s="30"/>
      <c r="B78" s="47" t="s">
        <v>145</v>
      </c>
      <c r="C78" s="49" t="s">
        <v>97</v>
      </c>
      <c r="D78" s="14" t="s">
        <v>63</v>
      </c>
      <c r="E78" s="18">
        <v>1</v>
      </c>
      <c r="F78" s="56">
        <v>1</v>
      </c>
      <c r="G78" s="13">
        <v>3757.02</v>
      </c>
      <c r="H78" s="76">
        <f>SUM(F78*G78/1000)</f>
        <v>3.7570199999999998</v>
      </c>
      <c r="I78" s="13">
        <v>0</v>
      </c>
    </row>
    <row r="79" spans="1:9" ht="20.25" customHeight="1">
      <c r="A79" s="30">
        <v>16</v>
      </c>
      <c r="B79" s="105" t="s">
        <v>146</v>
      </c>
      <c r="C79" s="106" t="s">
        <v>97</v>
      </c>
      <c r="D79" s="36" t="s">
        <v>173</v>
      </c>
      <c r="E79" s="177">
        <v>2</v>
      </c>
      <c r="F79" s="175">
        <f>E79*12</f>
        <v>24</v>
      </c>
      <c r="G79" s="182">
        <v>404</v>
      </c>
      <c r="H79" s="76">
        <f t="shared" ref="H79" si="14">SUM(F79*G79/1000)</f>
        <v>9.6959999999999997</v>
      </c>
      <c r="I79" s="13">
        <f>F79/12*G79</f>
        <v>808</v>
      </c>
    </row>
    <row r="80" spans="1:9" hidden="1">
      <c r="A80" s="30"/>
      <c r="B80" s="79" t="s">
        <v>70</v>
      </c>
      <c r="C80" s="16"/>
      <c r="D80" s="14"/>
      <c r="E80" s="18"/>
      <c r="F80" s="13"/>
      <c r="G80" s="13" t="s">
        <v>118</v>
      </c>
      <c r="H80" s="76" t="s">
        <v>118</v>
      </c>
      <c r="I80" s="13"/>
    </row>
    <row r="81" spans="1:9" hidden="1">
      <c r="A81" s="30"/>
      <c r="B81" s="44" t="s">
        <v>110</v>
      </c>
      <c r="C81" s="16" t="s">
        <v>71</v>
      </c>
      <c r="D81" s="14"/>
      <c r="E81" s="18"/>
      <c r="F81" s="13">
        <v>0.3</v>
      </c>
      <c r="G81" s="13">
        <v>3619.09</v>
      </c>
      <c r="H81" s="76">
        <f t="shared" si="9"/>
        <v>1.0857270000000001</v>
      </c>
      <c r="I81" s="13">
        <v>0</v>
      </c>
    </row>
    <row r="82" spans="1:9" ht="43.5" hidden="1" customHeight="1">
      <c r="A82" s="30"/>
      <c r="B82" s="96" t="s">
        <v>86</v>
      </c>
      <c r="C82" s="79"/>
      <c r="D82" s="32"/>
      <c r="E82" s="33"/>
      <c r="F82" s="67"/>
      <c r="G82" s="67"/>
      <c r="H82" s="80">
        <f>SUM(H55:H81)</f>
        <v>352.07626640000012</v>
      </c>
      <c r="I82" s="67"/>
    </row>
    <row r="83" spans="1:9" hidden="1">
      <c r="A83" s="30"/>
      <c r="B83" s="61" t="s">
        <v>103</v>
      </c>
      <c r="C83" s="16"/>
      <c r="D83" s="14"/>
      <c r="E83" s="57"/>
      <c r="F83" s="13">
        <v>1</v>
      </c>
      <c r="G83" s="13">
        <v>20512</v>
      </c>
      <c r="H83" s="76">
        <f>G83*F83/1000</f>
        <v>20.512</v>
      </c>
      <c r="I83" s="13">
        <v>0</v>
      </c>
    </row>
    <row r="84" spans="1:9">
      <c r="A84" s="230" t="s">
        <v>149</v>
      </c>
      <c r="B84" s="231"/>
      <c r="C84" s="231"/>
      <c r="D84" s="231"/>
      <c r="E84" s="231"/>
      <c r="F84" s="231"/>
      <c r="G84" s="231"/>
      <c r="H84" s="231"/>
      <c r="I84" s="232"/>
    </row>
    <row r="85" spans="1:9" ht="17.25" customHeight="1">
      <c r="A85" s="30">
        <v>17</v>
      </c>
      <c r="B85" s="113" t="s">
        <v>104</v>
      </c>
      <c r="C85" s="168" t="s">
        <v>52</v>
      </c>
      <c r="D85" s="169"/>
      <c r="E85" s="115">
        <v>4731.7</v>
      </c>
      <c r="F85" s="115">
        <f>SUM(E85*12)</f>
        <v>56780.399999999994</v>
      </c>
      <c r="G85" s="115">
        <v>3.38</v>
      </c>
      <c r="H85" s="76">
        <f>SUM(F85*G85/1000)</f>
        <v>191.91775199999998</v>
      </c>
      <c r="I85" s="13">
        <f>F85/12*G85</f>
        <v>15993.145999999999</v>
      </c>
    </row>
    <row r="86" spans="1:9" ht="35.25" customHeight="1">
      <c r="A86" s="30">
        <v>18</v>
      </c>
      <c r="B86" s="36" t="s">
        <v>72</v>
      </c>
      <c r="C86" s="168"/>
      <c r="D86" s="48"/>
      <c r="E86" s="163">
        <f>E85</f>
        <v>4731.7</v>
      </c>
      <c r="F86" s="115">
        <f>E86*12</f>
        <v>56780.399999999994</v>
      </c>
      <c r="G86" s="115">
        <v>3.05</v>
      </c>
      <c r="H86" s="76">
        <f>F86*G86/1000</f>
        <v>173.18021999999996</v>
      </c>
      <c r="I86" s="13">
        <f>F86/12*G86</f>
        <v>14431.684999999999</v>
      </c>
    </row>
    <row r="87" spans="1:9">
      <c r="A87" s="30"/>
      <c r="B87" s="37" t="s">
        <v>74</v>
      </c>
      <c r="C87" s="79"/>
      <c r="D87" s="78"/>
      <c r="E87" s="67"/>
      <c r="F87" s="67"/>
      <c r="G87" s="67"/>
      <c r="H87" s="80">
        <f>H86</f>
        <v>173.18021999999996</v>
      </c>
      <c r="I87" s="67">
        <f>I86+I85+I79+I72+I70+I68+I67+I66+I65+I64+I61+I32+I30+I29+I19+I18+I17+I16</f>
        <v>224067.00855516666</v>
      </c>
    </row>
    <row r="88" spans="1:9">
      <c r="A88" s="227" t="s">
        <v>57</v>
      </c>
      <c r="B88" s="228"/>
      <c r="C88" s="228"/>
      <c r="D88" s="228"/>
      <c r="E88" s="228"/>
      <c r="F88" s="228"/>
      <c r="G88" s="228"/>
      <c r="H88" s="228"/>
      <c r="I88" s="229"/>
    </row>
    <row r="89" spans="1:9" ht="31.5" customHeight="1">
      <c r="A89" s="30">
        <v>19</v>
      </c>
      <c r="B89" s="105" t="s">
        <v>226</v>
      </c>
      <c r="C89" s="106" t="s">
        <v>120</v>
      </c>
      <c r="D89" s="192"/>
      <c r="E89" s="167"/>
      <c r="F89" s="167">
        <v>7</v>
      </c>
      <c r="G89" s="167">
        <v>1504.51</v>
      </c>
      <c r="H89" s="76"/>
      <c r="I89" s="13">
        <f>G89*1</f>
        <v>1504.51</v>
      </c>
    </row>
    <row r="90" spans="1:9" ht="31.5" customHeight="1">
      <c r="A90" s="30">
        <v>20</v>
      </c>
      <c r="B90" s="105" t="s">
        <v>199</v>
      </c>
      <c r="C90" s="106" t="s">
        <v>97</v>
      </c>
      <c r="D90" s="192" t="s">
        <v>270</v>
      </c>
      <c r="E90" s="167"/>
      <c r="F90" s="167">
        <v>1</v>
      </c>
      <c r="G90" s="167">
        <v>983.17</v>
      </c>
      <c r="H90" s="76"/>
      <c r="I90" s="13">
        <f>G90*1</f>
        <v>983.17</v>
      </c>
    </row>
    <row r="91" spans="1:9" ht="17.25" customHeight="1">
      <c r="A91" s="30">
        <v>21</v>
      </c>
      <c r="B91" s="105" t="s">
        <v>259</v>
      </c>
      <c r="C91" s="106" t="s">
        <v>97</v>
      </c>
      <c r="D91" s="192"/>
      <c r="E91" s="167"/>
      <c r="F91" s="167">
        <v>2</v>
      </c>
      <c r="G91" s="167">
        <v>235</v>
      </c>
      <c r="H91" s="76"/>
      <c r="I91" s="13">
        <f>G91*2</f>
        <v>470</v>
      </c>
    </row>
    <row r="92" spans="1:9" ht="18.75" customHeight="1">
      <c r="A92" s="30">
        <v>22</v>
      </c>
      <c r="B92" s="105" t="s">
        <v>260</v>
      </c>
      <c r="C92" s="106" t="s">
        <v>97</v>
      </c>
      <c r="D92" s="192"/>
      <c r="E92" s="167"/>
      <c r="F92" s="167">
        <v>1</v>
      </c>
      <c r="G92" s="167">
        <v>174.61</v>
      </c>
      <c r="H92" s="76"/>
      <c r="I92" s="13">
        <f t="shared" ref="I92:I99" si="15">G92*1</f>
        <v>174.61</v>
      </c>
    </row>
    <row r="93" spans="1:9" ht="18.75" customHeight="1">
      <c r="A93" s="30">
        <v>23</v>
      </c>
      <c r="B93" s="105" t="s">
        <v>261</v>
      </c>
      <c r="C93" s="106" t="s">
        <v>97</v>
      </c>
      <c r="D93" s="192"/>
      <c r="E93" s="167"/>
      <c r="F93" s="167">
        <v>1</v>
      </c>
      <c r="G93" s="167">
        <v>50</v>
      </c>
      <c r="H93" s="76"/>
      <c r="I93" s="13">
        <f t="shared" si="15"/>
        <v>50</v>
      </c>
    </row>
    <row r="94" spans="1:9" ht="18.75" customHeight="1">
      <c r="A94" s="30">
        <v>24</v>
      </c>
      <c r="B94" s="105" t="s">
        <v>262</v>
      </c>
      <c r="C94" s="106" t="s">
        <v>97</v>
      </c>
      <c r="D94" s="192"/>
      <c r="E94" s="167"/>
      <c r="F94" s="167">
        <v>1</v>
      </c>
      <c r="G94" s="167">
        <v>98</v>
      </c>
      <c r="H94" s="76"/>
      <c r="I94" s="13">
        <f t="shared" si="15"/>
        <v>98</v>
      </c>
    </row>
    <row r="95" spans="1:9" ht="18.75" customHeight="1">
      <c r="A95" s="30">
        <v>25</v>
      </c>
      <c r="B95" s="105" t="s">
        <v>184</v>
      </c>
      <c r="C95" s="106" t="s">
        <v>97</v>
      </c>
      <c r="D95" s="192"/>
      <c r="E95" s="167"/>
      <c r="F95" s="167">
        <v>1</v>
      </c>
      <c r="G95" s="167">
        <v>49</v>
      </c>
      <c r="H95" s="76"/>
      <c r="I95" s="13">
        <f t="shared" si="15"/>
        <v>49</v>
      </c>
    </row>
    <row r="96" spans="1:9" ht="18.75" customHeight="1">
      <c r="A96" s="30">
        <v>26</v>
      </c>
      <c r="B96" s="105" t="s">
        <v>263</v>
      </c>
      <c r="C96" s="106" t="s">
        <v>97</v>
      </c>
      <c r="D96" s="192"/>
      <c r="E96" s="167"/>
      <c r="F96" s="167">
        <v>1</v>
      </c>
      <c r="G96" s="167">
        <v>139</v>
      </c>
      <c r="H96" s="76"/>
      <c r="I96" s="13">
        <f t="shared" si="15"/>
        <v>139</v>
      </c>
    </row>
    <row r="97" spans="1:9" ht="18.75" customHeight="1">
      <c r="A97" s="30">
        <v>27</v>
      </c>
      <c r="B97" s="105" t="s">
        <v>264</v>
      </c>
      <c r="C97" s="106" t="s">
        <v>97</v>
      </c>
      <c r="D97" s="192"/>
      <c r="E97" s="167"/>
      <c r="F97" s="167">
        <v>1</v>
      </c>
      <c r="G97" s="167">
        <v>30</v>
      </c>
      <c r="H97" s="76"/>
      <c r="I97" s="13">
        <f t="shared" si="15"/>
        <v>30</v>
      </c>
    </row>
    <row r="98" spans="1:9" ht="18.75" customHeight="1">
      <c r="A98" s="30">
        <v>28</v>
      </c>
      <c r="B98" s="105" t="s">
        <v>265</v>
      </c>
      <c r="C98" s="106" t="s">
        <v>97</v>
      </c>
      <c r="D98" s="192"/>
      <c r="E98" s="167"/>
      <c r="F98" s="167">
        <v>1</v>
      </c>
      <c r="G98" s="167">
        <v>15</v>
      </c>
      <c r="H98" s="76"/>
      <c r="I98" s="13">
        <f t="shared" si="15"/>
        <v>15</v>
      </c>
    </row>
    <row r="99" spans="1:9" ht="29.25" customHeight="1">
      <c r="A99" s="30">
        <v>29</v>
      </c>
      <c r="B99" s="105" t="s">
        <v>156</v>
      </c>
      <c r="C99" s="106" t="s">
        <v>157</v>
      </c>
      <c r="D99" s="192" t="s">
        <v>272</v>
      </c>
      <c r="E99" s="167"/>
      <c r="F99" s="167">
        <v>1</v>
      </c>
      <c r="G99" s="167">
        <v>64.040000000000006</v>
      </c>
      <c r="H99" s="76"/>
      <c r="I99" s="13">
        <f t="shared" si="15"/>
        <v>64.040000000000006</v>
      </c>
    </row>
    <row r="100" spans="1:9" ht="18.75" customHeight="1">
      <c r="A100" s="30">
        <v>30</v>
      </c>
      <c r="B100" s="105" t="s">
        <v>266</v>
      </c>
      <c r="C100" s="106" t="s">
        <v>29</v>
      </c>
      <c r="D100" s="192"/>
      <c r="E100" s="167"/>
      <c r="F100" s="167">
        <f>4.432+2.216+2.216</f>
        <v>8.8640000000000008</v>
      </c>
      <c r="G100" s="167">
        <v>241.69</v>
      </c>
      <c r="H100" s="76"/>
      <c r="I100" s="13">
        <f>G100*4.432</f>
        <v>1071.1700800000001</v>
      </c>
    </row>
    <row r="101" spans="1:9" ht="18.75" customHeight="1">
      <c r="A101" s="30">
        <v>31</v>
      </c>
      <c r="B101" s="105" t="s">
        <v>267</v>
      </c>
      <c r="C101" s="106" t="s">
        <v>152</v>
      </c>
      <c r="D101" s="192" t="s">
        <v>269</v>
      </c>
      <c r="E101" s="167"/>
      <c r="F101" s="167">
        <v>1</v>
      </c>
      <c r="G101" s="167">
        <v>138.44999999999999</v>
      </c>
      <c r="H101" s="76"/>
      <c r="I101" s="13">
        <f>G101*1</f>
        <v>138.44999999999999</v>
      </c>
    </row>
    <row r="102" spans="1:9" ht="18.75" customHeight="1">
      <c r="A102" s="30">
        <v>32</v>
      </c>
      <c r="B102" s="105" t="s">
        <v>190</v>
      </c>
      <c r="C102" s="106" t="s">
        <v>38</v>
      </c>
      <c r="D102" s="192" t="s">
        <v>173</v>
      </c>
      <c r="E102" s="167"/>
      <c r="F102" s="167">
        <v>0.01</v>
      </c>
      <c r="G102" s="167">
        <v>28224.75</v>
      </c>
      <c r="H102" s="76"/>
      <c r="I102" s="13">
        <v>0</v>
      </c>
    </row>
    <row r="103" spans="1:9" ht="31.5" customHeight="1">
      <c r="A103" s="30">
        <v>33</v>
      </c>
      <c r="B103" s="105" t="s">
        <v>193</v>
      </c>
      <c r="C103" s="106" t="s">
        <v>36</v>
      </c>
      <c r="D103" s="192"/>
      <c r="E103" s="167"/>
      <c r="F103" s="167">
        <v>0.04</v>
      </c>
      <c r="G103" s="167">
        <v>4273.32</v>
      </c>
      <c r="H103" s="76"/>
      <c r="I103" s="13">
        <v>0</v>
      </c>
    </row>
    <row r="104" spans="1:9" ht="18" customHeight="1">
      <c r="A104" s="30"/>
      <c r="B104" s="32" t="s">
        <v>49</v>
      </c>
      <c r="C104" s="38"/>
      <c r="D104" s="45"/>
      <c r="E104" s="38">
        <v>1</v>
      </c>
      <c r="F104" s="38"/>
      <c r="G104" s="38"/>
      <c r="H104" s="38"/>
      <c r="I104" s="33">
        <f>SUM(I89:I101)</f>
        <v>4786.9500799999996</v>
      </c>
    </row>
    <row r="105" spans="1:9">
      <c r="A105" s="30"/>
      <c r="B105" s="44" t="s">
        <v>73</v>
      </c>
      <c r="C105" s="15"/>
      <c r="D105" s="15"/>
      <c r="E105" s="39"/>
      <c r="F105" s="39"/>
      <c r="G105" s="40"/>
      <c r="H105" s="40"/>
      <c r="I105" s="17">
        <v>0</v>
      </c>
    </row>
    <row r="106" spans="1:9">
      <c r="A106" s="46"/>
      <c r="B106" s="43" t="s">
        <v>131</v>
      </c>
      <c r="C106" s="34"/>
      <c r="D106" s="34"/>
      <c r="E106" s="34"/>
      <c r="F106" s="34"/>
      <c r="G106" s="34"/>
      <c r="H106" s="34"/>
      <c r="I106" s="41">
        <f>I87+I104</f>
        <v>228853.95863516667</v>
      </c>
    </row>
    <row r="107" spans="1:9" ht="15.75">
      <c r="A107" s="224" t="s">
        <v>273</v>
      </c>
      <c r="B107" s="224"/>
      <c r="C107" s="224"/>
      <c r="D107" s="224"/>
      <c r="E107" s="224"/>
      <c r="F107" s="224"/>
      <c r="G107" s="224"/>
      <c r="H107" s="224"/>
      <c r="I107" s="224"/>
    </row>
    <row r="108" spans="1:9" ht="15.75">
      <c r="A108" s="55"/>
      <c r="B108" s="225" t="s">
        <v>274</v>
      </c>
      <c r="C108" s="225"/>
      <c r="D108" s="225"/>
      <c r="E108" s="225"/>
      <c r="F108" s="225"/>
      <c r="G108" s="225"/>
      <c r="H108" s="60"/>
      <c r="I108" s="3"/>
    </row>
    <row r="109" spans="1:9">
      <c r="A109" s="118"/>
      <c r="B109" s="215" t="s">
        <v>6</v>
      </c>
      <c r="C109" s="215"/>
      <c r="D109" s="215"/>
      <c r="E109" s="215"/>
      <c r="F109" s="215"/>
      <c r="G109" s="215"/>
      <c r="H109" s="25"/>
      <c r="I109" s="5"/>
    </row>
    <row r="110" spans="1:9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>
      <c r="A111" s="226" t="s">
        <v>7</v>
      </c>
      <c r="B111" s="226"/>
      <c r="C111" s="226"/>
      <c r="D111" s="226"/>
      <c r="E111" s="226"/>
      <c r="F111" s="226"/>
      <c r="G111" s="226"/>
      <c r="H111" s="226"/>
      <c r="I111" s="226"/>
    </row>
    <row r="112" spans="1:9" ht="15.75">
      <c r="A112" s="226" t="s">
        <v>8</v>
      </c>
      <c r="B112" s="226"/>
      <c r="C112" s="226"/>
      <c r="D112" s="226"/>
      <c r="E112" s="226"/>
      <c r="F112" s="226"/>
      <c r="G112" s="226"/>
      <c r="H112" s="226"/>
      <c r="I112" s="226"/>
    </row>
    <row r="113" spans="1:9" ht="15.75">
      <c r="A113" s="219" t="s">
        <v>58</v>
      </c>
      <c r="B113" s="219"/>
      <c r="C113" s="219"/>
      <c r="D113" s="219"/>
      <c r="E113" s="219"/>
      <c r="F113" s="219"/>
      <c r="G113" s="219"/>
      <c r="H113" s="219"/>
      <c r="I113" s="219"/>
    </row>
    <row r="114" spans="1:9" ht="15.75">
      <c r="A114" s="11"/>
    </row>
    <row r="115" spans="1:9" ht="15.75">
      <c r="A115" s="213" t="s">
        <v>9</v>
      </c>
      <c r="B115" s="213"/>
      <c r="C115" s="213"/>
      <c r="D115" s="213"/>
      <c r="E115" s="213"/>
      <c r="F115" s="213"/>
      <c r="G115" s="213"/>
      <c r="H115" s="213"/>
      <c r="I115" s="213"/>
    </row>
    <row r="116" spans="1:9" ht="15.75">
      <c r="A116" s="4"/>
    </row>
    <row r="117" spans="1:9" ht="15.75">
      <c r="B117" s="121" t="s">
        <v>10</v>
      </c>
      <c r="C117" s="214" t="s">
        <v>275</v>
      </c>
      <c r="D117" s="214"/>
      <c r="E117" s="214"/>
      <c r="F117" s="58"/>
      <c r="I117" s="123"/>
    </row>
    <row r="118" spans="1:9">
      <c r="A118" s="118"/>
      <c r="C118" s="215" t="s">
        <v>11</v>
      </c>
      <c r="D118" s="215"/>
      <c r="E118" s="215"/>
      <c r="F118" s="25"/>
      <c r="I118" s="122" t="s">
        <v>12</v>
      </c>
    </row>
    <row r="119" spans="1:9" ht="15.75">
      <c r="A119" s="26"/>
      <c r="C119" s="12"/>
      <c r="D119" s="12"/>
      <c r="G119" s="12"/>
      <c r="H119" s="12"/>
    </row>
    <row r="120" spans="1:9" ht="15.75">
      <c r="B120" s="121" t="s">
        <v>13</v>
      </c>
      <c r="C120" s="216"/>
      <c r="D120" s="216"/>
      <c r="E120" s="216"/>
      <c r="F120" s="59"/>
      <c r="I120" s="123"/>
    </row>
    <row r="121" spans="1:9">
      <c r="A121" s="118"/>
      <c r="C121" s="217" t="s">
        <v>11</v>
      </c>
      <c r="D121" s="217"/>
      <c r="E121" s="217"/>
      <c r="F121" s="118"/>
      <c r="I121" s="122" t="s">
        <v>12</v>
      </c>
    </row>
    <row r="122" spans="1:9" ht="15.75">
      <c r="A122" s="4" t="s">
        <v>14</v>
      </c>
    </row>
    <row r="123" spans="1:9">
      <c r="A123" s="218" t="s">
        <v>15</v>
      </c>
      <c r="B123" s="218"/>
      <c r="C123" s="218"/>
      <c r="D123" s="218"/>
      <c r="E123" s="218"/>
      <c r="F123" s="218"/>
      <c r="G123" s="218"/>
      <c r="H123" s="218"/>
      <c r="I123" s="218"/>
    </row>
    <row r="124" spans="1:9" ht="60" customHeight="1">
      <c r="A124" s="212" t="s">
        <v>16</v>
      </c>
      <c r="B124" s="212"/>
      <c r="C124" s="212"/>
      <c r="D124" s="212"/>
      <c r="E124" s="212"/>
      <c r="F124" s="212"/>
      <c r="G124" s="212"/>
      <c r="H124" s="212"/>
      <c r="I124" s="212"/>
    </row>
    <row r="125" spans="1:9" ht="48.75" customHeight="1">
      <c r="A125" s="212" t="s">
        <v>17</v>
      </c>
      <c r="B125" s="212"/>
      <c r="C125" s="212"/>
      <c r="D125" s="212"/>
      <c r="E125" s="212"/>
      <c r="F125" s="212"/>
      <c r="G125" s="212"/>
      <c r="H125" s="212"/>
      <c r="I125" s="212"/>
    </row>
    <row r="126" spans="1:9" ht="47.25" customHeight="1">
      <c r="A126" s="212" t="s">
        <v>21</v>
      </c>
      <c r="B126" s="212"/>
      <c r="C126" s="212"/>
      <c r="D126" s="212"/>
      <c r="E126" s="212"/>
      <c r="F126" s="212"/>
      <c r="G126" s="212"/>
      <c r="H126" s="212"/>
      <c r="I126" s="212"/>
    </row>
    <row r="127" spans="1:9" ht="15.75">
      <c r="A127" s="212" t="s">
        <v>20</v>
      </c>
      <c r="B127" s="212"/>
      <c r="C127" s="212"/>
      <c r="D127" s="212"/>
      <c r="E127" s="212"/>
      <c r="F127" s="212"/>
      <c r="G127" s="212"/>
      <c r="H127" s="212"/>
      <c r="I127" s="212"/>
    </row>
  </sheetData>
  <mergeCells count="28"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  <mergeCell ref="A113:I113"/>
    <mergeCell ref="A15:I15"/>
    <mergeCell ref="A27:I27"/>
    <mergeCell ref="A43:I43"/>
    <mergeCell ref="A53:I53"/>
    <mergeCell ref="A84:I84"/>
    <mergeCell ref="A88:I88"/>
    <mergeCell ref="A107:I107"/>
    <mergeCell ref="B108:G108"/>
    <mergeCell ref="B109:G109"/>
    <mergeCell ref="A111:I111"/>
    <mergeCell ref="A112:I112"/>
    <mergeCell ref="A14:I14"/>
    <mergeCell ref="A3:I3"/>
    <mergeCell ref="A4:I4"/>
    <mergeCell ref="A5:I5"/>
    <mergeCell ref="A8:I8"/>
    <mergeCell ref="A10:I10"/>
  </mergeCells>
  <pageMargins left="0.70866141732283472" right="0.11811023622047245" top="0.74803149606299213" bottom="0.74803149606299213" header="0.31496062992125984" footer="0.31496062992125984"/>
  <pageSetup paperSize="9" scale="60" orientation="portrait" horizontalDpi="0" verticalDpi="0" r:id="rId1"/>
  <rowBreaks count="1" manualBreakCount="1">
    <brk id="102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22"/>
  <sheetViews>
    <sheetView topLeftCell="A72" zoomScaleNormal="100" workbookViewId="0">
      <selection activeCell="L105" sqref="L105"/>
    </sheetView>
  </sheetViews>
  <sheetFormatPr defaultRowHeight="15"/>
  <cols>
    <col min="1" max="1" width="10.5703125" customWidth="1"/>
    <col min="2" max="2" width="50" customWidth="1"/>
    <col min="3" max="3" width="17.28515625" customWidth="1"/>
    <col min="4" max="4" width="21.5703125" customWidth="1"/>
    <col min="5" max="5" width="0" hidden="1" customWidth="1"/>
    <col min="6" max="6" width="9" hidden="1" customWidth="1"/>
    <col min="7" max="7" width="16.7109375" customWidth="1"/>
    <col min="8" max="8" width="0" hidden="1" customWidth="1"/>
    <col min="9" max="9" width="17.85546875" customWidth="1"/>
  </cols>
  <sheetData>
    <row r="1" spans="1:9" ht="15.75">
      <c r="A1" s="28" t="s">
        <v>158</v>
      </c>
      <c r="I1" s="27"/>
    </row>
    <row r="2" spans="1:9" ht="15.75">
      <c r="A2" s="29" t="s">
        <v>59</v>
      </c>
    </row>
    <row r="3" spans="1:9" ht="15.75">
      <c r="A3" s="233" t="s">
        <v>160</v>
      </c>
      <c r="B3" s="233"/>
      <c r="C3" s="233"/>
      <c r="D3" s="233"/>
      <c r="E3" s="233"/>
      <c r="F3" s="233"/>
      <c r="G3" s="233"/>
      <c r="H3" s="233"/>
      <c r="I3" s="233"/>
    </row>
    <row r="4" spans="1:9" ht="39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284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29"/>
      <c r="C6" s="129"/>
      <c r="D6" s="129"/>
      <c r="E6" s="129"/>
      <c r="F6" s="129"/>
      <c r="G6" s="129"/>
      <c r="H6" s="129"/>
      <c r="I6" s="31">
        <v>44408</v>
      </c>
    </row>
    <row r="7" spans="1:9" ht="15.75">
      <c r="B7" s="128"/>
      <c r="C7" s="128"/>
      <c r="D7" s="128"/>
      <c r="E7" s="3"/>
      <c r="F7" s="3"/>
      <c r="G7" s="3"/>
      <c r="H7" s="3"/>
    </row>
    <row r="8" spans="1:9" ht="96" customHeight="1">
      <c r="A8" s="236" t="s">
        <v>203</v>
      </c>
      <c r="B8" s="236"/>
      <c r="C8" s="236"/>
      <c r="D8" s="236"/>
      <c r="E8" s="236"/>
      <c r="F8" s="236"/>
      <c r="G8" s="236"/>
      <c r="H8" s="236"/>
      <c r="I8" s="236"/>
    </row>
    <row r="9" spans="1:9" ht="1.5" customHeight="1">
      <c r="A9" s="4"/>
    </row>
    <row r="10" spans="1:9" ht="64.5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60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</row>
    <row r="16" spans="1:9" ht="16.5" customHeight="1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7.25" customHeight="1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4.25" customHeight="1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>
      <c r="A20" s="30">
        <v>4</v>
      </c>
      <c r="B20" s="113" t="s">
        <v>90</v>
      </c>
      <c r="C20" s="114" t="s">
        <v>80</v>
      </c>
      <c r="D20" s="113" t="s">
        <v>173</v>
      </c>
      <c r="E20" s="165">
        <v>14</v>
      </c>
      <c r="F20" s="116">
        <f>SUM(E20*2/100)</f>
        <v>0.28000000000000003</v>
      </c>
      <c r="G20" s="116">
        <v>312.35000000000002</v>
      </c>
      <c r="H20" s="65">
        <f t="shared" si="0"/>
        <v>8.7458000000000008E-2</v>
      </c>
      <c r="I20" s="13">
        <f>F20/2*G20</f>
        <v>43.729000000000006</v>
      </c>
    </row>
    <row r="21" spans="1:9">
      <c r="A21" s="30">
        <v>5</v>
      </c>
      <c r="B21" s="113" t="s">
        <v>91</v>
      </c>
      <c r="C21" s="114" t="s">
        <v>80</v>
      </c>
      <c r="D21" s="113" t="s">
        <v>173</v>
      </c>
      <c r="E21" s="165">
        <v>6</v>
      </c>
      <c r="F21" s="116">
        <f>SUM(E21*1/100)</f>
        <v>0.06</v>
      </c>
      <c r="G21" s="116">
        <v>309.81</v>
      </c>
      <c r="H21" s="65">
        <f>SUM(F21*G21/1000)</f>
        <v>1.85886E-2</v>
      </c>
      <c r="I21" s="13">
        <f>F21*G21</f>
        <v>18.5886</v>
      </c>
    </row>
    <row r="22" spans="1:9">
      <c r="A22" s="30">
        <v>6</v>
      </c>
      <c r="B22" s="113" t="s">
        <v>92</v>
      </c>
      <c r="C22" s="114" t="s">
        <v>50</v>
      </c>
      <c r="D22" s="113" t="s">
        <v>195</v>
      </c>
      <c r="E22" s="165">
        <v>640</v>
      </c>
      <c r="F22" s="116">
        <f>SUM(E22/100)</f>
        <v>6.4</v>
      </c>
      <c r="G22" s="116">
        <v>386</v>
      </c>
      <c r="H22" s="65">
        <f t="shared" si="0"/>
        <v>2.4704000000000002</v>
      </c>
      <c r="I22" s="13">
        <f t="shared" ref="I22:I25" si="1">F22*G22</f>
        <v>2470.4</v>
      </c>
    </row>
    <row r="23" spans="1:9">
      <c r="A23" s="30">
        <v>7</v>
      </c>
      <c r="B23" s="113" t="s">
        <v>93</v>
      </c>
      <c r="C23" s="114" t="s">
        <v>50</v>
      </c>
      <c r="D23" s="113" t="s">
        <v>288</v>
      </c>
      <c r="E23" s="194">
        <v>49</v>
      </c>
      <c r="F23" s="116">
        <f>SUM(E23/100)</f>
        <v>0.49</v>
      </c>
      <c r="G23" s="116">
        <v>63.49</v>
      </c>
      <c r="H23" s="65">
        <f t="shared" si="0"/>
        <v>3.1110099999999998E-2</v>
      </c>
      <c r="I23" s="13">
        <f t="shared" si="1"/>
        <v>31.110099999999999</v>
      </c>
    </row>
    <row r="24" spans="1:9">
      <c r="A24" s="30">
        <v>8</v>
      </c>
      <c r="B24" s="113" t="s">
        <v>94</v>
      </c>
      <c r="C24" s="114" t="s">
        <v>50</v>
      </c>
      <c r="D24" s="113" t="s">
        <v>173</v>
      </c>
      <c r="E24" s="165">
        <v>8.5</v>
      </c>
      <c r="F24" s="116">
        <f>SUM(E24/100)</f>
        <v>8.5000000000000006E-2</v>
      </c>
      <c r="G24" s="116">
        <v>746.6</v>
      </c>
      <c r="H24" s="65">
        <f t="shared" si="0"/>
        <v>6.3461000000000004E-2</v>
      </c>
      <c r="I24" s="13">
        <f t="shared" si="1"/>
        <v>63.461000000000006</v>
      </c>
    </row>
    <row r="25" spans="1:9" ht="15.75" customHeight="1">
      <c r="A25" s="30">
        <v>9</v>
      </c>
      <c r="B25" s="113" t="s">
        <v>109</v>
      </c>
      <c r="C25" s="114" t="s">
        <v>50</v>
      </c>
      <c r="D25" s="113" t="s">
        <v>181</v>
      </c>
      <c r="E25" s="165">
        <v>19</v>
      </c>
      <c r="F25" s="116">
        <f>E25/100</f>
        <v>0.19</v>
      </c>
      <c r="G25" s="116">
        <v>309.81</v>
      </c>
      <c r="H25" s="65">
        <f>G25*F25/1000</f>
        <v>5.8863900000000004E-2</v>
      </c>
      <c r="I25" s="13">
        <f t="shared" si="1"/>
        <v>58.863900000000001</v>
      </c>
    </row>
    <row r="26" spans="1:9" ht="18.75" hidden="1" customHeight="1">
      <c r="A26" s="30">
        <v>4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20" t="s">
        <v>78</v>
      </c>
      <c r="B27" s="220"/>
      <c r="C27" s="220"/>
      <c r="D27" s="220"/>
      <c r="E27" s="220"/>
      <c r="F27" s="220"/>
      <c r="G27" s="220"/>
      <c r="H27" s="220"/>
      <c r="I27" s="220"/>
    </row>
    <row r="28" spans="1:9" ht="15.75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t="18" customHeight="1">
      <c r="A29" s="30">
        <v>10</v>
      </c>
      <c r="B29" s="113" t="s">
        <v>96</v>
      </c>
      <c r="C29" s="114" t="s">
        <v>82</v>
      </c>
      <c r="D29" s="113" t="s">
        <v>178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1" si="2">SUM(F29*G29/1000)</f>
        <v>5.8264066560000014</v>
      </c>
      <c r="I29" s="13">
        <f>F29/6*G29</f>
        <v>971.06777600000009</v>
      </c>
    </row>
    <row r="30" spans="1:9" ht="33" customHeight="1">
      <c r="A30" s="30">
        <v>11</v>
      </c>
      <c r="B30" s="113" t="s">
        <v>192</v>
      </c>
      <c r="C30" s="114" t="s">
        <v>82</v>
      </c>
      <c r="D30" s="113" t="s">
        <v>168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 hidden="1">
      <c r="A31" s="30">
        <v>15</v>
      </c>
      <c r="B31" s="113" t="s">
        <v>27</v>
      </c>
      <c r="C31" s="114" t="s">
        <v>82</v>
      </c>
      <c r="D31" s="113" t="s">
        <v>173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 ht="18" customHeight="1">
      <c r="A32" s="30">
        <v>12</v>
      </c>
      <c r="B32" s="113" t="s">
        <v>119</v>
      </c>
      <c r="C32" s="114" t="s">
        <v>38</v>
      </c>
      <c r="D32" s="113" t="s">
        <v>178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ref="H33:H34" si="4">SUM(F33*G33/1000)</f>
        <v>0.50183999999999995</v>
      </c>
      <c r="I33" s="13">
        <v>0</v>
      </c>
    </row>
    <row r="34" spans="1:9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4"/>
        <v>1.49031</v>
      </c>
      <c r="I34" s="13">
        <v>0</v>
      </c>
    </row>
    <row r="35" spans="1:9" hidden="1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5">SUM(F36*G36/1000)</f>
        <v>10.015000000000001</v>
      </c>
      <c r="I36" s="13">
        <f t="shared" ref="I36:I42" si="6">F36/6*G36</f>
        <v>1669.1666666666667</v>
      </c>
    </row>
    <row r="37" spans="1:9" hidden="1">
      <c r="A37" s="30">
        <v>7</v>
      </c>
      <c r="B37" s="61" t="s">
        <v>133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5"/>
        <v>4.50069696</v>
      </c>
      <c r="I37" s="13">
        <f t="shared" si="6"/>
        <v>750.11615999999992</v>
      </c>
    </row>
    <row r="38" spans="1:9" ht="30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5"/>
        <v>3.87888864</v>
      </c>
      <c r="I38" s="13">
        <f t="shared" si="6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5"/>
        <v>8.3113867199999998</v>
      </c>
      <c r="I39" s="13">
        <f t="shared" si="6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5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5"/>
        <v>0.8773470000000001</v>
      </c>
      <c r="I41" s="13">
        <f>(F41/7.5*1.5)*G41</f>
        <v>175.46940000000004</v>
      </c>
    </row>
    <row r="42" spans="1:9" ht="30" hidden="1">
      <c r="A42" s="30">
        <v>12</v>
      </c>
      <c r="B42" s="47" t="s">
        <v>134</v>
      </c>
      <c r="C42" s="49" t="s">
        <v>29</v>
      </c>
      <c r="D42" s="61" t="s">
        <v>135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5"/>
        <v>9.3671999999999991E-3</v>
      </c>
      <c r="I42" s="13">
        <f t="shared" si="6"/>
        <v>1.5611999999999997</v>
      </c>
    </row>
    <row r="43" spans="1:9" hidden="1">
      <c r="A43" s="221" t="s">
        <v>121</v>
      </c>
      <c r="B43" s="222"/>
      <c r="C43" s="222"/>
      <c r="D43" s="222"/>
      <c r="E43" s="222"/>
      <c r="F43" s="222"/>
      <c r="G43" s="222"/>
      <c r="H43" s="222"/>
      <c r="I43" s="223"/>
    </row>
    <row r="44" spans="1:9" hidden="1">
      <c r="A44" s="30">
        <v>18</v>
      </c>
      <c r="B44" s="61" t="s">
        <v>113</v>
      </c>
      <c r="C44" s="62" t="s">
        <v>82</v>
      </c>
      <c r="D44" s="61" t="s">
        <v>40</v>
      </c>
      <c r="E44" s="63">
        <v>1320.9</v>
      </c>
      <c r="F44" s="64">
        <f>SUM(E44*2/1000)</f>
        <v>2.6418000000000004</v>
      </c>
      <c r="G44" s="35">
        <v>1114.1300000000001</v>
      </c>
      <c r="H44" s="65">
        <f t="shared" ref="H44:H52" si="7">SUM(F44*G44/1000)</f>
        <v>2.943308634000001</v>
      </c>
      <c r="I44" s="13">
        <f>2.6418/2*G44</f>
        <v>1471.654317</v>
      </c>
    </row>
    <row r="45" spans="1:9" hidden="1">
      <c r="A45" s="30">
        <v>19</v>
      </c>
      <c r="B45" s="61" t="s">
        <v>33</v>
      </c>
      <c r="C45" s="62" t="s">
        <v>82</v>
      </c>
      <c r="D45" s="61" t="s">
        <v>40</v>
      </c>
      <c r="E45" s="63">
        <v>52</v>
      </c>
      <c r="F45" s="64">
        <f>E45*2/1000</f>
        <v>0.104</v>
      </c>
      <c r="G45" s="35">
        <v>4419.05</v>
      </c>
      <c r="H45" s="65">
        <f t="shared" si="7"/>
        <v>0.45958120000000002</v>
      </c>
      <c r="I45" s="13">
        <f>0.104/2*G45</f>
        <v>229.79060000000001</v>
      </c>
    </row>
    <row r="46" spans="1:9" hidden="1">
      <c r="A46" s="30">
        <v>20</v>
      </c>
      <c r="B46" s="61" t="s">
        <v>34</v>
      </c>
      <c r="C46" s="62" t="s">
        <v>82</v>
      </c>
      <c r="D46" s="61" t="s">
        <v>40</v>
      </c>
      <c r="E46" s="63">
        <v>1520.8</v>
      </c>
      <c r="F46" s="64">
        <f>SUM(E46*2/1000)</f>
        <v>3.0415999999999999</v>
      </c>
      <c r="G46" s="35">
        <v>1803.69</v>
      </c>
      <c r="H46" s="65">
        <f t="shared" si="7"/>
        <v>5.4861035039999999</v>
      </c>
      <c r="I46" s="13">
        <f>3.0416/2*G46</f>
        <v>2743.0517519999999</v>
      </c>
    </row>
    <row r="47" spans="1:9" hidden="1">
      <c r="A47" s="30">
        <v>21</v>
      </c>
      <c r="B47" s="61" t="s">
        <v>35</v>
      </c>
      <c r="C47" s="62" t="s">
        <v>82</v>
      </c>
      <c r="D47" s="61" t="s">
        <v>40</v>
      </c>
      <c r="E47" s="63">
        <v>3433.81</v>
      </c>
      <c r="F47" s="64">
        <f>SUM(E47*2/1000)</f>
        <v>6.8676199999999996</v>
      </c>
      <c r="G47" s="35">
        <v>1243.43</v>
      </c>
      <c r="H47" s="65">
        <f t="shared" si="7"/>
        <v>8.5394047365999999</v>
      </c>
      <c r="I47" s="13">
        <f>6.86762/2*G47</f>
        <v>4269.7023682999998</v>
      </c>
    </row>
    <row r="48" spans="1:9" hidden="1">
      <c r="A48" s="30">
        <v>13</v>
      </c>
      <c r="B48" s="61" t="s">
        <v>53</v>
      </c>
      <c r="C48" s="62" t="s">
        <v>82</v>
      </c>
      <c r="D48" s="61" t="s">
        <v>125</v>
      </c>
      <c r="E48" s="63">
        <v>4731.7</v>
      </c>
      <c r="F48" s="64">
        <f>SUM(E48*5/1000)</f>
        <v>23.6585</v>
      </c>
      <c r="G48" s="35">
        <v>1803.69</v>
      </c>
      <c r="H48" s="65">
        <f t="shared" si="7"/>
        <v>42.672599865000002</v>
      </c>
      <c r="I48" s="13">
        <f>F48/5*G48</f>
        <v>8534.5199730000004</v>
      </c>
    </row>
    <row r="49" spans="1:9" ht="45" hidden="1">
      <c r="A49" s="30">
        <v>22</v>
      </c>
      <c r="B49" s="61" t="s">
        <v>84</v>
      </c>
      <c r="C49" s="62" t="s">
        <v>82</v>
      </c>
      <c r="D49" s="61" t="s">
        <v>40</v>
      </c>
      <c r="E49" s="63">
        <v>4731.7</v>
      </c>
      <c r="F49" s="64">
        <f>SUM(E49*2/1000)</f>
        <v>9.4634</v>
      </c>
      <c r="G49" s="35">
        <v>1591.6</v>
      </c>
      <c r="H49" s="65">
        <f t="shared" si="7"/>
        <v>15.061947439999999</v>
      </c>
      <c r="I49" s="13">
        <f>9.4634/2*G49</f>
        <v>7530.97372</v>
      </c>
    </row>
    <row r="50" spans="1:9" ht="30" hidden="1">
      <c r="A50" s="30">
        <v>23</v>
      </c>
      <c r="B50" s="61" t="s">
        <v>85</v>
      </c>
      <c r="C50" s="62" t="s">
        <v>36</v>
      </c>
      <c r="D50" s="61" t="s">
        <v>40</v>
      </c>
      <c r="E50" s="63">
        <v>20</v>
      </c>
      <c r="F50" s="64">
        <f>SUM(E50*2/100)</f>
        <v>0.4</v>
      </c>
      <c r="G50" s="35">
        <v>4058.32</v>
      </c>
      <c r="H50" s="65">
        <f>SUM(F50*G50/1000)</f>
        <v>1.6233280000000001</v>
      </c>
      <c r="I50" s="13">
        <f>0.4/2*G50</f>
        <v>811.6640000000001</v>
      </c>
    </row>
    <row r="51" spans="1:9" hidden="1">
      <c r="A51" s="30">
        <v>24</v>
      </c>
      <c r="B51" s="61" t="s">
        <v>37</v>
      </c>
      <c r="C51" s="62" t="s">
        <v>38</v>
      </c>
      <c r="D51" s="61" t="s">
        <v>40</v>
      </c>
      <c r="E51" s="63">
        <v>1</v>
      </c>
      <c r="F51" s="64">
        <v>0.02</v>
      </c>
      <c r="G51" s="35">
        <v>7412.92</v>
      </c>
      <c r="H51" s="65">
        <f t="shared" si="7"/>
        <v>0.14825839999999998</v>
      </c>
      <c r="I51" s="13">
        <f>0.02/2*G51</f>
        <v>74.129199999999997</v>
      </c>
    </row>
    <row r="52" spans="1:9" hidden="1">
      <c r="A52" s="30">
        <v>13</v>
      </c>
      <c r="B52" s="61" t="s">
        <v>39</v>
      </c>
      <c r="C52" s="62" t="s">
        <v>97</v>
      </c>
      <c r="D52" s="61" t="s">
        <v>51</v>
      </c>
      <c r="E52" s="63">
        <v>160</v>
      </c>
      <c r="F52" s="64">
        <f>SUM(E52)</f>
        <v>160</v>
      </c>
      <c r="G52" s="117">
        <v>86.15</v>
      </c>
      <c r="H52" s="65">
        <f t="shared" si="7"/>
        <v>13.784000000000001</v>
      </c>
      <c r="I52" s="13">
        <f>G52*160</f>
        <v>13784</v>
      </c>
    </row>
    <row r="53" spans="1:9">
      <c r="A53" s="221" t="s">
        <v>148</v>
      </c>
      <c r="B53" s="222"/>
      <c r="C53" s="222"/>
      <c r="D53" s="222"/>
      <c r="E53" s="222"/>
      <c r="F53" s="222"/>
      <c r="G53" s="222"/>
      <c r="H53" s="222"/>
      <c r="I53" s="223"/>
    </row>
    <row r="54" spans="1:9" hidden="1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30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8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8"/>
        <v>0.46268039999999994</v>
      </c>
      <c r="I57" s="13">
        <f>F57/6*G57</f>
        <v>77.113399999999999</v>
      </c>
    </row>
    <row r="58" spans="1:9" hidden="1">
      <c r="A58" s="30">
        <v>10</v>
      </c>
      <c r="B58" s="61" t="s">
        <v>136</v>
      </c>
      <c r="C58" s="62" t="s">
        <v>137</v>
      </c>
      <c r="D58" s="61" t="s">
        <v>63</v>
      </c>
      <c r="E58" s="63"/>
      <c r="F58" s="64">
        <v>3</v>
      </c>
      <c r="G58" s="13">
        <v>1582.05</v>
      </c>
      <c r="H58" s="65">
        <f>SUM(F58*G58/1000)</f>
        <v>4.7461499999999992</v>
      </c>
      <c r="I58" s="13">
        <f>G58*2</f>
        <v>3164.1</v>
      </c>
    </row>
    <row r="59" spans="1:9" ht="18.75" customHeight="1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138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 ht="15" customHeight="1">
      <c r="A61" s="30">
        <v>13</v>
      </c>
      <c r="B61" s="70" t="s">
        <v>108</v>
      </c>
      <c r="C61" s="71" t="s">
        <v>25</v>
      </c>
      <c r="D61" s="70" t="s">
        <v>173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16.5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17.25" customHeight="1">
      <c r="A63" s="30">
        <v>14</v>
      </c>
      <c r="B63" s="180" t="s">
        <v>44</v>
      </c>
      <c r="C63" s="168" t="s">
        <v>97</v>
      </c>
      <c r="D63" s="36" t="s">
        <v>173</v>
      </c>
      <c r="E63" s="17"/>
      <c r="F63" s="35">
        <v>11</v>
      </c>
      <c r="G63" s="115">
        <v>318.82</v>
      </c>
      <c r="H63" s="76">
        <f t="shared" ref="H63:H82" si="9">SUM(F63*G63/1000)</f>
        <v>3.5070199999999998</v>
      </c>
      <c r="I63" s="13">
        <f>G63*1</f>
        <v>318.82</v>
      </c>
    </row>
    <row r="64" spans="1:9" ht="15.75" hidden="1" customHeight="1">
      <c r="A64" s="30"/>
      <c r="B64" s="14" t="s">
        <v>45</v>
      </c>
      <c r="C64" s="16" t="s">
        <v>97</v>
      </c>
      <c r="D64" s="14" t="s">
        <v>63</v>
      </c>
      <c r="E64" s="18">
        <v>9</v>
      </c>
      <c r="F64" s="64">
        <f>SUM(E64)</f>
        <v>9</v>
      </c>
      <c r="G64" s="13">
        <v>100.01</v>
      </c>
      <c r="H64" s="76">
        <f t="shared" si="9"/>
        <v>0.90009000000000006</v>
      </c>
      <c r="I64" s="13">
        <v>0</v>
      </c>
    </row>
    <row r="65" spans="1:9" hidden="1">
      <c r="A65" s="30">
        <v>10</v>
      </c>
      <c r="B65" s="14" t="s">
        <v>46</v>
      </c>
      <c r="C65" s="16" t="s">
        <v>99</v>
      </c>
      <c r="D65" s="14"/>
      <c r="E65" s="63">
        <v>19836</v>
      </c>
      <c r="F65" s="13">
        <f>SUM(E65/100)</f>
        <v>198.36</v>
      </c>
      <c r="G65" s="115">
        <v>304.13</v>
      </c>
      <c r="H65" s="76">
        <f t="shared" si="9"/>
        <v>60.327226800000005</v>
      </c>
      <c r="I65" s="13">
        <f>F65*G65</f>
        <v>60327.226800000004</v>
      </c>
    </row>
    <row r="66" spans="1:9" hidden="1">
      <c r="A66" s="30">
        <v>11</v>
      </c>
      <c r="B66" s="14" t="s">
        <v>47</v>
      </c>
      <c r="C66" s="16" t="s">
        <v>100</v>
      </c>
      <c r="D66" s="14"/>
      <c r="E66" s="63">
        <v>19836</v>
      </c>
      <c r="F66" s="13">
        <f>SUM(E66/1000)</f>
        <v>19.835999999999999</v>
      </c>
      <c r="G66" s="195">
        <v>236.84</v>
      </c>
      <c r="H66" s="76">
        <f t="shared" si="9"/>
        <v>4.6979582400000002</v>
      </c>
      <c r="I66" s="13">
        <f t="shared" ref="I66:I70" si="10">F66*G66</f>
        <v>4697.9582399999999</v>
      </c>
    </row>
    <row r="67" spans="1:9" hidden="1">
      <c r="A67" s="30">
        <v>12</v>
      </c>
      <c r="B67" s="14" t="s">
        <v>48</v>
      </c>
      <c r="C67" s="16" t="s">
        <v>71</v>
      </c>
      <c r="D67" s="14"/>
      <c r="E67" s="63">
        <v>3155</v>
      </c>
      <c r="F67" s="13">
        <f>SUM(E67/100)</f>
        <v>31.55</v>
      </c>
      <c r="G67" s="115">
        <v>2974.1</v>
      </c>
      <c r="H67" s="76">
        <f t="shared" si="9"/>
        <v>93.832854999999995</v>
      </c>
      <c r="I67" s="13">
        <f t="shared" si="10"/>
        <v>93832.854999999996</v>
      </c>
    </row>
    <row r="68" spans="1:9" hidden="1">
      <c r="A68" s="30">
        <v>13</v>
      </c>
      <c r="B68" s="196" t="s">
        <v>101</v>
      </c>
      <c r="C68" s="168" t="s">
        <v>32</v>
      </c>
      <c r="D68" s="36"/>
      <c r="E68" s="165">
        <v>17.8</v>
      </c>
      <c r="F68" s="35">
        <f>SUM(E68)</f>
        <v>17.8</v>
      </c>
      <c r="G68" s="35">
        <v>47.98</v>
      </c>
      <c r="H68" s="76">
        <f t="shared" si="9"/>
        <v>0.85404400000000003</v>
      </c>
      <c r="I68" s="13">
        <f t="shared" si="10"/>
        <v>854.04399999999998</v>
      </c>
    </row>
    <row r="69" spans="1:9" hidden="1">
      <c r="A69" s="30">
        <v>14</v>
      </c>
      <c r="B69" s="196" t="s">
        <v>102</v>
      </c>
      <c r="C69" s="168" t="s">
        <v>32</v>
      </c>
      <c r="D69" s="36"/>
      <c r="E69" s="165">
        <v>17.8</v>
      </c>
      <c r="F69" s="35">
        <f>SUM(E69)</f>
        <v>17.8</v>
      </c>
      <c r="G69" s="35">
        <v>51.75</v>
      </c>
      <c r="H69" s="76">
        <f t="shared" si="9"/>
        <v>0.92115000000000014</v>
      </c>
      <c r="I69" s="13">
        <f t="shared" si="10"/>
        <v>921.15000000000009</v>
      </c>
    </row>
    <row r="70" spans="1:9" hidden="1">
      <c r="A70" s="30">
        <v>12</v>
      </c>
      <c r="B70" s="14" t="s">
        <v>54</v>
      </c>
      <c r="C70" s="16" t="s">
        <v>55</v>
      </c>
      <c r="D70" s="14" t="s">
        <v>51</v>
      </c>
      <c r="E70" s="18">
        <v>5</v>
      </c>
      <c r="F70" s="13">
        <f t="shared" ref="F70" si="11">SUM(E70)</f>
        <v>5</v>
      </c>
      <c r="G70" s="13">
        <v>65.42</v>
      </c>
      <c r="H70" s="76">
        <f t="shared" si="9"/>
        <v>0.3271</v>
      </c>
      <c r="I70" s="13">
        <f t="shared" si="10"/>
        <v>327.10000000000002</v>
      </c>
    </row>
    <row r="71" spans="1:9" ht="16.5" hidden="1" customHeight="1">
      <c r="A71" s="30">
        <v>15</v>
      </c>
      <c r="B71" s="36" t="s">
        <v>196</v>
      </c>
      <c r="C71" s="168"/>
      <c r="D71" s="36" t="s">
        <v>198</v>
      </c>
      <c r="E71" s="17">
        <v>12</v>
      </c>
      <c r="F71" s="35">
        <f>E71*1</f>
        <v>12</v>
      </c>
      <c r="G71" s="35">
        <v>968.66</v>
      </c>
      <c r="H71" s="76"/>
      <c r="I71" s="13">
        <f>G71*2</f>
        <v>1937.32</v>
      </c>
    </row>
    <row r="72" spans="1:9">
      <c r="A72" s="30"/>
      <c r="B72" s="95" t="s">
        <v>139</v>
      </c>
      <c r="C72" s="49"/>
      <c r="D72" s="14"/>
      <c r="E72" s="18"/>
      <c r="F72" s="13"/>
      <c r="G72" s="13"/>
      <c r="H72" s="76"/>
      <c r="I72" s="13"/>
    </row>
    <row r="73" spans="1:9" ht="18.75" customHeight="1">
      <c r="A73" s="30">
        <v>15</v>
      </c>
      <c r="B73" s="36" t="s">
        <v>140</v>
      </c>
      <c r="C73" s="176" t="s">
        <v>141</v>
      </c>
      <c r="D73" s="36"/>
      <c r="E73" s="17">
        <v>4731.7</v>
      </c>
      <c r="F73" s="35">
        <f>SUM(E73*12)</f>
        <v>56780.399999999994</v>
      </c>
      <c r="G73" s="115">
        <v>2.4900000000000002</v>
      </c>
      <c r="H73" s="76">
        <f t="shared" ref="H73" si="12">SUM(F73*G73/1000)</f>
        <v>141.383196</v>
      </c>
      <c r="I73" s="13">
        <f>F73/12*G73</f>
        <v>11781.933000000001</v>
      </c>
    </row>
    <row r="74" spans="1:9">
      <c r="A74" s="30"/>
      <c r="B74" s="130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0" hidden="1">
      <c r="A75" s="30"/>
      <c r="B75" s="14" t="s">
        <v>142</v>
      </c>
      <c r="C75" s="16" t="s">
        <v>97</v>
      </c>
      <c r="D75" s="14" t="s">
        <v>63</v>
      </c>
      <c r="E75" s="18">
        <v>1</v>
      </c>
      <c r="F75" s="13">
        <v>1</v>
      </c>
      <c r="G75" s="13">
        <v>1543.4</v>
      </c>
      <c r="H75" s="76">
        <f t="shared" ref="H75:H78" si="13">SUM(F75*G75/1000)</f>
        <v>1.5434000000000001</v>
      </c>
      <c r="I75" s="13">
        <v>0</v>
      </c>
    </row>
    <row r="76" spans="1:9" hidden="1">
      <c r="A76" s="30">
        <v>19</v>
      </c>
      <c r="B76" s="47" t="s">
        <v>143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t="18.75" hidden="1" customHeight="1">
      <c r="A77" s="30">
        <v>17</v>
      </c>
      <c r="B77" s="14" t="s">
        <v>68</v>
      </c>
      <c r="C77" s="16" t="s">
        <v>69</v>
      </c>
      <c r="D77" s="44" t="s">
        <v>197</v>
      </c>
      <c r="E77" s="18">
        <v>8</v>
      </c>
      <c r="F77" s="13">
        <f>E77/10</f>
        <v>0.8</v>
      </c>
      <c r="G77" s="115">
        <v>719.08</v>
      </c>
      <c r="H77" s="76">
        <f t="shared" si="13"/>
        <v>0.575264</v>
      </c>
      <c r="I77" s="13">
        <f>G77*0.1</f>
        <v>71.908000000000001</v>
      </c>
    </row>
    <row r="78" spans="1:9" hidden="1">
      <c r="A78" s="30"/>
      <c r="B78" s="14" t="s">
        <v>144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3"/>
        <v>1.1187199999999999</v>
      </c>
      <c r="I78" s="13">
        <v>0</v>
      </c>
    </row>
    <row r="79" spans="1:9" hidden="1">
      <c r="A79" s="30"/>
      <c r="B79" s="47" t="s">
        <v>145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 ht="18" customHeight="1">
      <c r="A80" s="30">
        <v>16</v>
      </c>
      <c r="B80" s="105" t="s">
        <v>146</v>
      </c>
      <c r="C80" s="106" t="s">
        <v>97</v>
      </c>
      <c r="D80" s="36" t="s">
        <v>173</v>
      </c>
      <c r="E80" s="177">
        <v>2</v>
      </c>
      <c r="F80" s="175">
        <f>E80*12</f>
        <v>24</v>
      </c>
      <c r="G80" s="182">
        <v>404</v>
      </c>
      <c r="H80" s="76">
        <f t="shared" ref="H80" si="14">SUM(F80*G80/1000)</f>
        <v>9.6959999999999997</v>
      </c>
      <c r="I80" s="13">
        <f>F80/12*G80</f>
        <v>808</v>
      </c>
    </row>
    <row r="81" spans="1:9" hidden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idden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9"/>
        <v>1.0857270000000001</v>
      </c>
      <c r="I82" s="13">
        <v>0</v>
      </c>
    </row>
    <row r="83" spans="1:9" ht="28.5" hidden="1">
      <c r="A83" s="30"/>
      <c r="B83" s="96" t="s">
        <v>86</v>
      </c>
      <c r="C83" s="79"/>
      <c r="D83" s="32"/>
      <c r="E83" s="33"/>
      <c r="F83" s="67"/>
      <c r="G83" s="67"/>
      <c r="H83" s="80">
        <f>SUM(H55:H82)</f>
        <v>353.34414440000006</v>
      </c>
      <c r="I83" s="67"/>
    </row>
    <row r="84" spans="1:9" hidden="1">
      <c r="A84" s="30"/>
      <c r="B84" s="61" t="s">
        <v>103</v>
      </c>
      <c r="C84" s="16"/>
      <c r="D84" s="14"/>
      <c r="E84" s="57"/>
      <c r="F84" s="13">
        <v>1</v>
      </c>
      <c r="G84" s="13">
        <v>20512</v>
      </c>
      <c r="H84" s="76">
        <f>G84*F84/1000</f>
        <v>20.512</v>
      </c>
      <c r="I84" s="13">
        <v>0</v>
      </c>
    </row>
    <row r="85" spans="1:9">
      <c r="A85" s="230" t="s">
        <v>149</v>
      </c>
      <c r="B85" s="231"/>
      <c r="C85" s="231"/>
      <c r="D85" s="231"/>
      <c r="E85" s="231"/>
      <c r="F85" s="231"/>
      <c r="G85" s="231"/>
      <c r="H85" s="231"/>
      <c r="I85" s="232"/>
    </row>
    <row r="86" spans="1:9" ht="18" customHeight="1">
      <c r="A86" s="30">
        <v>17</v>
      </c>
      <c r="B86" s="113" t="s">
        <v>104</v>
      </c>
      <c r="C86" s="168" t="s">
        <v>52</v>
      </c>
      <c r="D86" s="169"/>
      <c r="E86" s="115">
        <v>4731.7</v>
      </c>
      <c r="F86" s="115">
        <f>SUM(E86*12)</f>
        <v>56780.399999999994</v>
      </c>
      <c r="G86" s="115">
        <v>3.38</v>
      </c>
      <c r="H86" s="76">
        <f>SUM(F86*G86/1000)</f>
        <v>191.91775199999998</v>
      </c>
      <c r="I86" s="13">
        <f>F86/12*G86</f>
        <v>15993.145999999999</v>
      </c>
    </row>
    <row r="87" spans="1:9" ht="32.25" customHeight="1">
      <c r="A87" s="30">
        <v>18</v>
      </c>
      <c r="B87" s="36" t="s">
        <v>72</v>
      </c>
      <c r="C87" s="168"/>
      <c r="D87" s="48"/>
      <c r="E87" s="163">
        <f>E86</f>
        <v>4731.7</v>
      </c>
      <c r="F87" s="115">
        <f>E87*12</f>
        <v>56780.399999999994</v>
      </c>
      <c r="G87" s="115">
        <v>3.05</v>
      </c>
      <c r="H87" s="76">
        <f>F87*G87/1000</f>
        <v>173.18021999999996</v>
      </c>
      <c r="I87" s="13">
        <f>F87/12*G87</f>
        <v>14431.684999999999</v>
      </c>
    </row>
    <row r="88" spans="1:9">
      <c r="A88" s="30"/>
      <c r="B88" s="37" t="s">
        <v>74</v>
      </c>
      <c r="C88" s="79"/>
      <c r="D88" s="78"/>
      <c r="E88" s="67"/>
      <c r="F88" s="67"/>
      <c r="G88" s="67"/>
      <c r="H88" s="80">
        <f>H87</f>
        <v>173.18021999999996</v>
      </c>
      <c r="I88" s="67">
        <f>I87+I86+I80+I73+I63+I61+I32+I30+I29+I25+I24+I23+I22+I21+I20+I18+I17+I16</f>
        <v>64440.660315166664</v>
      </c>
    </row>
    <row r="89" spans="1:9">
      <c r="A89" s="227" t="s">
        <v>57</v>
      </c>
      <c r="B89" s="228"/>
      <c r="C89" s="228"/>
      <c r="D89" s="228"/>
      <c r="E89" s="228"/>
      <c r="F89" s="228"/>
      <c r="G89" s="228"/>
      <c r="H89" s="228"/>
      <c r="I89" s="229"/>
    </row>
    <row r="90" spans="1:9" ht="30">
      <c r="A90" s="30">
        <v>19</v>
      </c>
      <c r="B90" s="105" t="s">
        <v>151</v>
      </c>
      <c r="C90" s="106" t="s">
        <v>152</v>
      </c>
      <c r="D90" s="202" t="s">
        <v>290</v>
      </c>
      <c r="E90" s="167"/>
      <c r="F90" s="167">
        <v>5</v>
      </c>
      <c r="G90" s="167">
        <v>697.33</v>
      </c>
      <c r="H90" s="76"/>
      <c r="I90" s="13">
        <f>G90*1</f>
        <v>697.33</v>
      </c>
    </row>
    <row r="91" spans="1:9" ht="30">
      <c r="A91" s="30">
        <v>20</v>
      </c>
      <c r="B91" s="105" t="s">
        <v>239</v>
      </c>
      <c r="C91" s="106" t="s">
        <v>120</v>
      </c>
      <c r="D91" s="192"/>
      <c r="E91" s="167"/>
      <c r="F91" s="167">
        <v>10</v>
      </c>
      <c r="G91" s="167">
        <v>1478.55</v>
      </c>
      <c r="H91" s="76"/>
      <c r="I91" s="13">
        <f>G91*8</f>
        <v>11828.4</v>
      </c>
    </row>
    <row r="92" spans="1:9" ht="30">
      <c r="A92" s="30">
        <v>21</v>
      </c>
      <c r="B92" s="105" t="s">
        <v>156</v>
      </c>
      <c r="C92" s="106" t="s">
        <v>157</v>
      </c>
      <c r="D92" s="192" t="s">
        <v>289</v>
      </c>
      <c r="E92" s="167"/>
      <c r="F92" s="167">
        <v>2</v>
      </c>
      <c r="G92" s="167">
        <v>64.040000000000006</v>
      </c>
      <c r="H92" s="76"/>
      <c r="I92" s="13">
        <f>G92*1</f>
        <v>64.040000000000006</v>
      </c>
    </row>
    <row r="93" spans="1:9">
      <c r="A93" s="30">
        <v>22</v>
      </c>
      <c r="B93" s="209" t="s">
        <v>285</v>
      </c>
      <c r="C93" s="210" t="s">
        <v>286</v>
      </c>
      <c r="D93" s="192" t="s">
        <v>291</v>
      </c>
      <c r="E93" s="167"/>
      <c r="F93" s="167">
        <f>0.5/3</f>
        <v>0.16666666666666666</v>
      </c>
      <c r="G93" s="167">
        <v>1325.15</v>
      </c>
      <c r="H93" s="76"/>
      <c r="I93" s="13">
        <f>G93*0.5/3</f>
        <v>220.85833333333335</v>
      </c>
    </row>
    <row r="94" spans="1:9">
      <c r="A94" s="30">
        <v>23</v>
      </c>
      <c r="B94" s="105" t="s">
        <v>287</v>
      </c>
      <c r="C94" s="106" t="s">
        <v>152</v>
      </c>
      <c r="D94" s="192" t="s">
        <v>292</v>
      </c>
      <c r="E94" s="167"/>
      <c r="F94" s="167">
        <v>1</v>
      </c>
      <c r="G94" s="167">
        <v>620.62</v>
      </c>
      <c r="H94" s="76"/>
      <c r="I94" s="13">
        <f>G94*1</f>
        <v>620.62</v>
      </c>
    </row>
    <row r="95" spans="1:9">
      <c r="A95" s="30">
        <v>24</v>
      </c>
      <c r="B95" s="105" t="s">
        <v>150</v>
      </c>
      <c r="C95" s="106" t="s">
        <v>120</v>
      </c>
      <c r="D95" s="192" t="s">
        <v>206</v>
      </c>
      <c r="E95" s="167"/>
      <c r="F95" s="167">
        <v>6</v>
      </c>
      <c r="G95" s="167">
        <v>295.36</v>
      </c>
      <c r="H95" s="76"/>
      <c r="I95" s="13">
        <v>0</v>
      </c>
    </row>
    <row r="96" spans="1:9">
      <c r="A96" s="30">
        <v>25</v>
      </c>
      <c r="B96" s="105" t="s">
        <v>305</v>
      </c>
      <c r="C96" s="106" t="s">
        <v>97</v>
      </c>
      <c r="D96" s="192"/>
      <c r="E96" s="167"/>
      <c r="F96" s="167">
        <v>1</v>
      </c>
      <c r="G96" s="167">
        <v>224.48</v>
      </c>
      <c r="H96" s="76"/>
      <c r="I96" s="13">
        <f>G96*2</f>
        <v>448.96</v>
      </c>
    </row>
    <row r="97" spans="1:9" ht="30">
      <c r="A97" s="30">
        <v>26</v>
      </c>
      <c r="B97" s="105" t="s">
        <v>193</v>
      </c>
      <c r="C97" s="106" t="s">
        <v>36</v>
      </c>
      <c r="D97" s="192" t="s">
        <v>173</v>
      </c>
      <c r="E97" s="167"/>
      <c r="F97" s="167">
        <v>0.05</v>
      </c>
      <c r="G97" s="167">
        <v>4273.32</v>
      </c>
      <c r="H97" s="76"/>
      <c r="I97" s="13">
        <v>0</v>
      </c>
    </row>
    <row r="98" spans="1:9">
      <c r="A98" s="30">
        <v>27</v>
      </c>
      <c r="B98" s="105" t="s">
        <v>37</v>
      </c>
      <c r="C98" s="106" t="s">
        <v>304</v>
      </c>
      <c r="D98" s="192" t="s">
        <v>173</v>
      </c>
      <c r="E98" s="167"/>
      <c r="F98" s="167">
        <v>0.01</v>
      </c>
      <c r="G98" s="167">
        <v>8763.7900000000009</v>
      </c>
      <c r="H98" s="76"/>
      <c r="I98" s="13">
        <v>0</v>
      </c>
    </row>
    <row r="99" spans="1:9" ht="18" customHeight="1">
      <c r="A99" s="30"/>
      <c r="B99" s="32" t="s">
        <v>49</v>
      </c>
      <c r="C99" s="38"/>
      <c r="D99" s="45"/>
      <c r="E99" s="38">
        <v>1</v>
      </c>
      <c r="F99" s="38"/>
      <c r="G99" s="38"/>
      <c r="H99" s="38"/>
      <c r="I99" s="33">
        <f>SUM(I90:I98)</f>
        <v>13880.208333333334</v>
      </c>
    </row>
    <row r="100" spans="1:9">
      <c r="A100" s="30"/>
      <c r="B100" s="44" t="s">
        <v>73</v>
      </c>
      <c r="C100" s="15"/>
      <c r="D100" s="15"/>
      <c r="E100" s="39"/>
      <c r="F100" s="39"/>
      <c r="G100" s="40"/>
      <c r="H100" s="40"/>
      <c r="I100" s="17">
        <v>0</v>
      </c>
    </row>
    <row r="101" spans="1:9">
      <c r="A101" s="46"/>
      <c r="B101" s="43" t="s">
        <v>131</v>
      </c>
      <c r="C101" s="34"/>
      <c r="D101" s="34"/>
      <c r="E101" s="34"/>
      <c r="F101" s="34"/>
      <c r="G101" s="34"/>
      <c r="H101" s="34"/>
      <c r="I101" s="41">
        <f>I88+I99</f>
        <v>78320.868648499993</v>
      </c>
    </row>
    <row r="102" spans="1:9" ht="15.75">
      <c r="A102" s="224" t="s">
        <v>306</v>
      </c>
      <c r="B102" s="224"/>
      <c r="C102" s="224"/>
      <c r="D102" s="224"/>
      <c r="E102" s="224"/>
      <c r="F102" s="224"/>
      <c r="G102" s="224"/>
      <c r="H102" s="224"/>
      <c r="I102" s="224"/>
    </row>
    <row r="103" spans="1:9" ht="15.75">
      <c r="A103" s="55"/>
      <c r="B103" s="225" t="s">
        <v>307</v>
      </c>
      <c r="C103" s="225"/>
      <c r="D103" s="225"/>
      <c r="E103" s="225"/>
      <c r="F103" s="225"/>
      <c r="G103" s="225"/>
      <c r="H103" s="60"/>
      <c r="I103" s="3"/>
    </row>
    <row r="104" spans="1:9">
      <c r="A104" s="127"/>
      <c r="B104" s="215" t="s">
        <v>6</v>
      </c>
      <c r="C104" s="215"/>
      <c r="D104" s="215"/>
      <c r="E104" s="215"/>
      <c r="F104" s="215"/>
      <c r="G104" s="215"/>
      <c r="H104" s="25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226" t="s">
        <v>7</v>
      </c>
      <c r="B106" s="226"/>
      <c r="C106" s="226"/>
      <c r="D106" s="226"/>
      <c r="E106" s="226"/>
      <c r="F106" s="226"/>
      <c r="G106" s="226"/>
      <c r="H106" s="226"/>
      <c r="I106" s="226"/>
    </row>
    <row r="107" spans="1:9" ht="15.75">
      <c r="A107" s="226" t="s">
        <v>8</v>
      </c>
      <c r="B107" s="226"/>
      <c r="C107" s="226"/>
      <c r="D107" s="226"/>
      <c r="E107" s="226"/>
      <c r="F107" s="226"/>
      <c r="G107" s="226"/>
      <c r="H107" s="226"/>
      <c r="I107" s="226"/>
    </row>
    <row r="108" spans="1:9" ht="15.75">
      <c r="A108" s="219" t="s">
        <v>58</v>
      </c>
      <c r="B108" s="219"/>
      <c r="C108" s="219"/>
      <c r="D108" s="219"/>
      <c r="E108" s="219"/>
      <c r="F108" s="219"/>
      <c r="G108" s="219"/>
      <c r="H108" s="219"/>
      <c r="I108" s="219"/>
    </row>
    <row r="109" spans="1:9" ht="15.75">
      <c r="A109" s="11"/>
    </row>
    <row r="110" spans="1:9" ht="15.75">
      <c r="A110" s="213" t="s">
        <v>9</v>
      </c>
      <c r="B110" s="213"/>
      <c r="C110" s="213"/>
      <c r="D110" s="213"/>
      <c r="E110" s="213"/>
      <c r="F110" s="213"/>
      <c r="G110" s="213"/>
      <c r="H110" s="213"/>
      <c r="I110" s="213"/>
    </row>
    <row r="111" spans="1:9" ht="15.75">
      <c r="A111" s="4"/>
    </row>
    <row r="112" spans="1:9" ht="15.75">
      <c r="B112" s="128" t="s">
        <v>10</v>
      </c>
      <c r="C112" s="214" t="s">
        <v>201</v>
      </c>
      <c r="D112" s="214"/>
      <c r="E112" s="214"/>
      <c r="F112" s="58"/>
      <c r="I112" s="126"/>
    </row>
    <row r="113" spans="1:9">
      <c r="A113" s="127"/>
      <c r="C113" s="215" t="s">
        <v>11</v>
      </c>
      <c r="D113" s="215"/>
      <c r="E113" s="215"/>
      <c r="F113" s="25"/>
      <c r="I113" s="125" t="s">
        <v>12</v>
      </c>
    </row>
    <row r="114" spans="1:9" ht="15.75">
      <c r="A114" s="26"/>
      <c r="C114" s="12"/>
      <c r="D114" s="12"/>
      <c r="G114" s="12"/>
      <c r="H114" s="12"/>
    </row>
    <row r="115" spans="1:9" ht="15.75">
      <c r="B115" s="128" t="s">
        <v>13</v>
      </c>
      <c r="C115" s="216"/>
      <c r="D115" s="216"/>
      <c r="E115" s="216"/>
      <c r="F115" s="59"/>
      <c r="I115" s="126"/>
    </row>
    <row r="116" spans="1:9">
      <c r="A116" s="127"/>
      <c r="C116" s="217" t="s">
        <v>11</v>
      </c>
      <c r="D116" s="217"/>
      <c r="E116" s="217"/>
      <c r="F116" s="127"/>
      <c r="I116" s="125" t="s">
        <v>12</v>
      </c>
    </row>
    <row r="117" spans="1:9" ht="15.75">
      <c r="A117" s="4" t="s">
        <v>14</v>
      </c>
    </row>
    <row r="118" spans="1:9">
      <c r="A118" s="218" t="s">
        <v>15</v>
      </c>
      <c r="B118" s="218"/>
      <c r="C118" s="218"/>
      <c r="D118" s="218"/>
      <c r="E118" s="218"/>
      <c r="F118" s="218"/>
      <c r="G118" s="218"/>
      <c r="H118" s="218"/>
      <c r="I118" s="218"/>
    </row>
    <row r="119" spans="1:9" ht="40.5" customHeight="1">
      <c r="A119" s="212" t="s">
        <v>16</v>
      </c>
      <c r="B119" s="212"/>
      <c r="C119" s="212"/>
      <c r="D119" s="212"/>
      <c r="E119" s="212"/>
      <c r="F119" s="212"/>
      <c r="G119" s="212"/>
      <c r="H119" s="212"/>
      <c r="I119" s="212"/>
    </row>
    <row r="120" spans="1:9" ht="36" customHeight="1">
      <c r="A120" s="212" t="s">
        <v>17</v>
      </c>
      <c r="B120" s="212"/>
      <c r="C120" s="212"/>
      <c r="D120" s="212"/>
      <c r="E120" s="212"/>
      <c r="F120" s="212"/>
      <c r="G120" s="212"/>
      <c r="H120" s="212"/>
      <c r="I120" s="212"/>
    </row>
    <row r="121" spans="1:9" ht="36" customHeight="1">
      <c r="A121" s="212" t="s">
        <v>21</v>
      </c>
      <c r="B121" s="212"/>
      <c r="C121" s="212"/>
      <c r="D121" s="212"/>
      <c r="E121" s="212"/>
      <c r="F121" s="212"/>
      <c r="G121" s="212"/>
      <c r="H121" s="212"/>
      <c r="I121" s="212"/>
    </row>
    <row r="122" spans="1:9" ht="15.75">
      <c r="A122" s="212" t="s">
        <v>20</v>
      </c>
      <c r="B122" s="212"/>
      <c r="C122" s="212"/>
      <c r="D122" s="212"/>
      <c r="E122" s="212"/>
      <c r="F122" s="212"/>
      <c r="G122" s="212"/>
      <c r="H122" s="212"/>
      <c r="I122" s="212"/>
    </row>
  </sheetData>
  <mergeCells count="28">
    <mergeCell ref="A89:I89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3:I53"/>
    <mergeCell ref="A85:I85"/>
    <mergeCell ref="C116:E116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118:I118"/>
    <mergeCell ref="A119:I119"/>
    <mergeCell ref="A120:I120"/>
    <mergeCell ref="A121:I121"/>
    <mergeCell ref="A122:I122"/>
  </mergeCells>
  <pageMargins left="0.70866141732283472" right="0.11811023622047245" top="0.74803149606299213" bottom="0.74803149606299213" header="0.31496062992125984" footer="0.31496062992125984"/>
  <pageSetup paperSize="9" scale="65" orientation="portrait" horizontalDpi="0" verticalDpi="0" r:id="rId1"/>
  <rowBreaks count="1" manualBreakCount="1">
    <brk id="99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19"/>
  <sheetViews>
    <sheetView view="pageBreakPreview" topLeftCell="A62" zoomScale="60" zoomScaleNormal="100" workbookViewId="0">
      <selection activeCell="G102" sqref="G102"/>
    </sheetView>
  </sheetViews>
  <sheetFormatPr defaultRowHeight="15"/>
  <cols>
    <col min="1" max="1" width="12.85546875" customWidth="1"/>
    <col min="2" max="2" width="47.42578125" customWidth="1"/>
    <col min="3" max="3" width="20.140625" customWidth="1"/>
    <col min="4" max="4" width="19.28515625" customWidth="1"/>
    <col min="5" max="6" width="0" hidden="1" customWidth="1"/>
    <col min="7" max="7" width="18" customWidth="1"/>
    <col min="8" max="8" width="0" hidden="1" customWidth="1"/>
    <col min="9" max="9" width="17" customWidth="1"/>
  </cols>
  <sheetData>
    <row r="1" spans="1:9" ht="15.75">
      <c r="A1" s="28" t="s">
        <v>158</v>
      </c>
      <c r="I1" s="27"/>
    </row>
    <row r="2" spans="1:9" ht="15.75">
      <c r="A2" s="29" t="s">
        <v>59</v>
      </c>
    </row>
    <row r="3" spans="1:9" ht="15.75">
      <c r="A3" s="233" t="s">
        <v>159</v>
      </c>
      <c r="B3" s="233"/>
      <c r="C3" s="233"/>
      <c r="D3" s="233"/>
      <c r="E3" s="233"/>
      <c r="F3" s="233"/>
      <c r="G3" s="233"/>
      <c r="H3" s="233"/>
      <c r="I3" s="233"/>
    </row>
    <row r="4" spans="1:9" ht="32.25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296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32"/>
      <c r="C6" s="132"/>
      <c r="D6" s="132"/>
      <c r="E6" s="132"/>
      <c r="F6" s="132"/>
      <c r="G6" s="132"/>
      <c r="H6" s="132"/>
      <c r="I6" s="31">
        <v>44439</v>
      </c>
    </row>
    <row r="7" spans="1:9" ht="15.75">
      <c r="B7" s="134"/>
      <c r="C7" s="134"/>
      <c r="D7" s="134"/>
      <c r="E7" s="3"/>
      <c r="F7" s="3"/>
      <c r="G7" s="3"/>
      <c r="H7" s="3"/>
    </row>
    <row r="8" spans="1:9" ht="84.75" customHeight="1">
      <c r="A8" s="236" t="s">
        <v>203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58.5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81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</row>
    <row r="16" spans="1:9" ht="17.25" customHeight="1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7.25" customHeight="1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5" customHeight="1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t="16.5" hidden="1" customHeight="1">
      <c r="A20" s="30">
        <v>4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</row>
    <row r="21" spans="1:9" ht="15" hidden="1" customHeight="1">
      <c r="A21" s="30">
        <v>5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t="30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5.75" hidden="1" customHeight="1">
      <c r="A26" s="30">
        <v>4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20" t="s">
        <v>78</v>
      </c>
      <c r="B27" s="220"/>
      <c r="C27" s="220"/>
      <c r="D27" s="220"/>
      <c r="E27" s="220"/>
      <c r="F27" s="220"/>
      <c r="G27" s="220"/>
      <c r="H27" s="220"/>
      <c r="I27" s="220"/>
    </row>
    <row r="28" spans="1:9" ht="18.75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t="16.5" customHeight="1">
      <c r="A29" s="30">
        <v>4</v>
      </c>
      <c r="B29" s="113" t="s">
        <v>96</v>
      </c>
      <c r="C29" s="114" t="s">
        <v>82</v>
      </c>
      <c r="D29" s="113" t="s">
        <v>178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1" si="2">SUM(F29*G29/1000)</f>
        <v>5.8264066560000014</v>
      </c>
      <c r="I29" s="13">
        <f>F29/6*G29</f>
        <v>971.06777600000009</v>
      </c>
    </row>
    <row r="30" spans="1:9" ht="37.5" customHeight="1">
      <c r="A30" s="30">
        <v>5</v>
      </c>
      <c r="B30" s="113" t="s">
        <v>192</v>
      </c>
      <c r="C30" s="114" t="s">
        <v>82</v>
      </c>
      <c r="D30" s="113" t="s">
        <v>168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 hidden="1">
      <c r="A31" s="30">
        <v>15</v>
      </c>
      <c r="B31" s="113" t="s">
        <v>27</v>
      </c>
      <c r="C31" s="114" t="s">
        <v>82</v>
      </c>
      <c r="D31" s="113" t="s">
        <v>173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 ht="15" customHeight="1">
      <c r="A32" s="30">
        <v>6</v>
      </c>
      <c r="B32" s="113" t="s">
        <v>119</v>
      </c>
      <c r="C32" s="114" t="s">
        <v>38</v>
      </c>
      <c r="D32" s="113" t="s">
        <v>178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ref="H33:H34" si="4">SUM(F33*G33/1000)</f>
        <v>0.50183999999999995</v>
      </c>
      <c r="I33" s="13">
        <v>0</v>
      </c>
    </row>
    <row r="34" spans="1:9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4"/>
        <v>1.49031</v>
      </c>
      <c r="I34" s="13">
        <v>0</v>
      </c>
    </row>
    <row r="35" spans="1:9" hidden="1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5">SUM(F36*G36/1000)</f>
        <v>10.015000000000001</v>
      </c>
      <c r="I36" s="13">
        <f t="shared" ref="I36:I42" si="6">F36/6*G36</f>
        <v>1669.1666666666667</v>
      </c>
    </row>
    <row r="37" spans="1:9" hidden="1">
      <c r="A37" s="30">
        <v>7</v>
      </c>
      <c r="B37" s="61" t="s">
        <v>133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5"/>
        <v>4.50069696</v>
      </c>
      <c r="I37" s="13">
        <f t="shared" si="6"/>
        <v>750.11615999999992</v>
      </c>
    </row>
    <row r="38" spans="1:9" ht="30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5"/>
        <v>3.87888864</v>
      </c>
      <c r="I38" s="13">
        <f t="shared" si="6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5"/>
        <v>8.3113867199999998</v>
      </c>
      <c r="I39" s="13">
        <f t="shared" si="6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5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5"/>
        <v>0.8773470000000001</v>
      </c>
      <c r="I41" s="13">
        <f>(F41/7.5*1.5)*G41</f>
        <v>175.46940000000004</v>
      </c>
    </row>
    <row r="42" spans="1:9" ht="30" hidden="1">
      <c r="A42" s="30">
        <v>12</v>
      </c>
      <c r="B42" s="47" t="s">
        <v>134</v>
      </c>
      <c r="C42" s="49" t="s">
        <v>29</v>
      </c>
      <c r="D42" s="61" t="s">
        <v>135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5"/>
        <v>9.3671999999999991E-3</v>
      </c>
      <c r="I42" s="13">
        <f t="shared" si="6"/>
        <v>1.5611999999999997</v>
      </c>
    </row>
    <row r="43" spans="1:9" hidden="1">
      <c r="A43" s="221" t="s">
        <v>121</v>
      </c>
      <c r="B43" s="222"/>
      <c r="C43" s="222"/>
      <c r="D43" s="222"/>
      <c r="E43" s="222"/>
      <c r="F43" s="222"/>
      <c r="G43" s="222"/>
      <c r="H43" s="222"/>
      <c r="I43" s="223"/>
    </row>
    <row r="44" spans="1:9" hidden="1">
      <c r="A44" s="30">
        <v>18</v>
      </c>
      <c r="B44" s="61" t="s">
        <v>113</v>
      </c>
      <c r="C44" s="62" t="s">
        <v>82</v>
      </c>
      <c r="D44" s="61" t="s">
        <v>40</v>
      </c>
      <c r="E44" s="63">
        <v>1320.9</v>
      </c>
      <c r="F44" s="64">
        <f>SUM(E44*2/1000)</f>
        <v>2.6418000000000004</v>
      </c>
      <c r="G44" s="35">
        <v>1114.1300000000001</v>
      </c>
      <c r="H44" s="65">
        <f t="shared" ref="H44:H52" si="7">SUM(F44*G44/1000)</f>
        <v>2.943308634000001</v>
      </c>
      <c r="I44" s="13">
        <f>2.6418/2*G44</f>
        <v>1471.654317</v>
      </c>
    </row>
    <row r="45" spans="1:9" hidden="1">
      <c r="A45" s="30">
        <v>19</v>
      </c>
      <c r="B45" s="61" t="s">
        <v>33</v>
      </c>
      <c r="C45" s="62" t="s">
        <v>82</v>
      </c>
      <c r="D45" s="61" t="s">
        <v>40</v>
      </c>
      <c r="E45" s="63">
        <v>52</v>
      </c>
      <c r="F45" s="64">
        <f>E45*2/1000</f>
        <v>0.104</v>
      </c>
      <c r="G45" s="35">
        <v>4419.05</v>
      </c>
      <c r="H45" s="65">
        <f t="shared" si="7"/>
        <v>0.45958120000000002</v>
      </c>
      <c r="I45" s="13">
        <f>0.104/2*G45</f>
        <v>229.79060000000001</v>
      </c>
    </row>
    <row r="46" spans="1:9" hidden="1">
      <c r="A46" s="30">
        <v>20</v>
      </c>
      <c r="B46" s="61" t="s">
        <v>34</v>
      </c>
      <c r="C46" s="62" t="s">
        <v>82</v>
      </c>
      <c r="D46" s="61" t="s">
        <v>40</v>
      </c>
      <c r="E46" s="63">
        <v>1520.8</v>
      </c>
      <c r="F46" s="64">
        <f>SUM(E46*2/1000)</f>
        <v>3.0415999999999999</v>
      </c>
      <c r="G46" s="35">
        <v>1803.69</v>
      </c>
      <c r="H46" s="65">
        <f t="shared" si="7"/>
        <v>5.4861035039999999</v>
      </c>
      <c r="I46" s="13">
        <f>3.0416/2*G46</f>
        <v>2743.0517519999999</v>
      </c>
    </row>
    <row r="47" spans="1:9" hidden="1">
      <c r="A47" s="30">
        <v>21</v>
      </c>
      <c r="B47" s="61" t="s">
        <v>35</v>
      </c>
      <c r="C47" s="62" t="s">
        <v>82</v>
      </c>
      <c r="D47" s="61" t="s">
        <v>40</v>
      </c>
      <c r="E47" s="63">
        <v>3433.81</v>
      </c>
      <c r="F47" s="64">
        <f>SUM(E47*2/1000)</f>
        <v>6.8676199999999996</v>
      </c>
      <c r="G47" s="35">
        <v>1243.43</v>
      </c>
      <c r="H47" s="65">
        <f t="shared" si="7"/>
        <v>8.5394047365999999</v>
      </c>
      <c r="I47" s="13">
        <f>6.86762/2*G47</f>
        <v>4269.7023682999998</v>
      </c>
    </row>
    <row r="48" spans="1:9" hidden="1">
      <c r="A48" s="30">
        <v>13</v>
      </c>
      <c r="B48" s="61" t="s">
        <v>53</v>
      </c>
      <c r="C48" s="62" t="s">
        <v>82</v>
      </c>
      <c r="D48" s="61" t="s">
        <v>125</v>
      </c>
      <c r="E48" s="63">
        <v>4731.7</v>
      </c>
      <c r="F48" s="64">
        <f>SUM(E48*5/1000)</f>
        <v>23.6585</v>
      </c>
      <c r="G48" s="35">
        <v>1803.69</v>
      </c>
      <c r="H48" s="65">
        <f t="shared" si="7"/>
        <v>42.672599865000002</v>
      </c>
      <c r="I48" s="13">
        <f>F48/5*G48</f>
        <v>8534.5199730000004</v>
      </c>
    </row>
    <row r="49" spans="1:9" ht="45" hidden="1">
      <c r="A49" s="30">
        <v>22</v>
      </c>
      <c r="B49" s="61" t="s">
        <v>84</v>
      </c>
      <c r="C49" s="62" t="s">
        <v>82</v>
      </c>
      <c r="D49" s="61" t="s">
        <v>40</v>
      </c>
      <c r="E49" s="63">
        <v>4731.7</v>
      </c>
      <c r="F49" s="64">
        <f>SUM(E49*2/1000)</f>
        <v>9.4634</v>
      </c>
      <c r="G49" s="35">
        <v>1591.6</v>
      </c>
      <c r="H49" s="65">
        <f t="shared" si="7"/>
        <v>15.061947439999999</v>
      </c>
      <c r="I49" s="13">
        <f>9.4634/2*G49</f>
        <v>7530.97372</v>
      </c>
    </row>
    <row r="50" spans="1:9" ht="30" hidden="1">
      <c r="A50" s="30">
        <v>23</v>
      </c>
      <c r="B50" s="61" t="s">
        <v>85</v>
      </c>
      <c r="C50" s="62" t="s">
        <v>36</v>
      </c>
      <c r="D50" s="61" t="s">
        <v>40</v>
      </c>
      <c r="E50" s="63">
        <v>20</v>
      </c>
      <c r="F50" s="64">
        <f>SUM(E50*2/100)</f>
        <v>0.4</v>
      </c>
      <c r="G50" s="35">
        <v>4058.32</v>
      </c>
      <c r="H50" s="65">
        <f>SUM(F50*G50/1000)</f>
        <v>1.6233280000000001</v>
      </c>
      <c r="I50" s="13">
        <f>0.4/2*G50</f>
        <v>811.6640000000001</v>
      </c>
    </row>
    <row r="51" spans="1:9" hidden="1">
      <c r="A51" s="30">
        <v>24</v>
      </c>
      <c r="B51" s="61" t="s">
        <v>37</v>
      </c>
      <c r="C51" s="62" t="s">
        <v>38</v>
      </c>
      <c r="D51" s="61" t="s">
        <v>40</v>
      </c>
      <c r="E51" s="63">
        <v>1</v>
      </c>
      <c r="F51" s="64">
        <v>0.02</v>
      </c>
      <c r="G51" s="35">
        <v>7412.92</v>
      </c>
      <c r="H51" s="65">
        <f t="shared" si="7"/>
        <v>0.14825839999999998</v>
      </c>
      <c r="I51" s="13">
        <f>0.02/2*G51</f>
        <v>74.129199999999997</v>
      </c>
    </row>
    <row r="52" spans="1:9" ht="19.5" hidden="1" customHeight="1">
      <c r="A52" s="30">
        <v>10</v>
      </c>
      <c r="B52" s="61" t="s">
        <v>39</v>
      </c>
      <c r="C52" s="62" t="s">
        <v>97</v>
      </c>
      <c r="D52" s="61" t="s">
        <v>51</v>
      </c>
      <c r="E52" s="63">
        <v>160</v>
      </c>
      <c r="F52" s="64">
        <f>SUM(E52)</f>
        <v>160</v>
      </c>
      <c r="G52" s="117">
        <v>86.15</v>
      </c>
      <c r="H52" s="65">
        <f t="shared" si="7"/>
        <v>13.784000000000001</v>
      </c>
      <c r="I52" s="13">
        <f>G52*160</f>
        <v>13784</v>
      </c>
    </row>
    <row r="53" spans="1:9">
      <c r="A53" s="221" t="s">
        <v>148</v>
      </c>
      <c r="B53" s="222"/>
      <c r="C53" s="222"/>
      <c r="D53" s="222"/>
      <c r="E53" s="222"/>
      <c r="F53" s="222"/>
      <c r="G53" s="222"/>
      <c r="H53" s="222"/>
      <c r="I53" s="223"/>
    </row>
    <row r="54" spans="1:9" hidden="1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45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8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8"/>
        <v>0.46268039999999994</v>
      </c>
      <c r="I57" s="13">
        <f>F57/6*G57</f>
        <v>77.113399999999999</v>
      </c>
    </row>
    <row r="58" spans="1:9" ht="17.25" hidden="1" customHeight="1">
      <c r="A58" s="30">
        <v>11</v>
      </c>
      <c r="B58" s="61" t="s">
        <v>136</v>
      </c>
      <c r="C58" s="62" t="s">
        <v>137</v>
      </c>
      <c r="D58" s="61" t="s">
        <v>63</v>
      </c>
      <c r="E58" s="63"/>
      <c r="F58" s="64">
        <v>3</v>
      </c>
      <c r="G58" s="13">
        <v>1582.05</v>
      </c>
      <c r="H58" s="65">
        <f>SUM(F58*G58/1000)</f>
        <v>4.7461499999999992</v>
      </c>
      <c r="I58" s="13">
        <f>G58*10</f>
        <v>15820.5</v>
      </c>
    </row>
    <row r="59" spans="1:9" ht="18" customHeight="1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138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 ht="18" customHeight="1">
      <c r="A61" s="30">
        <v>7</v>
      </c>
      <c r="B61" s="70" t="s">
        <v>108</v>
      </c>
      <c r="C61" s="71" t="s">
        <v>25</v>
      </c>
      <c r="D61" s="70" t="s">
        <v>173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15.75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13.5" customHeight="1">
      <c r="A63" s="30">
        <v>8</v>
      </c>
      <c r="B63" s="180" t="s">
        <v>44</v>
      </c>
      <c r="C63" s="168" t="s">
        <v>97</v>
      </c>
      <c r="D63" s="36" t="s">
        <v>169</v>
      </c>
      <c r="E63" s="17"/>
      <c r="F63" s="35">
        <v>11</v>
      </c>
      <c r="G63" s="115">
        <v>318.82</v>
      </c>
      <c r="H63" s="76">
        <f t="shared" ref="H63" si="9">SUM(F63*G63/1000)</f>
        <v>3.5070199999999998</v>
      </c>
      <c r="I63" s="13">
        <f>G63*3</f>
        <v>956.46</v>
      </c>
    </row>
    <row r="64" spans="1:9" hidden="1">
      <c r="A64" s="30"/>
      <c r="B64" s="14" t="s">
        <v>45</v>
      </c>
      <c r="C64" s="16" t="s">
        <v>97</v>
      </c>
      <c r="D64" s="14" t="s">
        <v>63</v>
      </c>
      <c r="E64" s="18">
        <v>9</v>
      </c>
      <c r="F64" s="64">
        <f>SUM(E64)</f>
        <v>9</v>
      </c>
      <c r="G64" s="13">
        <v>100.01</v>
      </c>
      <c r="H64" s="76">
        <f t="shared" ref="H64:H81" si="10">SUM(F64*G64/1000)</f>
        <v>0.90009000000000006</v>
      </c>
      <c r="I64" s="13">
        <v>0</v>
      </c>
    </row>
    <row r="65" spans="1:9" hidden="1">
      <c r="A65" s="30">
        <v>16</v>
      </c>
      <c r="B65" s="14" t="s">
        <v>46</v>
      </c>
      <c r="C65" s="16" t="s">
        <v>99</v>
      </c>
      <c r="D65" s="14" t="s">
        <v>51</v>
      </c>
      <c r="E65" s="63">
        <v>19836</v>
      </c>
      <c r="F65" s="13">
        <f>SUM(E65/100)</f>
        <v>198.36</v>
      </c>
      <c r="G65" s="13">
        <v>278.24</v>
      </c>
      <c r="H65" s="76">
        <f t="shared" si="10"/>
        <v>55.191686400000009</v>
      </c>
      <c r="I65" s="13">
        <f>F65*G65</f>
        <v>55191.686400000006</v>
      </c>
    </row>
    <row r="66" spans="1:9" hidden="1">
      <c r="A66" s="30">
        <v>27</v>
      </c>
      <c r="B66" s="14" t="s">
        <v>47</v>
      </c>
      <c r="C66" s="16" t="s">
        <v>100</v>
      </c>
      <c r="D66" s="14"/>
      <c r="E66" s="63">
        <v>19836</v>
      </c>
      <c r="F66" s="13">
        <f>SUM(E66/1000)</f>
        <v>19.835999999999999</v>
      </c>
      <c r="G66" s="13">
        <v>216.68</v>
      </c>
      <c r="H66" s="76">
        <f t="shared" si="10"/>
        <v>4.2980644799999999</v>
      </c>
      <c r="I66" s="13">
        <f t="shared" ref="I66:I70" si="11">F66*G66</f>
        <v>4298.06448</v>
      </c>
    </row>
    <row r="67" spans="1:9" hidden="1">
      <c r="A67" s="30">
        <v>28</v>
      </c>
      <c r="B67" s="14" t="s">
        <v>48</v>
      </c>
      <c r="C67" s="16" t="s">
        <v>71</v>
      </c>
      <c r="D67" s="14" t="s">
        <v>51</v>
      </c>
      <c r="E67" s="63">
        <v>3155</v>
      </c>
      <c r="F67" s="13">
        <f>SUM(E67/100)</f>
        <v>31.55</v>
      </c>
      <c r="G67" s="13">
        <v>2720.94</v>
      </c>
      <c r="H67" s="76">
        <f t="shared" si="10"/>
        <v>85.845657000000003</v>
      </c>
      <c r="I67" s="13">
        <f t="shared" si="11"/>
        <v>85845.657000000007</v>
      </c>
    </row>
    <row r="68" spans="1:9" hidden="1">
      <c r="A68" s="30">
        <v>29</v>
      </c>
      <c r="B68" s="77" t="s">
        <v>101</v>
      </c>
      <c r="C68" s="16" t="s">
        <v>32</v>
      </c>
      <c r="D68" s="14"/>
      <c r="E68" s="63">
        <v>34.5</v>
      </c>
      <c r="F68" s="13">
        <f>SUM(E68)</f>
        <v>34.5</v>
      </c>
      <c r="G68" s="13">
        <v>44.31</v>
      </c>
      <c r="H68" s="76">
        <f t="shared" si="10"/>
        <v>1.5286950000000001</v>
      </c>
      <c r="I68" s="13">
        <f t="shared" si="11"/>
        <v>1528.6950000000002</v>
      </c>
    </row>
    <row r="69" spans="1:9" hidden="1">
      <c r="A69" s="30">
        <v>30</v>
      </c>
      <c r="B69" s="77" t="s">
        <v>102</v>
      </c>
      <c r="C69" s="16" t="s">
        <v>32</v>
      </c>
      <c r="D69" s="14"/>
      <c r="E69" s="63">
        <v>34.5</v>
      </c>
      <c r="F69" s="13">
        <f t="shared" ref="F69:F70" si="12">SUM(E69)</f>
        <v>34.5</v>
      </c>
      <c r="G69" s="13">
        <v>47.79</v>
      </c>
      <c r="H69" s="76">
        <f t="shared" si="10"/>
        <v>1.648755</v>
      </c>
      <c r="I69" s="13">
        <f t="shared" si="11"/>
        <v>1648.7549999999999</v>
      </c>
    </row>
    <row r="70" spans="1:9" hidden="1">
      <c r="A70" s="30">
        <v>12</v>
      </c>
      <c r="B70" s="14" t="s">
        <v>54</v>
      </c>
      <c r="C70" s="16" t="s">
        <v>55</v>
      </c>
      <c r="D70" s="14" t="s">
        <v>51</v>
      </c>
      <c r="E70" s="18">
        <v>5</v>
      </c>
      <c r="F70" s="13">
        <f t="shared" si="12"/>
        <v>5</v>
      </c>
      <c r="G70" s="13">
        <v>65.42</v>
      </c>
      <c r="H70" s="76">
        <f t="shared" si="10"/>
        <v>0.3271</v>
      </c>
      <c r="I70" s="13">
        <f t="shared" si="11"/>
        <v>327.10000000000002</v>
      </c>
    </row>
    <row r="71" spans="1:9" ht="18" customHeight="1">
      <c r="A71" s="30"/>
      <c r="B71" s="95" t="s">
        <v>139</v>
      </c>
      <c r="C71" s="49"/>
      <c r="D71" s="14"/>
      <c r="E71" s="18"/>
      <c r="F71" s="13"/>
      <c r="G71" s="13"/>
      <c r="H71" s="76"/>
      <c r="I71" s="13"/>
    </row>
    <row r="72" spans="1:9" ht="16.5" customHeight="1">
      <c r="A72" s="30">
        <v>9</v>
      </c>
      <c r="B72" s="36" t="s">
        <v>140</v>
      </c>
      <c r="C72" s="176" t="s">
        <v>141</v>
      </c>
      <c r="D72" s="36"/>
      <c r="E72" s="17">
        <v>4731.7</v>
      </c>
      <c r="F72" s="35">
        <f>SUM(E72*12)</f>
        <v>56780.399999999994</v>
      </c>
      <c r="G72" s="115">
        <v>2.4900000000000002</v>
      </c>
      <c r="H72" s="76">
        <f t="shared" ref="H72" si="13">SUM(F72*G72/1000)</f>
        <v>141.383196</v>
      </c>
      <c r="I72" s="13">
        <f>F72/12*G72</f>
        <v>11781.933000000001</v>
      </c>
    </row>
    <row r="73" spans="1:9" ht="14.25" customHeight="1">
      <c r="A73" s="30"/>
      <c r="B73" s="133" t="s">
        <v>67</v>
      </c>
      <c r="C73" s="16"/>
      <c r="D73" s="14"/>
      <c r="E73" s="18"/>
      <c r="F73" s="13"/>
      <c r="G73" s="13"/>
      <c r="H73" s="76" t="s">
        <v>118</v>
      </c>
      <c r="I73" s="13"/>
    </row>
    <row r="74" spans="1:9" ht="30" hidden="1">
      <c r="A74" s="30"/>
      <c r="B74" s="14" t="s">
        <v>142</v>
      </c>
      <c r="C74" s="16" t="s">
        <v>97</v>
      </c>
      <c r="D74" s="14" t="s">
        <v>63</v>
      </c>
      <c r="E74" s="18">
        <v>1</v>
      </c>
      <c r="F74" s="13">
        <v>1</v>
      </c>
      <c r="G74" s="13">
        <v>1543.4</v>
      </c>
      <c r="H74" s="76">
        <f t="shared" ref="H74:H77" si="14">SUM(F74*G74/1000)</f>
        <v>1.5434000000000001</v>
      </c>
      <c r="I74" s="13">
        <v>0</v>
      </c>
    </row>
    <row r="75" spans="1:9" hidden="1">
      <c r="A75" s="30">
        <v>19</v>
      </c>
      <c r="B75" s="47" t="s">
        <v>143</v>
      </c>
      <c r="C75" s="49" t="s">
        <v>97</v>
      </c>
      <c r="D75" s="14" t="s">
        <v>63</v>
      </c>
      <c r="E75" s="18">
        <v>4</v>
      </c>
      <c r="F75" s="13">
        <v>1</v>
      </c>
      <c r="G75" s="13">
        <v>130.96</v>
      </c>
      <c r="H75" s="76">
        <f>SUM(F75*G75/1000)</f>
        <v>0.13096000000000002</v>
      </c>
      <c r="I75" s="13">
        <v>0</v>
      </c>
    </row>
    <row r="76" spans="1:9" hidden="1">
      <c r="A76" s="30">
        <v>13</v>
      </c>
      <c r="B76" s="14" t="s">
        <v>68</v>
      </c>
      <c r="C76" s="16" t="s">
        <v>69</v>
      </c>
      <c r="D76" s="44" t="s">
        <v>63</v>
      </c>
      <c r="E76" s="18">
        <v>8</v>
      </c>
      <c r="F76" s="13">
        <f>E76/10</f>
        <v>0.8</v>
      </c>
      <c r="G76" s="13">
        <v>657.87</v>
      </c>
      <c r="H76" s="76">
        <f t="shared" si="14"/>
        <v>0.5262960000000001</v>
      </c>
      <c r="I76" s="13">
        <f>G76*0.2</f>
        <v>131.57400000000001</v>
      </c>
    </row>
    <row r="77" spans="1:9" hidden="1">
      <c r="A77" s="30"/>
      <c r="B77" s="14" t="s">
        <v>144</v>
      </c>
      <c r="C77" s="16" t="s">
        <v>97</v>
      </c>
      <c r="D77" s="14" t="s">
        <v>63</v>
      </c>
      <c r="E77" s="18">
        <v>1</v>
      </c>
      <c r="F77" s="64">
        <f>SUM(E77)</f>
        <v>1</v>
      </c>
      <c r="G77" s="13">
        <v>1118.72</v>
      </c>
      <c r="H77" s="76">
        <f t="shared" si="14"/>
        <v>1.1187199999999999</v>
      </c>
      <c r="I77" s="13">
        <v>0</v>
      </c>
    </row>
    <row r="78" spans="1:9" hidden="1">
      <c r="A78" s="30"/>
      <c r="B78" s="47" t="s">
        <v>145</v>
      </c>
      <c r="C78" s="49" t="s">
        <v>97</v>
      </c>
      <c r="D78" s="14" t="s">
        <v>63</v>
      </c>
      <c r="E78" s="18">
        <v>1</v>
      </c>
      <c r="F78" s="56">
        <v>1</v>
      </c>
      <c r="G78" s="13">
        <v>3757.02</v>
      </c>
      <c r="H78" s="76">
        <f>SUM(F78*G78/1000)</f>
        <v>3.7570199999999998</v>
      </c>
      <c r="I78" s="13">
        <v>0</v>
      </c>
    </row>
    <row r="79" spans="1:9" ht="21" customHeight="1">
      <c r="A79" s="30">
        <v>10</v>
      </c>
      <c r="B79" s="105" t="s">
        <v>146</v>
      </c>
      <c r="C79" s="106" t="s">
        <v>97</v>
      </c>
      <c r="D79" s="36" t="s">
        <v>173</v>
      </c>
      <c r="E79" s="177">
        <v>2</v>
      </c>
      <c r="F79" s="175">
        <f>E79*12</f>
        <v>24</v>
      </c>
      <c r="G79" s="182">
        <v>404</v>
      </c>
      <c r="H79" s="76">
        <f t="shared" ref="H79" si="15">SUM(F79*G79/1000)</f>
        <v>9.6959999999999997</v>
      </c>
      <c r="I79" s="13">
        <f>F79/12*G79</f>
        <v>808</v>
      </c>
    </row>
    <row r="80" spans="1:9" hidden="1">
      <c r="A80" s="30"/>
      <c r="B80" s="79" t="s">
        <v>70</v>
      </c>
      <c r="C80" s="16"/>
      <c r="D80" s="14"/>
      <c r="E80" s="18"/>
      <c r="F80" s="13"/>
      <c r="G80" s="13" t="s">
        <v>118</v>
      </c>
      <c r="H80" s="76" t="s">
        <v>118</v>
      </c>
      <c r="I80" s="13"/>
    </row>
    <row r="81" spans="1:9" hidden="1">
      <c r="A81" s="30"/>
      <c r="B81" s="44" t="s">
        <v>110</v>
      </c>
      <c r="C81" s="16" t="s">
        <v>71</v>
      </c>
      <c r="D81" s="14"/>
      <c r="E81" s="18"/>
      <c r="F81" s="13">
        <v>0.3</v>
      </c>
      <c r="G81" s="13">
        <v>3619.09</v>
      </c>
      <c r="H81" s="76">
        <f t="shared" si="10"/>
        <v>1.0857270000000001</v>
      </c>
      <c r="I81" s="13">
        <v>0</v>
      </c>
    </row>
    <row r="82" spans="1:9" ht="28.5" hidden="1">
      <c r="A82" s="30"/>
      <c r="B82" s="96" t="s">
        <v>86</v>
      </c>
      <c r="C82" s="79"/>
      <c r="D82" s="32"/>
      <c r="E82" s="33"/>
      <c r="F82" s="67"/>
      <c r="G82" s="67"/>
      <c r="H82" s="80">
        <f>SUM(H55:H81)</f>
        <v>341.17480024000008</v>
      </c>
      <c r="I82" s="67"/>
    </row>
    <row r="83" spans="1:9" hidden="1">
      <c r="A83" s="30"/>
      <c r="B83" s="61" t="s">
        <v>103</v>
      </c>
      <c r="C83" s="16"/>
      <c r="D83" s="14"/>
      <c r="E83" s="57"/>
      <c r="F83" s="13">
        <v>1</v>
      </c>
      <c r="G83" s="13">
        <v>20512</v>
      </c>
      <c r="H83" s="76">
        <f>G83*F83/1000</f>
        <v>20.512</v>
      </c>
      <c r="I83" s="13">
        <v>0</v>
      </c>
    </row>
    <row r="84" spans="1:9">
      <c r="A84" s="230" t="s">
        <v>149</v>
      </c>
      <c r="B84" s="231"/>
      <c r="C84" s="231"/>
      <c r="D84" s="231"/>
      <c r="E84" s="231"/>
      <c r="F84" s="231"/>
      <c r="G84" s="231"/>
      <c r="H84" s="231"/>
      <c r="I84" s="232"/>
    </row>
    <row r="85" spans="1:9" ht="18" customHeight="1">
      <c r="A85" s="30">
        <v>11</v>
      </c>
      <c r="B85" s="113" t="s">
        <v>104</v>
      </c>
      <c r="C85" s="168" t="s">
        <v>52</v>
      </c>
      <c r="D85" s="169"/>
      <c r="E85" s="115">
        <v>4731.7</v>
      </c>
      <c r="F85" s="115">
        <f>SUM(E85*12)</f>
        <v>56780.399999999994</v>
      </c>
      <c r="G85" s="115">
        <v>3.38</v>
      </c>
      <c r="H85" s="76">
        <f>SUM(F85*G85/1000)</f>
        <v>191.91775199999998</v>
      </c>
      <c r="I85" s="13">
        <f>F85/12*G85</f>
        <v>15993.145999999999</v>
      </c>
    </row>
    <row r="86" spans="1:9" ht="28.5" customHeight="1">
      <c r="A86" s="30">
        <v>12</v>
      </c>
      <c r="B86" s="36" t="s">
        <v>72</v>
      </c>
      <c r="C86" s="168"/>
      <c r="D86" s="48"/>
      <c r="E86" s="163">
        <f>E85</f>
        <v>4731.7</v>
      </c>
      <c r="F86" s="115">
        <f>E86*12</f>
        <v>56780.399999999994</v>
      </c>
      <c r="G86" s="115">
        <v>3.05</v>
      </c>
      <c r="H86" s="76">
        <f>F86*G86/1000</f>
        <v>173.18021999999996</v>
      </c>
      <c r="I86" s="13">
        <f>F86/12*G86</f>
        <v>14431.684999999999</v>
      </c>
    </row>
    <row r="87" spans="1:9">
      <c r="A87" s="30"/>
      <c r="B87" s="37" t="s">
        <v>74</v>
      </c>
      <c r="C87" s="79"/>
      <c r="D87" s="78"/>
      <c r="E87" s="67"/>
      <c r="F87" s="67"/>
      <c r="G87" s="67"/>
      <c r="H87" s="80">
        <f>H86</f>
        <v>173.18021999999996</v>
      </c>
      <c r="I87" s="67">
        <f>I86+I85+I79+I72+I63+I61+I32+I30+I29+I18+I17+I16</f>
        <v>62392.147715166662</v>
      </c>
    </row>
    <row r="88" spans="1:9">
      <c r="A88" s="227" t="s">
        <v>57</v>
      </c>
      <c r="B88" s="228"/>
      <c r="C88" s="228"/>
      <c r="D88" s="228"/>
      <c r="E88" s="228"/>
      <c r="F88" s="228"/>
      <c r="G88" s="228"/>
      <c r="H88" s="228"/>
      <c r="I88" s="229"/>
    </row>
    <row r="89" spans="1:9" ht="18.75" customHeight="1">
      <c r="A89" s="30">
        <v>13</v>
      </c>
      <c r="B89" s="105" t="s">
        <v>150</v>
      </c>
      <c r="C89" s="106" t="s">
        <v>120</v>
      </c>
      <c r="D89" s="192" t="s">
        <v>297</v>
      </c>
      <c r="E89" s="167"/>
      <c r="F89" s="167">
        <v>15</v>
      </c>
      <c r="G89" s="167">
        <v>295.36</v>
      </c>
      <c r="H89" s="35"/>
      <c r="I89" s="13">
        <v>0</v>
      </c>
    </row>
    <row r="90" spans="1:9" ht="15.75" customHeight="1">
      <c r="A90" s="30">
        <v>14</v>
      </c>
      <c r="B90" s="105" t="s">
        <v>298</v>
      </c>
      <c r="C90" s="106" t="s">
        <v>97</v>
      </c>
      <c r="D90" s="192"/>
      <c r="E90" s="167"/>
      <c r="F90" s="167">
        <v>1</v>
      </c>
      <c r="G90" s="167">
        <v>224.48</v>
      </c>
      <c r="H90" s="35"/>
      <c r="I90" s="13">
        <f t="shared" ref="I90:I95" si="16">G90*1</f>
        <v>224.48</v>
      </c>
    </row>
    <row r="91" spans="1:9" ht="28.5" customHeight="1">
      <c r="A91" s="30">
        <v>15</v>
      </c>
      <c r="B91" s="105" t="s">
        <v>156</v>
      </c>
      <c r="C91" s="106" t="s">
        <v>157</v>
      </c>
      <c r="D91" s="192" t="s">
        <v>299</v>
      </c>
      <c r="E91" s="167"/>
      <c r="F91" s="167">
        <v>3</v>
      </c>
      <c r="G91" s="167">
        <v>64.040000000000006</v>
      </c>
      <c r="H91" s="35"/>
      <c r="I91" s="13">
        <f t="shared" si="16"/>
        <v>64.040000000000006</v>
      </c>
    </row>
    <row r="92" spans="1:9" ht="28.5" customHeight="1">
      <c r="A92" s="30">
        <v>16</v>
      </c>
      <c r="B92" s="105" t="s">
        <v>199</v>
      </c>
      <c r="C92" s="106" t="s">
        <v>97</v>
      </c>
      <c r="D92" s="192" t="s">
        <v>308</v>
      </c>
      <c r="E92" s="167"/>
      <c r="F92" s="167">
        <v>2</v>
      </c>
      <c r="G92" s="167">
        <v>983.17</v>
      </c>
      <c r="H92" s="35"/>
      <c r="I92" s="13">
        <f t="shared" si="16"/>
        <v>983.17</v>
      </c>
    </row>
    <row r="93" spans="1:9" ht="15" customHeight="1">
      <c r="A93" s="30">
        <v>17</v>
      </c>
      <c r="B93" s="105" t="s">
        <v>259</v>
      </c>
      <c r="C93" s="106" t="s">
        <v>97</v>
      </c>
      <c r="D93" s="192"/>
      <c r="E93" s="167"/>
      <c r="F93" s="167">
        <v>3</v>
      </c>
      <c r="G93" s="167">
        <v>235</v>
      </c>
      <c r="H93" s="35"/>
      <c r="I93" s="13">
        <f t="shared" si="16"/>
        <v>235</v>
      </c>
    </row>
    <row r="94" spans="1:9" ht="18.75" customHeight="1">
      <c r="A94" s="30">
        <v>18</v>
      </c>
      <c r="B94" s="105" t="s">
        <v>184</v>
      </c>
      <c r="C94" s="106" t="s">
        <v>97</v>
      </c>
      <c r="D94" s="192"/>
      <c r="E94" s="167"/>
      <c r="F94" s="167">
        <v>2</v>
      </c>
      <c r="G94" s="167">
        <v>49</v>
      </c>
      <c r="H94" s="35"/>
      <c r="I94" s="13">
        <f t="shared" si="16"/>
        <v>49</v>
      </c>
    </row>
    <row r="95" spans="1:9" ht="16.5" customHeight="1">
      <c r="A95" s="30">
        <v>19</v>
      </c>
      <c r="B95" s="105" t="s">
        <v>262</v>
      </c>
      <c r="C95" s="106" t="s">
        <v>97</v>
      </c>
      <c r="D95" s="192"/>
      <c r="E95" s="167"/>
      <c r="F95" s="167">
        <v>2</v>
      </c>
      <c r="G95" s="167">
        <v>98</v>
      </c>
      <c r="H95" s="35"/>
      <c r="I95" s="13">
        <f t="shared" si="16"/>
        <v>98</v>
      </c>
    </row>
    <row r="96" spans="1:9" ht="18" customHeight="1">
      <c r="A96" s="30"/>
      <c r="B96" s="32" t="s">
        <v>49</v>
      </c>
      <c r="C96" s="38"/>
      <c r="D96" s="45"/>
      <c r="E96" s="38">
        <v>1</v>
      </c>
      <c r="F96" s="38"/>
      <c r="G96" s="38"/>
      <c r="H96" s="38"/>
      <c r="I96" s="33">
        <f>SUM(I89:I95)</f>
        <v>1653.69</v>
      </c>
    </row>
    <row r="97" spans="1:9">
      <c r="A97" s="30"/>
      <c r="B97" s="44" t="s">
        <v>73</v>
      </c>
      <c r="C97" s="15"/>
      <c r="D97" s="15"/>
      <c r="E97" s="39"/>
      <c r="F97" s="39"/>
      <c r="G97" s="40"/>
      <c r="H97" s="40"/>
      <c r="I97" s="17">
        <v>0</v>
      </c>
    </row>
    <row r="98" spans="1:9">
      <c r="A98" s="46"/>
      <c r="B98" s="43" t="s">
        <v>131</v>
      </c>
      <c r="C98" s="34"/>
      <c r="D98" s="34"/>
      <c r="E98" s="34"/>
      <c r="F98" s="34"/>
      <c r="G98" s="34"/>
      <c r="H98" s="34"/>
      <c r="I98" s="41">
        <f>I96+I87</f>
        <v>64045.837715166665</v>
      </c>
    </row>
    <row r="99" spans="1:9" ht="15.75">
      <c r="A99" s="224" t="s">
        <v>309</v>
      </c>
      <c r="B99" s="224"/>
      <c r="C99" s="224"/>
      <c r="D99" s="224"/>
      <c r="E99" s="224"/>
      <c r="F99" s="224"/>
      <c r="G99" s="224"/>
      <c r="H99" s="224"/>
      <c r="I99" s="224"/>
    </row>
    <row r="100" spans="1:9" ht="15.75">
      <c r="A100" s="55"/>
      <c r="B100" s="225" t="s">
        <v>310</v>
      </c>
      <c r="C100" s="225"/>
      <c r="D100" s="225"/>
      <c r="E100" s="225"/>
      <c r="F100" s="225"/>
      <c r="G100" s="225"/>
      <c r="H100" s="60"/>
      <c r="I100" s="3"/>
    </row>
    <row r="101" spans="1:9">
      <c r="A101" s="131"/>
      <c r="B101" s="215" t="s">
        <v>6</v>
      </c>
      <c r="C101" s="215"/>
      <c r="D101" s="215"/>
      <c r="E101" s="215"/>
      <c r="F101" s="215"/>
      <c r="G101" s="215"/>
      <c r="H101" s="25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226" t="s">
        <v>7</v>
      </c>
      <c r="B103" s="226"/>
      <c r="C103" s="226"/>
      <c r="D103" s="226"/>
      <c r="E103" s="226"/>
      <c r="F103" s="226"/>
      <c r="G103" s="226"/>
      <c r="H103" s="226"/>
      <c r="I103" s="226"/>
    </row>
    <row r="104" spans="1:9" ht="15.75">
      <c r="A104" s="226" t="s">
        <v>8</v>
      </c>
      <c r="B104" s="226"/>
      <c r="C104" s="226"/>
      <c r="D104" s="226"/>
      <c r="E104" s="226"/>
      <c r="F104" s="226"/>
      <c r="G104" s="226"/>
      <c r="H104" s="226"/>
      <c r="I104" s="226"/>
    </row>
    <row r="105" spans="1:9" ht="15.75">
      <c r="A105" s="219" t="s">
        <v>58</v>
      </c>
      <c r="B105" s="219"/>
      <c r="C105" s="219"/>
      <c r="D105" s="219"/>
      <c r="E105" s="219"/>
      <c r="F105" s="219"/>
      <c r="G105" s="219"/>
      <c r="H105" s="219"/>
      <c r="I105" s="219"/>
    </row>
    <row r="106" spans="1:9" ht="15.75">
      <c r="A106" s="11"/>
    </row>
    <row r="107" spans="1:9" ht="15.75">
      <c r="A107" s="213" t="s">
        <v>9</v>
      </c>
      <c r="B107" s="213"/>
      <c r="C107" s="213"/>
      <c r="D107" s="213"/>
      <c r="E107" s="213"/>
      <c r="F107" s="213"/>
      <c r="G107" s="213"/>
      <c r="H107" s="213"/>
      <c r="I107" s="213"/>
    </row>
    <row r="108" spans="1:9" ht="15.75">
      <c r="A108" s="4"/>
    </row>
    <row r="109" spans="1:9" ht="15.75">
      <c r="B109" s="134" t="s">
        <v>10</v>
      </c>
      <c r="C109" s="214" t="s">
        <v>201</v>
      </c>
      <c r="D109" s="214"/>
      <c r="E109" s="214"/>
      <c r="F109" s="58"/>
      <c r="I109" s="136"/>
    </row>
    <row r="110" spans="1:9">
      <c r="A110" s="131"/>
      <c r="C110" s="215" t="s">
        <v>11</v>
      </c>
      <c r="D110" s="215"/>
      <c r="E110" s="215"/>
      <c r="F110" s="25"/>
      <c r="I110" s="135" t="s">
        <v>12</v>
      </c>
    </row>
    <row r="111" spans="1:9" ht="15.75">
      <c r="A111" s="26"/>
      <c r="C111" s="12"/>
      <c r="D111" s="12"/>
      <c r="G111" s="12"/>
      <c r="H111" s="12"/>
    </row>
    <row r="112" spans="1:9" ht="15.75">
      <c r="B112" s="134" t="s">
        <v>13</v>
      </c>
      <c r="C112" s="216"/>
      <c r="D112" s="216"/>
      <c r="E112" s="216"/>
      <c r="F112" s="59"/>
      <c r="I112" s="136"/>
    </row>
    <row r="113" spans="1:9">
      <c r="A113" s="131"/>
      <c r="C113" s="217" t="s">
        <v>11</v>
      </c>
      <c r="D113" s="217"/>
      <c r="E113" s="217"/>
      <c r="F113" s="131"/>
      <c r="I113" s="135" t="s">
        <v>12</v>
      </c>
    </row>
    <row r="114" spans="1:9" ht="15.75">
      <c r="A114" s="4" t="s">
        <v>14</v>
      </c>
    </row>
    <row r="115" spans="1:9">
      <c r="A115" s="218" t="s">
        <v>15</v>
      </c>
      <c r="B115" s="218"/>
      <c r="C115" s="218"/>
      <c r="D115" s="218"/>
      <c r="E115" s="218"/>
      <c r="F115" s="218"/>
      <c r="G115" s="218"/>
      <c r="H115" s="218"/>
      <c r="I115" s="218"/>
    </row>
    <row r="116" spans="1:9" ht="56.25" customHeight="1">
      <c r="A116" s="212" t="s">
        <v>16</v>
      </c>
      <c r="B116" s="212"/>
      <c r="C116" s="212"/>
      <c r="D116" s="212"/>
      <c r="E116" s="212"/>
      <c r="F116" s="212"/>
      <c r="G116" s="212"/>
      <c r="H116" s="212"/>
      <c r="I116" s="212"/>
    </row>
    <row r="117" spans="1:9" ht="40.5" customHeight="1">
      <c r="A117" s="212" t="s">
        <v>17</v>
      </c>
      <c r="B117" s="212"/>
      <c r="C117" s="212"/>
      <c r="D117" s="212"/>
      <c r="E117" s="212"/>
      <c r="F117" s="212"/>
      <c r="G117" s="212"/>
      <c r="H117" s="212"/>
      <c r="I117" s="212"/>
    </row>
    <row r="118" spans="1:9" ht="37.5" customHeight="1">
      <c r="A118" s="212" t="s">
        <v>21</v>
      </c>
      <c r="B118" s="212"/>
      <c r="C118" s="212"/>
      <c r="D118" s="212"/>
      <c r="E118" s="212"/>
      <c r="F118" s="212"/>
      <c r="G118" s="212"/>
      <c r="H118" s="212"/>
      <c r="I118" s="212"/>
    </row>
    <row r="119" spans="1:9" ht="15.75">
      <c r="A119" s="212" t="s">
        <v>20</v>
      </c>
      <c r="B119" s="212"/>
      <c r="C119" s="212"/>
      <c r="D119" s="212"/>
      <c r="E119" s="212"/>
      <c r="F119" s="212"/>
      <c r="G119" s="212"/>
      <c r="H119" s="212"/>
      <c r="I119" s="212"/>
    </row>
  </sheetData>
  <mergeCells count="28">
    <mergeCell ref="A115:I115"/>
    <mergeCell ref="A116:I116"/>
    <mergeCell ref="A117:I117"/>
    <mergeCell ref="A118:I118"/>
    <mergeCell ref="A119:I119"/>
    <mergeCell ref="C113:E113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8:I88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3:I53"/>
    <mergeCell ref="A84:I8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  <rowBreaks count="1" manualBreakCount="1">
    <brk id="10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14"/>
  <sheetViews>
    <sheetView topLeftCell="A70" workbookViewId="0">
      <selection activeCell="K91" sqref="K91"/>
    </sheetView>
  </sheetViews>
  <sheetFormatPr defaultRowHeight="15"/>
  <cols>
    <col min="1" max="1" width="14.28515625" customWidth="1"/>
    <col min="2" max="2" width="48.42578125" customWidth="1"/>
    <col min="3" max="3" width="20" customWidth="1"/>
    <col min="4" max="4" width="21.7109375" customWidth="1"/>
    <col min="5" max="5" width="0" hidden="1" customWidth="1"/>
    <col min="6" max="6" width="10.5703125" hidden="1" customWidth="1"/>
    <col min="7" max="7" width="17.28515625" customWidth="1"/>
    <col min="8" max="8" width="0" hidden="1" customWidth="1"/>
    <col min="9" max="9" width="14.85546875" customWidth="1"/>
  </cols>
  <sheetData>
    <row r="1" spans="1:9" ht="15.75">
      <c r="A1" s="28" t="s">
        <v>158</v>
      </c>
      <c r="I1" s="27"/>
    </row>
    <row r="2" spans="1:9" ht="15.75">
      <c r="A2" s="29" t="s">
        <v>59</v>
      </c>
    </row>
    <row r="3" spans="1:9" ht="15.75">
      <c r="A3" s="233" t="s">
        <v>162</v>
      </c>
      <c r="B3" s="233"/>
      <c r="C3" s="233"/>
      <c r="D3" s="233"/>
      <c r="E3" s="233"/>
      <c r="F3" s="233"/>
      <c r="G3" s="233"/>
      <c r="H3" s="233"/>
      <c r="I3" s="233"/>
    </row>
    <row r="4" spans="1:9" ht="31.5" customHeight="1">
      <c r="A4" s="234" t="s">
        <v>161</v>
      </c>
      <c r="B4" s="234"/>
      <c r="C4" s="234"/>
      <c r="D4" s="234"/>
      <c r="E4" s="234"/>
      <c r="F4" s="234"/>
      <c r="G4" s="234"/>
      <c r="H4" s="234"/>
      <c r="I4" s="234"/>
    </row>
    <row r="5" spans="1:9" ht="15.75">
      <c r="A5" s="233" t="s">
        <v>300</v>
      </c>
      <c r="B5" s="235"/>
      <c r="C5" s="235"/>
      <c r="D5" s="235"/>
      <c r="E5" s="235"/>
      <c r="F5" s="235"/>
      <c r="G5" s="235"/>
      <c r="H5" s="235"/>
      <c r="I5" s="235"/>
    </row>
    <row r="6" spans="1:9" ht="15.75">
      <c r="A6" s="2"/>
      <c r="B6" s="138"/>
      <c r="C6" s="138"/>
      <c r="D6" s="138"/>
      <c r="E6" s="138"/>
      <c r="F6" s="138"/>
      <c r="G6" s="138"/>
      <c r="H6" s="138"/>
      <c r="I6" s="31">
        <v>44469</v>
      </c>
    </row>
    <row r="7" spans="1:9" ht="15.75">
      <c r="B7" s="140"/>
      <c r="C7" s="140"/>
      <c r="D7" s="140"/>
      <c r="E7" s="3"/>
      <c r="F7" s="3"/>
      <c r="G7" s="3"/>
      <c r="H7" s="3"/>
    </row>
    <row r="8" spans="1:9" ht="93" customHeight="1">
      <c r="A8" s="236" t="s">
        <v>203</v>
      </c>
      <c r="B8" s="236"/>
      <c r="C8" s="236"/>
      <c r="D8" s="236"/>
      <c r="E8" s="236"/>
      <c r="F8" s="236"/>
      <c r="G8" s="236"/>
      <c r="H8" s="236"/>
      <c r="I8" s="236"/>
    </row>
    <row r="9" spans="1:9" ht="15.75">
      <c r="A9" s="4"/>
    </row>
    <row r="10" spans="1:9" ht="64.5" customHeight="1">
      <c r="A10" s="237" t="s">
        <v>132</v>
      </c>
      <c r="B10" s="237"/>
      <c r="C10" s="237"/>
      <c r="D10" s="237"/>
      <c r="E10" s="237"/>
      <c r="F10" s="237"/>
      <c r="G10" s="237"/>
      <c r="H10" s="237"/>
      <c r="I10" s="237"/>
    </row>
    <row r="11" spans="1:9" ht="15.75">
      <c r="A11" s="4"/>
    </row>
    <row r="12" spans="1:9" ht="85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8" t="s">
        <v>56</v>
      </c>
      <c r="B14" s="238"/>
      <c r="C14" s="238"/>
      <c r="D14" s="238"/>
      <c r="E14" s="238"/>
      <c r="F14" s="238"/>
      <c r="G14" s="238"/>
      <c r="H14" s="238"/>
      <c r="I14" s="238"/>
    </row>
    <row r="15" spans="1:9">
      <c r="A15" s="220" t="s">
        <v>4</v>
      </c>
      <c r="B15" s="220"/>
      <c r="C15" s="220"/>
      <c r="D15" s="220"/>
      <c r="E15" s="220"/>
      <c r="F15" s="220"/>
      <c r="G15" s="220"/>
      <c r="H15" s="220"/>
      <c r="I15" s="220"/>
    </row>
    <row r="16" spans="1:9" ht="16.5" customHeight="1">
      <c r="A16" s="30">
        <v>1</v>
      </c>
      <c r="B16" s="113" t="s">
        <v>79</v>
      </c>
      <c r="C16" s="114" t="s">
        <v>80</v>
      </c>
      <c r="D16" s="113" t="s">
        <v>168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8" customHeight="1">
      <c r="A17" s="30">
        <v>2</v>
      </c>
      <c r="B17" s="113" t="s">
        <v>105</v>
      </c>
      <c r="C17" s="114" t="s">
        <v>80</v>
      </c>
      <c r="D17" s="113" t="s">
        <v>169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5.75" customHeight="1">
      <c r="A18" s="30">
        <v>3</v>
      </c>
      <c r="B18" s="113" t="s">
        <v>106</v>
      </c>
      <c r="C18" s="114" t="s">
        <v>80</v>
      </c>
      <c r="D18" s="113" t="s">
        <v>173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t="15" customHeight="1">
      <c r="A20" s="30">
        <v>4</v>
      </c>
      <c r="B20" s="113" t="s">
        <v>90</v>
      </c>
      <c r="C20" s="114" t="s">
        <v>80</v>
      </c>
      <c r="D20" s="113" t="s">
        <v>173</v>
      </c>
      <c r="E20" s="165">
        <v>14</v>
      </c>
      <c r="F20" s="116">
        <f>SUM(E20*2/100)</f>
        <v>0.28000000000000003</v>
      </c>
      <c r="G20" s="116">
        <v>312.35000000000002</v>
      </c>
      <c r="H20" s="65">
        <f t="shared" si="0"/>
        <v>8.7458000000000008E-2</v>
      </c>
      <c r="I20" s="13">
        <f>F20/2*G20</f>
        <v>43.729000000000006</v>
      </c>
    </row>
    <row r="21" spans="1:9" ht="16.5" hidden="1" customHeight="1">
      <c r="A21" s="30">
        <v>5</v>
      </c>
      <c r="B21" s="61" t="s">
        <v>91</v>
      </c>
      <c r="C21" s="62" t="s">
        <v>80</v>
      </c>
      <c r="D21" s="61" t="s">
        <v>173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t="30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9.5" hidden="1" customHeight="1">
      <c r="A26" s="30">
        <v>5</v>
      </c>
      <c r="B26" s="113" t="s">
        <v>182</v>
      </c>
      <c r="C26" s="114" t="s">
        <v>25</v>
      </c>
      <c r="D26" s="113" t="s">
        <v>177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20" t="s">
        <v>78</v>
      </c>
      <c r="B27" s="220"/>
      <c r="C27" s="220"/>
      <c r="D27" s="220"/>
      <c r="E27" s="220"/>
      <c r="F27" s="220"/>
      <c r="G27" s="220"/>
      <c r="H27" s="220"/>
      <c r="I27" s="220"/>
    </row>
    <row r="28" spans="1:9" ht="15.75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t="18" customHeight="1">
      <c r="A29" s="30">
        <v>5</v>
      </c>
      <c r="B29" s="113" t="s">
        <v>96</v>
      </c>
      <c r="C29" s="114" t="s">
        <v>82</v>
      </c>
      <c r="D29" s="113" t="s">
        <v>178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1" si="2">SUM(F29*G29/1000)</f>
        <v>5.8264066560000014</v>
      </c>
      <c r="I29" s="13">
        <f>F29/6*G29</f>
        <v>971.06777600000009</v>
      </c>
    </row>
    <row r="30" spans="1:9" ht="46.5" customHeight="1">
      <c r="A30" s="30">
        <v>6</v>
      </c>
      <c r="B30" s="113" t="s">
        <v>192</v>
      </c>
      <c r="C30" s="114" t="s">
        <v>82</v>
      </c>
      <c r="D30" s="113" t="s">
        <v>168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 hidden="1">
      <c r="A31" s="30">
        <v>15</v>
      </c>
      <c r="B31" s="113" t="s">
        <v>27</v>
      </c>
      <c r="C31" s="114" t="s">
        <v>82</v>
      </c>
      <c r="D31" s="113" t="s">
        <v>173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 ht="15" customHeight="1">
      <c r="A32" s="30">
        <v>7</v>
      </c>
      <c r="B32" s="113" t="s">
        <v>119</v>
      </c>
      <c r="C32" s="114" t="s">
        <v>38</v>
      </c>
      <c r="D32" s="113" t="s">
        <v>178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t="30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ref="H33:H34" si="4">SUM(F33*G33/1000)</f>
        <v>0.50183999999999995</v>
      </c>
      <c r="I33" s="13">
        <v>0</v>
      </c>
    </row>
    <row r="34" spans="1:9" ht="30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4"/>
        <v>1.49031</v>
      </c>
      <c r="I34" s="13">
        <v>0</v>
      </c>
    </row>
    <row r="35" spans="1:9" hidden="1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5">SUM(F36*G36/1000)</f>
        <v>10.015000000000001</v>
      </c>
      <c r="I36" s="13">
        <f t="shared" ref="I36:I42" si="6">F36/6*G36</f>
        <v>1669.1666666666667</v>
      </c>
    </row>
    <row r="37" spans="1:9" hidden="1">
      <c r="A37" s="30">
        <v>7</v>
      </c>
      <c r="B37" s="61" t="s">
        <v>133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5"/>
        <v>4.50069696</v>
      </c>
      <c r="I37" s="13">
        <f t="shared" si="6"/>
        <v>750.11615999999992</v>
      </c>
    </row>
    <row r="38" spans="1:9" ht="30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5"/>
        <v>3.87888864</v>
      </c>
      <c r="I38" s="13">
        <f t="shared" si="6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5"/>
        <v>8.3113867199999998</v>
      </c>
      <c r="I39" s="13">
        <f t="shared" si="6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5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5"/>
        <v>0.8773470000000001</v>
      </c>
      <c r="I41" s="13">
        <f>(F41/7.5*1.5)*G41</f>
        <v>175.46940000000004</v>
      </c>
    </row>
    <row r="42" spans="1:9" ht="30" hidden="1">
      <c r="A42" s="30">
        <v>12</v>
      </c>
      <c r="B42" s="47" t="s">
        <v>134</v>
      </c>
      <c r="C42" s="49" t="s">
        <v>29</v>
      </c>
      <c r="D42" s="61" t="s">
        <v>135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5"/>
        <v>9.3671999999999991E-3</v>
      </c>
      <c r="I42" s="13">
        <f t="shared" si="6"/>
        <v>1.5611999999999997</v>
      </c>
    </row>
    <row r="43" spans="1:9">
      <c r="A43" s="221" t="s">
        <v>121</v>
      </c>
      <c r="B43" s="222"/>
      <c r="C43" s="222"/>
      <c r="D43" s="222"/>
      <c r="E43" s="222"/>
      <c r="F43" s="222"/>
      <c r="G43" s="222"/>
      <c r="H43" s="222"/>
      <c r="I43" s="223"/>
    </row>
    <row r="44" spans="1:9" ht="15" customHeight="1">
      <c r="A44" s="30">
        <v>8</v>
      </c>
      <c r="B44" s="113" t="s">
        <v>113</v>
      </c>
      <c r="C44" s="114" t="s">
        <v>82</v>
      </c>
      <c r="D44" s="113" t="s">
        <v>173</v>
      </c>
      <c r="E44" s="165">
        <v>1320.9</v>
      </c>
      <c r="F44" s="116">
        <f>SUM(E44*2/1000)</f>
        <v>2.6418000000000004</v>
      </c>
      <c r="G44" s="115">
        <v>1217.79</v>
      </c>
      <c r="H44" s="65">
        <f t="shared" ref="H44:H52" si="7">SUM(F44*G44/1000)</f>
        <v>3.2171576220000002</v>
      </c>
      <c r="I44" s="13">
        <f>2.6418/2*G44</f>
        <v>1608.5788109999999</v>
      </c>
    </row>
    <row r="45" spans="1:9" ht="19.5" customHeight="1">
      <c r="A45" s="30">
        <v>9</v>
      </c>
      <c r="B45" s="113" t="s">
        <v>33</v>
      </c>
      <c r="C45" s="114" t="s">
        <v>82</v>
      </c>
      <c r="D45" s="113" t="s">
        <v>173</v>
      </c>
      <c r="E45" s="165">
        <v>52</v>
      </c>
      <c r="F45" s="116">
        <f>E45*2/1000</f>
        <v>0.104</v>
      </c>
      <c r="G45" s="35">
        <v>830.69</v>
      </c>
      <c r="H45" s="65">
        <f t="shared" si="7"/>
        <v>8.6391760000000012E-2</v>
      </c>
      <c r="I45" s="13">
        <f>0.104/2*G45</f>
        <v>43.195880000000002</v>
      </c>
    </row>
    <row r="46" spans="1:9" ht="18" customHeight="1">
      <c r="A46" s="30">
        <v>10</v>
      </c>
      <c r="B46" s="113" t="s">
        <v>34</v>
      </c>
      <c r="C46" s="114" t="s">
        <v>82</v>
      </c>
      <c r="D46" s="113" t="s">
        <v>173</v>
      </c>
      <c r="E46" s="165">
        <v>1520.8</v>
      </c>
      <c r="F46" s="116">
        <f>SUM(E46*2/1000)</f>
        <v>3.0415999999999999</v>
      </c>
      <c r="G46" s="115">
        <v>830.69</v>
      </c>
      <c r="H46" s="65">
        <f t="shared" si="7"/>
        <v>2.5266267040000003</v>
      </c>
      <c r="I46" s="13">
        <f>3.0416/2*G46</f>
        <v>1263.3133520000001</v>
      </c>
    </row>
    <row r="47" spans="1:9" ht="18" customHeight="1">
      <c r="A47" s="30">
        <v>11</v>
      </c>
      <c r="B47" s="113" t="s">
        <v>35</v>
      </c>
      <c r="C47" s="114" t="s">
        <v>82</v>
      </c>
      <c r="D47" s="113" t="s">
        <v>173</v>
      </c>
      <c r="E47" s="165">
        <v>3433.81</v>
      </c>
      <c r="F47" s="116">
        <f>SUM(E47*2/1000)</f>
        <v>6.8676199999999996</v>
      </c>
      <c r="G47" s="115">
        <v>869.86</v>
      </c>
      <c r="H47" s="65">
        <f t="shared" si="7"/>
        <v>5.9738679332000002</v>
      </c>
      <c r="I47" s="13">
        <f>6.86762/2*G47</f>
        <v>2986.9339666000001</v>
      </c>
    </row>
    <row r="48" spans="1:9" ht="18.75" customHeight="1">
      <c r="A48" s="30">
        <v>12</v>
      </c>
      <c r="B48" s="113" t="s">
        <v>165</v>
      </c>
      <c r="C48" s="114" t="s">
        <v>82</v>
      </c>
      <c r="D48" s="113" t="s">
        <v>173</v>
      </c>
      <c r="E48" s="165">
        <v>4731.7</v>
      </c>
      <c r="F48" s="116">
        <f>SUM(E48*5/1000)</f>
        <v>23.6585</v>
      </c>
      <c r="G48" s="115">
        <v>1739.68</v>
      </c>
      <c r="H48" s="65">
        <f t="shared" si="7"/>
        <v>41.158219280000004</v>
      </c>
      <c r="I48" s="13">
        <f>F48/5*G48</f>
        <v>8231.6438560000006</v>
      </c>
    </row>
    <row r="49" spans="1:9" ht="43.5" customHeight="1">
      <c r="A49" s="30">
        <v>13</v>
      </c>
      <c r="B49" s="113" t="s">
        <v>84</v>
      </c>
      <c r="C49" s="114" t="s">
        <v>82</v>
      </c>
      <c r="D49" s="113" t="s">
        <v>173</v>
      </c>
      <c r="E49" s="165">
        <v>4731.7</v>
      </c>
      <c r="F49" s="116">
        <f>SUM(E49*2/1000)</f>
        <v>9.4634</v>
      </c>
      <c r="G49" s="115">
        <v>1739.68</v>
      </c>
      <c r="H49" s="65">
        <f t="shared" si="7"/>
        <v>16.463287712</v>
      </c>
      <c r="I49" s="13">
        <f>9.4634/2*G49</f>
        <v>8231.6438560000006</v>
      </c>
    </row>
    <row r="50" spans="1:9" ht="38.25" customHeight="1">
      <c r="A50" s="30">
        <v>14</v>
      </c>
      <c r="B50" s="113" t="s">
        <v>85</v>
      </c>
      <c r="C50" s="114" t="s">
        <v>36</v>
      </c>
      <c r="D50" s="113" t="s">
        <v>173</v>
      </c>
      <c r="E50" s="165">
        <v>20</v>
      </c>
      <c r="F50" s="116">
        <f>SUM(E50*2/100)</f>
        <v>0.4</v>
      </c>
      <c r="G50" s="115">
        <v>3914.31</v>
      </c>
      <c r="H50" s="65">
        <f>SUM(F50*G50/1000)</f>
        <v>1.5657240000000001</v>
      </c>
      <c r="I50" s="13">
        <f>0.4/2*G50</f>
        <v>782.86200000000008</v>
      </c>
    </row>
    <row r="51" spans="1:9" ht="15.75" customHeight="1">
      <c r="A51" s="30">
        <v>15</v>
      </c>
      <c r="B51" s="113" t="s">
        <v>37</v>
      </c>
      <c r="C51" s="114" t="s">
        <v>38</v>
      </c>
      <c r="D51" s="113" t="s">
        <v>173</v>
      </c>
      <c r="E51" s="165">
        <v>1</v>
      </c>
      <c r="F51" s="116">
        <v>0.02</v>
      </c>
      <c r="G51" s="115">
        <v>8102.62</v>
      </c>
      <c r="H51" s="65">
        <f t="shared" si="7"/>
        <v>0.16205240000000001</v>
      </c>
      <c r="I51" s="13">
        <f>0.02/2*G51</f>
        <v>81.026200000000003</v>
      </c>
    </row>
    <row r="52" spans="1:9">
      <c r="A52" s="30">
        <v>16</v>
      </c>
      <c r="B52" s="113" t="s">
        <v>39</v>
      </c>
      <c r="C52" s="114" t="s">
        <v>97</v>
      </c>
      <c r="D52" s="197">
        <v>44445</v>
      </c>
      <c r="E52" s="165">
        <v>160</v>
      </c>
      <c r="F52" s="116">
        <f>SUM(E52)*3</f>
        <v>480</v>
      </c>
      <c r="G52" s="117">
        <v>87.32</v>
      </c>
      <c r="H52" s="65">
        <f t="shared" si="7"/>
        <v>41.913599999999995</v>
      </c>
      <c r="I52" s="13">
        <f>G52*F52/3</f>
        <v>13971.199999999999</v>
      </c>
    </row>
    <row r="53" spans="1:9">
      <c r="A53" s="221" t="s">
        <v>122</v>
      </c>
      <c r="B53" s="222"/>
      <c r="C53" s="222"/>
      <c r="D53" s="222"/>
      <c r="E53" s="222"/>
      <c r="F53" s="222"/>
      <c r="G53" s="222"/>
      <c r="H53" s="222"/>
      <c r="I53" s="223"/>
    </row>
    <row r="54" spans="1:9" hidden="1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45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8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8"/>
        <v>0.46268039999999994</v>
      </c>
      <c r="I57" s="13">
        <f>F57/6*G57</f>
        <v>77.113399999999999</v>
      </c>
    </row>
    <row r="58" spans="1:9" ht="30" hidden="1">
      <c r="A58" s="30">
        <v>11</v>
      </c>
      <c r="B58" s="61" t="s">
        <v>136</v>
      </c>
      <c r="C58" s="62" t="s">
        <v>137</v>
      </c>
      <c r="D58" s="61" t="s">
        <v>63</v>
      </c>
      <c r="E58" s="63"/>
      <c r="F58" s="64">
        <v>3</v>
      </c>
      <c r="G58" s="13">
        <v>1582.05</v>
      </c>
      <c r="H58" s="65">
        <f>SUM(F58*G58/1000)</f>
        <v>4.7461499999999992</v>
      </c>
      <c r="I58" s="13">
        <f>G58*10</f>
        <v>15820.5</v>
      </c>
    </row>
    <row r="59" spans="1:9" ht="20.25" customHeight="1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138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 ht="18" customHeight="1">
      <c r="A61" s="30">
        <v>17</v>
      </c>
      <c r="B61" s="70" t="s">
        <v>108</v>
      </c>
      <c r="C61" s="71" t="s">
        <v>25</v>
      </c>
      <c r="D61" s="70" t="s">
        <v>173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17.25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21" hidden="1" customHeight="1">
      <c r="A63" s="30">
        <v>19</v>
      </c>
      <c r="B63" s="14" t="s">
        <v>44</v>
      </c>
      <c r="C63" s="16" t="s">
        <v>97</v>
      </c>
      <c r="D63" s="44" t="s">
        <v>169</v>
      </c>
      <c r="E63" s="18">
        <v>10</v>
      </c>
      <c r="F63" s="64">
        <f>SUM(E63)</f>
        <v>10</v>
      </c>
      <c r="G63" s="115">
        <v>318.82</v>
      </c>
      <c r="H63" s="76">
        <f t="shared" ref="H63:H81" si="9">SUM(F63*G63/1000)</f>
        <v>3.1881999999999997</v>
      </c>
      <c r="I63" s="13">
        <f>G63*3</f>
        <v>956.46</v>
      </c>
    </row>
    <row r="64" spans="1:9" ht="19.5" customHeight="1">
      <c r="A64" s="30">
        <v>18</v>
      </c>
      <c r="B64" s="14" t="s">
        <v>45</v>
      </c>
      <c r="C64" s="16" t="s">
        <v>97</v>
      </c>
      <c r="D64" s="14" t="s">
        <v>173</v>
      </c>
      <c r="E64" s="18">
        <v>9</v>
      </c>
      <c r="F64" s="64">
        <f>SUM(E64)</f>
        <v>9</v>
      </c>
      <c r="G64" s="115">
        <v>109.32</v>
      </c>
      <c r="H64" s="76">
        <f t="shared" si="9"/>
        <v>0.98387999999999987</v>
      </c>
      <c r="I64" s="13">
        <f>G64*1</f>
        <v>109.32</v>
      </c>
    </row>
    <row r="65" spans="1:9" ht="21" hidden="1" customHeight="1">
      <c r="A65" s="30">
        <v>16</v>
      </c>
      <c r="B65" s="14" t="s">
        <v>46</v>
      </c>
      <c r="C65" s="16" t="s">
        <v>99</v>
      </c>
      <c r="D65" s="14" t="s">
        <v>51</v>
      </c>
      <c r="E65" s="63">
        <v>19836</v>
      </c>
      <c r="F65" s="13">
        <f>SUM(E65/100)</f>
        <v>198.36</v>
      </c>
      <c r="G65" s="13">
        <v>278.24</v>
      </c>
      <c r="H65" s="76">
        <f t="shared" si="9"/>
        <v>55.191686400000009</v>
      </c>
      <c r="I65" s="13">
        <f>F65*G65</f>
        <v>55191.686400000006</v>
      </c>
    </row>
    <row r="66" spans="1:9" ht="19.5" hidden="1" customHeight="1">
      <c r="A66" s="30">
        <v>27</v>
      </c>
      <c r="B66" s="14" t="s">
        <v>47</v>
      </c>
      <c r="C66" s="16" t="s">
        <v>100</v>
      </c>
      <c r="D66" s="14"/>
      <c r="E66" s="63">
        <v>19836</v>
      </c>
      <c r="F66" s="13">
        <f>SUM(E66/1000)</f>
        <v>19.835999999999999</v>
      </c>
      <c r="G66" s="13">
        <v>216.68</v>
      </c>
      <c r="H66" s="76">
        <f t="shared" si="9"/>
        <v>4.2980644799999999</v>
      </c>
      <c r="I66" s="13">
        <f t="shared" ref="I66:I70" si="10">F66*G66</f>
        <v>4298.06448</v>
      </c>
    </row>
    <row r="67" spans="1:9" ht="17.25" hidden="1" customHeight="1">
      <c r="A67" s="30">
        <v>28</v>
      </c>
      <c r="B67" s="14" t="s">
        <v>48</v>
      </c>
      <c r="C67" s="16" t="s">
        <v>71</v>
      </c>
      <c r="D67" s="14" t="s">
        <v>51</v>
      </c>
      <c r="E67" s="63">
        <v>3155</v>
      </c>
      <c r="F67" s="13">
        <f>SUM(E67/100)</f>
        <v>31.55</v>
      </c>
      <c r="G67" s="13">
        <v>2720.94</v>
      </c>
      <c r="H67" s="76">
        <f t="shared" si="9"/>
        <v>85.845657000000003</v>
      </c>
      <c r="I67" s="13">
        <f t="shared" si="10"/>
        <v>85845.657000000007</v>
      </c>
    </row>
    <row r="68" spans="1:9" ht="21" hidden="1" customHeight="1">
      <c r="A68" s="30">
        <v>29</v>
      </c>
      <c r="B68" s="77" t="s">
        <v>101</v>
      </c>
      <c r="C68" s="16" t="s">
        <v>32</v>
      </c>
      <c r="D68" s="14"/>
      <c r="E68" s="63">
        <v>34.5</v>
      </c>
      <c r="F68" s="13">
        <f>SUM(E68)</f>
        <v>34.5</v>
      </c>
      <c r="G68" s="13">
        <v>44.31</v>
      </c>
      <c r="H68" s="76">
        <f t="shared" si="9"/>
        <v>1.5286950000000001</v>
      </c>
      <c r="I68" s="13">
        <f t="shared" si="10"/>
        <v>1528.6950000000002</v>
      </c>
    </row>
    <row r="69" spans="1:9" ht="19.5" hidden="1" customHeight="1">
      <c r="A69" s="30">
        <v>30</v>
      </c>
      <c r="B69" s="77" t="s">
        <v>102</v>
      </c>
      <c r="C69" s="16" t="s">
        <v>32</v>
      </c>
      <c r="D69" s="14"/>
      <c r="E69" s="63">
        <v>34.5</v>
      </c>
      <c r="F69" s="13">
        <f t="shared" ref="F69" si="11">SUM(E69)</f>
        <v>34.5</v>
      </c>
      <c r="G69" s="13">
        <v>47.79</v>
      </c>
      <c r="H69" s="76">
        <f t="shared" si="9"/>
        <v>1.648755</v>
      </c>
      <c r="I69" s="13">
        <f t="shared" si="10"/>
        <v>1648.7549999999999</v>
      </c>
    </row>
    <row r="70" spans="1:9" ht="18" customHeight="1">
      <c r="A70" s="30">
        <v>19</v>
      </c>
      <c r="B70" s="36" t="s">
        <v>54</v>
      </c>
      <c r="C70" s="168" t="s">
        <v>55</v>
      </c>
      <c r="D70" s="36" t="s">
        <v>181</v>
      </c>
      <c r="E70" s="17">
        <v>4</v>
      </c>
      <c r="F70" s="35">
        <f>SUM(E70)</f>
        <v>4</v>
      </c>
      <c r="G70" s="35">
        <v>71.510000000000005</v>
      </c>
      <c r="H70" s="76">
        <f t="shared" si="9"/>
        <v>0.28604000000000002</v>
      </c>
      <c r="I70" s="13">
        <f t="shared" si="10"/>
        <v>286.04000000000002</v>
      </c>
    </row>
    <row r="71" spans="1:9" ht="18" customHeight="1">
      <c r="A71" s="30"/>
      <c r="B71" s="95" t="s">
        <v>139</v>
      </c>
      <c r="C71" s="49"/>
      <c r="D71" s="14"/>
      <c r="E71" s="18"/>
      <c r="F71" s="13"/>
      <c r="G71" s="13"/>
      <c r="H71" s="76"/>
      <c r="I71" s="13"/>
    </row>
    <row r="72" spans="1:9" ht="18.75" customHeight="1">
      <c r="A72" s="30">
        <v>20</v>
      </c>
      <c r="B72" s="36" t="s">
        <v>140</v>
      </c>
      <c r="C72" s="176" t="s">
        <v>141</v>
      </c>
      <c r="D72" s="36"/>
      <c r="E72" s="17">
        <v>4731.7</v>
      </c>
      <c r="F72" s="35">
        <f>SUM(E72*12)</f>
        <v>56780.399999999994</v>
      </c>
      <c r="G72" s="115">
        <v>2.4900000000000002</v>
      </c>
      <c r="H72" s="76">
        <f t="shared" ref="H72" si="12">SUM(F72*G72/1000)</f>
        <v>141.383196</v>
      </c>
      <c r="I72" s="13">
        <f>F72/12*G72</f>
        <v>11781.933000000001</v>
      </c>
    </row>
    <row r="73" spans="1:9" ht="16.5" customHeight="1">
      <c r="A73" s="30"/>
      <c r="B73" s="139" t="s">
        <v>67</v>
      </c>
      <c r="C73" s="16"/>
      <c r="D73" s="14"/>
      <c r="E73" s="18"/>
      <c r="F73" s="13"/>
      <c r="G73" s="13"/>
      <c r="H73" s="76" t="s">
        <v>118</v>
      </c>
      <c r="I73" s="13"/>
    </row>
    <row r="74" spans="1:9" ht="30" hidden="1">
      <c r="A74" s="30"/>
      <c r="B74" s="14" t="s">
        <v>142</v>
      </c>
      <c r="C74" s="16" t="s">
        <v>97</v>
      </c>
      <c r="D74" s="14" t="s">
        <v>63</v>
      </c>
      <c r="E74" s="18">
        <v>1</v>
      </c>
      <c r="F74" s="13">
        <v>1</v>
      </c>
      <c r="G74" s="13">
        <v>1543.4</v>
      </c>
      <c r="H74" s="76">
        <f t="shared" ref="H74:H77" si="13">SUM(F74*G74/1000)</f>
        <v>1.5434000000000001</v>
      </c>
      <c r="I74" s="13">
        <v>0</v>
      </c>
    </row>
    <row r="75" spans="1:9" ht="30" hidden="1">
      <c r="A75" s="30">
        <v>19</v>
      </c>
      <c r="B75" s="47" t="s">
        <v>143</v>
      </c>
      <c r="C75" s="49" t="s">
        <v>97</v>
      </c>
      <c r="D75" s="14" t="s">
        <v>63</v>
      </c>
      <c r="E75" s="18">
        <v>4</v>
      </c>
      <c r="F75" s="13">
        <v>1</v>
      </c>
      <c r="G75" s="13">
        <v>130.96</v>
      </c>
      <c r="H75" s="76">
        <f>SUM(F75*G75/1000)</f>
        <v>0.13096000000000002</v>
      </c>
      <c r="I75" s="13">
        <v>0</v>
      </c>
    </row>
    <row r="76" spans="1:9" hidden="1">
      <c r="A76" s="30">
        <v>13</v>
      </c>
      <c r="B76" s="14" t="s">
        <v>68</v>
      </c>
      <c r="C76" s="16" t="s">
        <v>69</v>
      </c>
      <c r="D76" s="44" t="s">
        <v>63</v>
      </c>
      <c r="E76" s="18">
        <v>8</v>
      </c>
      <c r="F76" s="13">
        <f>E76/10</f>
        <v>0.8</v>
      </c>
      <c r="G76" s="13">
        <v>657.87</v>
      </c>
      <c r="H76" s="76">
        <f t="shared" si="13"/>
        <v>0.5262960000000001</v>
      </c>
      <c r="I76" s="13">
        <f>G76*0.2</f>
        <v>131.57400000000001</v>
      </c>
    </row>
    <row r="77" spans="1:9" ht="30" hidden="1">
      <c r="A77" s="30"/>
      <c r="B77" s="14" t="s">
        <v>144</v>
      </c>
      <c r="C77" s="16" t="s">
        <v>97</v>
      </c>
      <c r="D77" s="14" t="s">
        <v>63</v>
      </c>
      <c r="E77" s="18">
        <v>1</v>
      </c>
      <c r="F77" s="64">
        <f>SUM(E77)</f>
        <v>1</v>
      </c>
      <c r="G77" s="13">
        <v>1118.72</v>
      </c>
      <c r="H77" s="76">
        <f t="shared" si="13"/>
        <v>1.1187199999999999</v>
      </c>
      <c r="I77" s="13">
        <v>0</v>
      </c>
    </row>
    <row r="78" spans="1:9" ht="30" hidden="1">
      <c r="A78" s="30"/>
      <c r="B78" s="47" t="s">
        <v>145</v>
      </c>
      <c r="C78" s="49" t="s">
        <v>97</v>
      </c>
      <c r="D78" s="14" t="s">
        <v>63</v>
      </c>
      <c r="E78" s="18">
        <v>1</v>
      </c>
      <c r="F78" s="56">
        <v>1</v>
      </c>
      <c r="G78" s="13">
        <v>3757.02</v>
      </c>
      <c r="H78" s="76">
        <f>SUM(F78*G78/1000)</f>
        <v>3.7570199999999998</v>
      </c>
      <c r="I78" s="13">
        <v>0</v>
      </c>
    </row>
    <row r="79" spans="1:9" ht="18.75" customHeight="1">
      <c r="A79" s="30">
        <v>21</v>
      </c>
      <c r="B79" s="105" t="s">
        <v>146</v>
      </c>
      <c r="C79" s="106" t="s">
        <v>97</v>
      </c>
      <c r="D79" s="36" t="s">
        <v>173</v>
      </c>
      <c r="E79" s="177">
        <v>2</v>
      </c>
      <c r="F79" s="175">
        <f>E79*12</f>
        <v>24</v>
      </c>
      <c r="G79" s="182">
        <v>404</v>
      </c>
      <c r="H79" s="76">
        <f t="shared" ref="H79" si="14">SUM(F79*G79/1000)</f>
        <v>9.6959999999999997</v>
      </c>
      <c r="I79" s="13">
        <f>F79/12*G79</f>
        <v>808</v>
      </c>
    </row>
    <row r="80" spans="1:9" hidden="1">
      <c r="A80" s="30"/>
      <c r="B80" s="79" t="s">
        <v>70</v>
      </c>
      <c r="C80" s="16"/>
      <c r="D80" s="14"/>
      <c r="E80" s="18"/>
      <c r="F80" s="13"/>
      <c r="G80" s="13" t="s">
        <v>118</v>
      </c>
      <c r="H80" s="76" t="s">
        <v>118</v>
      </c>
      <c r="I80" s="13"/>
    </row>
    <row r="81" spans="1:9" hidden="1">
      <c r="A81" s="30"/>
      <c r="B81" s="44" t="s">
        <v>110</v>
      </c>
      <c r="C81" s="16" t="s">
        <v>71</v>
      </c>
      <c r="D81" s="14"/>
      <c r="E81" s="18"/>
      <c r="F81" s="13">
        <v>0.3</v>
      </c>
      <c r="G81" s="13">
        <v>3619.09</v>
      </c>
      <c r="H81" s="76">
        <f t="shared" si="9"/>
        <v>1.0857270000000001</v>
      </c>
      <c r="I81" s="13">
        <v>0</v>
      </c>
    </row>
    <row r="82" spans="1:9" ht="28.5" hidden="1">
      <c r="A82" s="30"/>
      <c r="B82" s="96" t="s">
        <v>86</v>
      </c>
      <c r="C82" s="79"/>
      <c r="D82" s="32"/>
      <c r="E82" s="33"/>
      <c r="F82" s="67"/>
      <c r="G82" s="67"/>
      <c r="H82" s="80">
        <f>SUM(H55:H81)</f>
        <v>340.89871024000013</v>
      </c>
      <c r="I82" s="67"/>
    </row>
    <row r="83" spans="1:9" hidden="1">
      <c r="A83" s="30"/>
      <c r="B83" s="61" t="s">
        <v>103</v>
      </c>
      <c r="C83" s="16"/>
      <c r="D83" s="14"/>
      <c r="E83" s="57"/>
      <c r="F83" s="13">
        <v>1</v>
      </c>
      <c r="G83" s="13">
        <v>20512</v>
      </c>
      <c r="H83" s="76">
        <f>G83*F83/1000</f>
        <v>20.512</v>
      </c>
      <c r="I83" s="13">
        <v>0</v>
      </c>
    </row>
    <row r="84" spans="1:9">
      <c r="A84" s="230" t="s">
        <v>123</v>
      </c>
      <c r="B84" s="231"/>
      <c r="C84" s="231"/>
      <c r="D84" s="231"/>
      <c r="E84" s="231"/>
      <c r="F84" s="231"/>
      <c r="G84" s="231"/>
      <c r="H84" s="231"/>
      <c r="I84" s="232"/>
    </row>
    <row r="85" spans="1:9" ht="19.5" customHeight="1">
      <c r="A85" s="30">
        <v>22</v>
      </c>
      <c r="B85" s="113" t="s">
        <v>104</v>
      </c>
      <c r="C85" s="168" t="s">
        <v>52</v>
      </c>
      <c r="D85" s="169"/>
      <c r="E85" s="115">
        <v>4731.7</v>
      </c>
      <c r="F85" s="115">
        <f>SUM(E85*12)</f>
        <v>56780.399999999994</v>
      </c>
      <c r="G85" s="115">
        <v>3.38</v>
      </c>
      <c r="H85" s="76">
        <f>SUM(F85*G85/1000)</f>
        <v>191.91775199999998</v>
      </c>
      <c r="I85" s="13">
        <f>F85/12*G85</f>
        <v>15993.145999999999</v>
      </c>
    </row>
    <row r="86" spans="1:9" ht="33.75" customHeight="1">
      <c r="A86" s="30">
        <v>23</v>
      </c>
      <c r="B86" s="36" t="s">
        <v>72</v>
      </c>
      <c r="C86" s="168"/>
      <c r="D86" s="48"/>
      <c r="E86" s="163">
        <f>E85</f>
        <v>4731.7</v>
      </c>
      <c r="F86" s="115">
        <f>E86*12</f>
        <v>56780.399999999994</v>
      </c>
      <c r="G86" s="115">
        <v>3.05</v>
      </c>
      <c r="H86" s="76">
        <f>F86*G86/1000</f>
        <v>173.18021999999996</v>
      </c>
      <c r="I86" s="13">
        <f>F86/12*G86</f>
        <v>14431.684999999999</v>
      </c>
    </row>
    <row r="87" spans="1:9">
      <c r="A87" s="30"/>
      <c r="B87" s="37" t="s">
        <v>74</v>
      </c>
      <c r="C87" s="79"/>
      <c r="D87" s="78"/>
      <c r="E87" s="67"/>
      <c r="F87" s="67"/>
      <c r="G87" s="67"/>
      <c r="H87" s="80">
        <f>H86</f>
        <v>173.18021999999996</v>
      </c>
      <c r="I87" s="67">
        <f>I86+I85+I79+I72+I70+I64+I61+I52+I51+I50+I49+I48+I47+I46+I45+I44+I32+I30+I29+I18+I17+I16+I20</f>
        <v>99075.174636766664</v>
      </c>
    </row>
    <row r="88" spans="1:9">
      <c r="A88" s="227" t="s">
        <v>57</v>
      </c>
      <c r="B88" s="228"/>
      <c r="C88" s="228"/>
      <c r="D88" s="228"/>
      <c r="E88" s="228"/>
      <c r="F88" s="228"/>
      <c r="G88" s="228"/>
      <c r="H88" s="228"/>
      <c r="I88" s="229"/>
    </row>
    <row r="89" spans="1:9" ht="15.75" customHeight="1">
      <c r="A89" s="30">
        <v>24</v>
      </c>
      <c r="B89" s="105" t="s">
        <v>301</v>
      </c>
      <c r="C89" s="83" t="s">
        <v>228</v>
      </c>
      <c r="D89" s="192"/>
      <c r="E89" s="167"/>
      <c r="F89" s="167">
        <v>0.08</v>
      </c>
      <c r="G89" s="167">
        <v>4113.16</v>
      </c>
      <c r="H89" s="35"/>
      <c r="I89" s="13">
        <f>G89*0.08</f>
        <v>329.05279999999999</v>
      </c>
    </row>
    <row r="90" spans="1:9" ht="15.75" customHeight="1">
      <c r="A90" s="30">
        <v>25</v>
      </c>
      <c r="B90" s="105" t="s">
        <v>150</v>
      </c>
      <c r="C90" s="106" t="s">
        <v>120</v>
      </c>
      <c r="D90" s="192" t="s">
        <v>207</v>
      </c>
      <c r="E90" s="167"/>
      <c r="F90" s="167">
        <v>17</v>
      </c>
      <c r="G90" s="167">
        <v>295.36</v>
      </c>
      <c r="H90" s="35"/>
      <c r="I90" s="13">
        <v>0</v>
      </c>
    </row>
    <row r="91" spans="1:9" ht="16.5" customHeight="1">
      <c r="A91" s="30"/>
      <c r="B91" s="32" t="s">
        <v>49</v>
      </c>
      <c r="C91" s="38"/>
      <c r="D91" s="45"/>
      <c r="E91" s="38">
        <v>1</v>
      </c>
      <c r="F91" s="38"/>
      <c r="G91" s="38"/>
      <c r="H91" s="38"/>
      <c r="I91" s="33">
        <f>SUM(I89:I89)</f>
        <v>329.05279999999999</v>
      </c>
    </row>
    <row r="92" spans="1:9">
      <c r="A92" s="30"/>
      <c r="B92" s="44" t="s">
        <v>73</v>
      </c>
      <c r="C92" s="15"/>
      <c r="D92" s="15"/>
      <c r="E92" s="39"/>
      <c r="F92" s="39"/>
      <c r="G92" s="40"/>
      <c r="H92" s="40"/>
      <c r="I92" s="17">
        <v>0</v>
      </c>
    </row>
    <row r="93" spans="1:9">
      <c r="A93" s="46"/>
      <c r="B93" s="43" t="s">
        <v>131</v>
      </c>
      <c r="C93" s="34"/>
      <c r="D93" s="34"/>
      <c r="E93" s="34"/>
      <c r="F93" s="34"/>
      <c r="G93" s="34"/>
      <c r="H93" s="34"/>
      <c r="I93" s="41">
        <f>I87+I91</f>
        <v>99404.227436766669</v>
      </c>
    </row>
    <row r="94" spans="1:9" ht="15.75">
      <c r="A94" s="224" t="s">
        <v>302</v>
      </c>
      <c r="B94" s="224"/>
      <c r="C94" s="224"/>
      <c r="D94" s="224"/>
      <c r="E94" s="224"/>
      <c r="F94" s="224"/>
      <c r="G94" s="224"/>
      <c r="H94" s="224"/>
      <c r="I94" s="224"/>
    </row>
    <row r="95" spans="1:9" ht="15.75">
      <c r="A95" s="55"/>
      <c r="B95" s="225" t="s">
        <v>303</v>
      </c>
      <c r="C95" s="225"/>
      <c r="D95" s="225"/>
      <c r="E95" s="225"/>
      <c r="F95" s="225"/>
      <c r="G95" s="225"/>
      <c r="H95" s="60"/>
      <c r="I95" s="3"/>
    </row>
    <row r="96" spans="1:9">
      <c r="A96" s="137"/>
      <c r="B96" s="215" t="s">
        <v>6</v>
      </c>
      <c r="C96" s="215"/>
      <c r="D96" s="215"/>
      <c r="E96" s="215"/>
      <c r="F96" s="215"/>
      <c r="G96" s="215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226" t="s">
        <v>7</v>
      </c>
      <c r="B98" s="226"/>
      <c r="C98" s="226"/>
      <c r="D98" s="226"/>
      <c r="E98" s="226"/>
      <c r="F98" s="226"/>
      <c r="G98" s="226"/>
      <c r="H98" s="226"/>
      <c r="I98" s="226"/>
    </row>
    <row r="99" spans="1:9" ht="15.75">
      <c r="A99" s="226" t="s">
        <v>8</v>
      </c>
      <c r="B99" s="226"/>
      <c r="C99" s="226"/>
      <c r="D99" s="226"/>
      <c r="E99" s="226"/>
      <c r="F99" s="226"/>
      <c r="G99" s="226"/>
      <c r="H99" s="226"/>
      <c r="I99" s="226"/>
    </row>
    <row r="100" spans="1:9" ht="15.75">
      <c r="A100" s="219" t="s">
        <v>58</v>
      </c>
      <c r="B100" s="219"/>
      <c r="C100" s="219"/>
      <c r="D100" s="219"/>
      <c r="E100" s="219"/>
      <c r="F100" s="219"/>
      <c r="G100" s="219"/>
      <c r="H100" s="219"/>
      <c r="I100" s="219"/>
    </row>
    <row r="101" spans="1:9" ht="15.75">
      <c r="A101" s="11"/>
    </row>
    <row r="102" spans="1:9" ht="15.75">
      <c r="A102" s="213" t="s">
        <v>9</v>
      </c>
      <c r="B102" s="213"/>
      <c r="C102" s="213"/>
      <c r="D102" s="213"/>
      <c r="E102" s="213"/>
      <c r="F102" s="213"/>
      <c r="G102" s="213"/>
      <c r="H102" s="213"/>
      <c r="I102" s="213"/>
    </row>
    <row r="103" spans="1:9" ht="15.75">
      <c r="A103" s="4"/>
    </row>
    <row r="104" spans="1:9" ht="15.75">
      <c r="B104" s="140" t="s">
        <v>10</v>
      </c>
      <c r="C104" s="214" t="s">
        <v>201</v>
      </c>
      <c r="D104" s="214"/>
      <c r="E104" s="214"/>
      <c r="F104" s="58"/>
      <c r="I104" s="142"/>
    </row>
    <row r="105" spans="1:9">
      <c r="A105" s="137"/>
      <c r="C105" s="215" t="s">
        <v>11</v>
      </c>
      <c r="D105" s="215"/>
      <c r="E105" s="215"/>
      <c r="F105" s="25"/>
      <c r="I105" s="141" t="s">
        <v>12</v>
      </c>
    </row>
    <row r="106" spans="1:9" ht="15.75">
      <c r="A106" s="26"/>
      <c r="C106" s="12"/>
      <c r="D106" s="12"/>
      <c r="G106" s="12"/>
      <c r="H106" s="12"/>
    </row>
    <row r="107" spans="1:9" ht="15.75">
      <c r="B107" s="140" t="s">
        <v>13</v>
      </c>
      <c r="C107" s="216"/>
      <c r="D107" s="216"/>
      <c r="E107" s="216"/>
      <c r="F107" s="59"/>
      <c r="I107" s="142"/>
    </row>
    <row r="108" spans="1:9">
      <c r="A108" s="137"/>
      <c r="C108" s="217" t="s">
        <v>11</v>
      </c>
      <c r="D108" s="217"/>
      <c r="E108" s="217"/>
      <c r="F108" s="137"/>
      <c r="I108" s="141" t="s">
        <v>12</v>
      </c>
    </row>
    <row r="109" spans="1:9" ht="15.75">
      <c r="A109" s="4" t="s">
        <v>14</v>
      </c>
    </row>
    <row r="110" spans="1:9">
      <c r="A110" s="218" t="s">
        <v>15</v>
      </c>
      <c r="B110" s="218"/>
      <c r="C110" s="218"/>
      <c r="D110" s="218"/>
      <c r="E110" s="218"/>
      <c r="F110" s="218"/>
      <c r="G110" s="218"/>
      <c r="H110" s="218"/>
      <c r="I110" s="218"/>
    </row>
    <row r="111" spans="1:9" ht="45.75" customHeight="1">
      <c r="A111" s="212" t="s">
        <v>16</v>
      </c>
      <c r="B111" s="212"/>
      <c r="C111" s="212"/>
      <c r="D111" s="212"/>
      <c r="E111" s="212"/>
      <c r="F111" s="212"/>
      <c r="G111" s="212"/>
      <c r="H111" s="212"/>
      <c r="I111" s="212"/>
    </row>
    <row r="112" spans="1:9" ht="33.75" customHeight="1">
      <c r="A112" s="212" t="s">
        <v>17</v>
      </c>
      <c r="B112" s="212"/>
      <c r="C112" s="212"/>
      <c r="D112" s="212"/>
      <c r="E112" s="212"/>
      <c r="F112" s="212"/>
      <c r="G112" s="212"/>
      <c r="H112" s="212"/>
      <c r="I112" s="212"/>
    </row>
    <row r="113" spans="1:9" ht="32.25" customHeight="1">
      <c r="A113" s="212" t="s">
        <v>21</v>
      </c>
      <c r="B113" s="212"/>
      <c r="C113" s="212"/>
      <c r="D113" s="212"/>
      <c r="E113" s="212"/>
      <c r="F113" s="212"/>
      <c r="G113" s="212"/>
      <c r="H113" s="212"/>
      <c r="I113" s="212"/>
    </row>
    <row r="114" spans="1:9" ht="15.75">
      <c r="A114" s="212" t="s">
        <v>20</v>
      </c>
      <c r="B114" s="212"/>
      <c r="C114" s="212"/>
      <c r="D114" s="212"/>
      <c r="E114" s="212"/>
      <c r="F114" s="212"/>
      <c r="G114" s="212"/>
      <c r="H114" s="212"/>
      <c r="I114" s="212"/>
    </row>
  </sheetData>
  <mergeCells count="28">
    <mergeCell ref="A110:I110"/>
    <mergeCell ref="A111:I111"/>
    <mergeCell ref="A112:I112"/>
    <mergeCell ref="A113:I113"/>
    <mergeCell ref="A114:I114"/>
    <mergeCell ref="C108:E10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8:I88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3:I53"/>
    <mergeCell ref="A84:I84"/>
  </mergeCells>
  <pageMargins left="0.70866141732283472" right="0" top="0.74803149606299213" bottom="0.74803149606299213" header="0.31496062992125984" footer="0.31496062992125984"/>
  <pageSetup paperSize="9"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'05.21'!Область_печати</vt:lpstr>
      <vt:lpstr>'06.21'!Область_печати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2022-01-28T05:26:26Z</cp:lastPrinted>
  <dcterms:created xsi:type="dcterms:W3CDTF">2016-03-25T08:33:47Z</dcterms:created>
  <dcterms:modified xsi:type="dcterms:W3CDTF">2022-01-28T05:27:06Z</dcterms:modified>
</cp:coreProperties>
</file>