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20055" windowHeight="7905"/>
  </bookViews>
  <sheets>
    <sheet name="Стр.,7" sheetId="1" r:id="rId1"/>
  </sheets>
  <definedNames>
    <definedName name="_xlnm.Print_Area" localSheetId="0">'Стр.,7'!$A$1:$Z$115</definedName>
  </definedNames>
  <calcPr calcId="124519"/>
</workbook>
</file>

<file path=xl/calcChain.xml><?xml version="1.0" encoding="utf-8"?>
<calcChain xmlns="http://schemas.openxmlformats.org/spreadsheetml/2006/main">
  <c r="F40" i="1"/>
  <c r="C112"/>
  <c r="T96"/>
  <c r="S96"/>
  <c r="U82"/>
  <c r="H82"/>
  <c r="U55"/>
  <c r="H55"/>
  <c r="H22"/>
  <c r="C113" l="1"/>
  <c r="C110"/>
  <c r="T58" l="1"/>
  <c r="S58"/>
  <c r="U94"/>
  <c r="U95"/>
  <c r="U96"/>
  <c r="U97"/>
  <c r="U98"/>
  <c r="U99"/>
  <c r="U100"/>
  <c r="U101"/>
  <c r="U102"/>
  <c r="U93"/>
  <c r="U86"/>
  <c r="U83"/>
  <c r="U77"/>
  <c r="F79"/>
  <c r="T79" s="1"/>
  <c r="T77"/>
  <c r="S77"/>
  <c r="H77"/>
  <c r="U74"/>
  <c r="U75"/>
  <c r="U72"/>
  <c r="F76"/>
  <c r="T76" s="1"/>
  <c r="Q75"/>
  <c r="H75"/>
  <c r="R74"/>
  <c r="Q74"/>
  <c r="F74"/>
  <c r="H74" s="1"/>
  <c r="S73"/>
  <c r="U73" s="1"/>
  <c r="F73"/>
  <c r="H73" s="1"/>
  <c r="H72"/>
  <c r="F70"/>
  <c r="F63"/>
  <c r="F64"/>
  <c r="U60"/>
  <c r="U63"/>
  <c r="U64"/>
  <c r="U65"/>
  <c r="U66"/>
  <c r="U67"/>
  <c r="U68"/>
  <c r="U69"/>
  <c r="U70"/>
  <c r="U81"/>
  <c r="H58"/>
  <c r="U58" l="1"/>
  <c r="I79"/>
  <c r="K79"/>
  <c r="M79"/>
  <c r="O79"/>
  <c r="Q79"/>
  <c r="S79"/>
  <c r="U79" s="1"/>
  <c r="H79"/>
  <c r="J79"/>
  <c r="L79"/>
  <c r="N79"/>
  <c r="P79"/>
  <c r="R79"/>
  <c r="S76"/>
  <c r="U76" s="1"/>
  <c r="H76"/>
  <c r="F46" l="1"/>
  <c r="U46"/>
  <c r="U47"/>
  <c r="U48"/>
  <c r="U49"/>
  <c r="U51"/>
  <c r="U52"/>
  <c r="U53"/>
  <c r="U45"/>
  <c r="F42"/>
  <c r="T42" s="1"/>
  <c r="S42" l="1"/>
  <c r="U42" s="1"/>
  <c r="H42"/>
  <c r="H38" l="1"/>
  <c r="F29"/>
  <c r="U38"/>
  <c r="U25"/>
  <c r="U26"/>
  <c r="U27"/>
  <c r="U28"/>
  <c r="U30"/>
  <c r="U31"/>
  <c r="U24"/>
  <c r="E28"/>
  <c r="F16"/>
  <c r="F19"/>
  <c r="U14"/>
  <c r="U17"/>
  <c r="U18"/>
  <c r="U19"/>
  <c r="U20"/>
  <c r="U21"/>
  <c r="H97"/>
  <c r="H99"/>
  <c r="H100"/>
  <c r="S97"/>
  <c r="T100" l="1"/>
  <c r="F98"/>
  <c r="T102"/>
  <c r="S95"/>
  <c r="R102"/>
  <c r="R96"/>
  <c r="Q96"/>
  <c r="P96"/>
  <c r="T99"/>
  <c r="T101"/>
  <c r="S94"/>
  <c r="H94"/>
  <c r="S98" l="1"/>
  <c r="H98"/>
  <c r="S93"/>
  <c r="R101"/>
  <c r="R100"/>
  <c r="R63"/>
  <c r="P102" l="1"/>
  <c r="O96"/>
  <c r="N96"/>
  <c r="M96"/>
  <c r="O102"/>
  <c r="P99"/>
  <c r="O100"/>
  <c r="N63"/>
  <c r="L96"/>
  <c r="K96"/>
  <c r="T54" l="1"/>
  <c r="U54" s="1"/>
  <c r="P54"/>
  <c r="L38"/>
  <c r="J96"/>
  <c r="J95"/>
  <c r="H95"/>
  <c r="I102" l="1"/>
  <c r="H102"/>
  <c r="I96"/>
  <c r="I63"/>
  <c r="U103" l="1"/>
  <c r="L54" l="1"/>
  <c r="Q53"/>
  <c r="L50"/>
  <c r="Q49"/>
  <c r="M49"/>
  <c r="M21"/>
  <c r="J83" l="1"/>
  <c r="T41" l="1"/>
  <c r="S41"/>
  <c r="U41" s="1"/>
  <c r="T35"/>
  <c r="S35"/>
  <c r="U35" s="1"/>
  <c r="Q70"/>
  <c r="K53"/>
  <c r="F28"/>
  <c r="R28" s="1"/>
  <c r="H93"/>
  <c r="L41"/>
  <c r="L35"/>
  <c r="M28" l="1"/>
  <c r="O28"/>
  <c r="Q28"/>
  <c r="N28"/>
  <c r="P28"/>
  <c r="H101"/>
  <c r="K41" l="1"/>
  <c r="K35"/>
  <c r="H83"/>
  <c r="J41"/>
  <c r="J35"/>
  <c r="H96"/>
  <c r="H103" s="1"/>
  <c r="H49"/>
  <c r="F54"/>
  <c r="H54" s="1"/>
  <c r="I41"/>
  <c r="I35"/>
  <c r="F60"/>
  <c r="H60" s="1"/>
  <c r="F39"/>
  <c r="H39" s="1"/>
  <c r="F36"/>
  <c r="H36" s="1"/>
  <c r="H21"/>
  <c r="F20"/>
  <c r="F61"/>
  <c r="F57"/>
  <c r="F52"/>
  <c r="H52" s="1"/>
  <c r="F27"/>
  <c r="M20" l="1"/>
  <c r="L52"/>
  <c r="Q52"/>
  <c r="M19"/>
  <c r="I57"/>
  <c r="T57"/>
  <c r="L57"/>
  <c r="S57"/>
  <c r="U57" s="1"/>
  <c r="I16"/>
  <c r="Q16"/>
  <c r="M16"/>
  <c r="U16"/>
  <c r="O16"/>
  <c r="K16"/>
  <c r="H61"/>
  <c r="T61"/>
  <c r="R61"/>
  <c r="P61"/>
  <c r="N61"/>
  <c r="M61"/>
  <c r="S61"/>
  <c r="Q61"/>
  <c r="O61"/>
  <c r="L61"/>
  <c r="I39"/>
  <c r="T39"/>
  <c r="L39"/>
  <c r="S39"/>
  <c r="U39" s="1"/>
  <c r="K57"/>
  <c r="Q27"/>
  <c r="O27"/>
  <c r="R27"/>
  <c r="P27"/>
  <c r="N27"/>
  <c r="M27"/>
  <c r="I36"/>
  <c r="S36"/>
  <c r="L36"/>
  <c r="T36"/>
  <c r="K36"/>
  <c r="K39"/>
  <c r="K61"/>
  <c r="J61"/>
  <c r="J36"/>
  <c r="J39"/>
  <c r="J57"/>
  <c r="I61"/>
  <c r="H27"/>
  <c r="U61" l="1"/>
  <c r="U36"/>
  <c r="M46"/>
  <c r="Q46"/>
  <c r="F15" l="1"/>
  <c r="T15" l="1"/>
  <c r="R15"/>
  <c r="P15"/>
  <c r="N15"/>
  <c r="M15"/>
  <c r="L15"/>
  <c r="S15"/>
  <c r="U15" s="1"/>
  <c r="Q15"/>
  <c r="O15"/>
  <c r="K15"/>
  <c r="I15"/>
  <c r="J15"/>
  <c r="F14" l="1"/>
  <c r="M14" s="1"/>
  <c r="F17"/>
  <c r="F18"/>
  <c r="M18" l="1"/>
  <c r="M17"/>
  <c r="F106"/>
  <c r="E86"/>
  <c r="H89" s="1"/>
  <c r="F84"/>
  <c r="H81"/>
  <c r="H70"/>
  <c r="F69"/>
  <c r="F68"/>
  <c r="F67"/>
  <c r="F66"/>
  <c r="F65"/>
  <c r="H64"/>
  <c r="H63"/>
  <c r="H57"/>
  <c r="H53"/>
  <c r="F51"/>
  <c r="H51" s="1"/>
  <c r="F50"/>
  <c r="H50" s="1"/>
  <c r="F48"/>
  <c r="F47"/>
  <c r="H46"/>
  <c r="F45"/>
  <c r="H41"/>
  <c r="H40"/>
  <c r="H43" s="1"/>
  <c r="F37"/>
  <c r="H37" s="1"/>
  <c r="H35"/>
  <c r="F32"/>
  <c r="H31"/>
  <c r="H30"/>
  <c r="H28"/>
  <c r="F26"/>
  <c r="F25"/>
  <c r="F24"/>
  <c r="H20"/>
  <c r="H18"/>
  <c r="H17"/>
  <c r="H14"/>
  <c r="F13"/>
  <c r="F12"/>
  <c r="F11"/>
  <c r="M45" l="1"/>
  <c r="Q45"/>
  <c r="M47"/>
  <c r="Q47"/>
  <c r="Q50"/>
  <c r="T50"/>
  <c r="U50" s="1"/>
  <c r="M50"/>
  <c r="M48"/>
  <c r="Q48"/>
  <c r="L51"/>
  <c r="Q51"/>
  <c r="T11"/>
  <c r="R11"/>
  <c r="P11"/>
  <c r="N11"/>
  <c r="S11"/>
  <c r="U11" s="1"/>
  <c r="Q11"/>
  <c r="O11"/>
  <c r="M11"/>
  <c r="L11"/>
  <c r="K11"/>
  <c r="H25"/>
  <c r="Q25"/>
  <c r="O25"/>
  <c r="M25"/>
  <c r="R25"/>
  <c r="P25"/>
  <c r="N25"/>
  <c r="T12"/>
  <c r="Q12"/>
  <c r="O12"/>
  <c r="M12"/>
  <c r="L12"/>
  <c r="S12"/>
  <c r="R12"/>
  <c r="P12"/>
  <c r="N12"/>
  <c r="K12"/>
  <c r="H24"/>
  <c r="R24"/>
  <c r="P24"/>
  <c r="N24"/>
  <c r="Q24"/>
  <c r="O24"/>
  <c r="M24"/>
  <c r="H26"/>
  <c r="M26"/>
  <c r="S29"/>
  <c r="Q29"/>
  <c r="O29"/>
  <c r="M29"/>
  <c r="T29"/>
  <c r="R29"/>
  <c r="P29"/>
  <c r="N29"/>
  <c r="L29"/>
  <c r="K29"/>
  <c r="H48"/>
  <c r="H66"/>
  <c r="M66"/>
  <c r="H68"/>
  <c r="M68"/>
  <c r="T84"/>
  <c r="R84"/>
  <c r="P84"/>
  <c r="N84"/>
  <c r="M84"/>
  <c r="L84"/>
  <c r="S84"/>
  <c r="U84" s="1"/>
  <c r="Q84"/>
  <c r="O84"/>
  <c r="K84"/>
  <c r="T13"/>
  <c r="R13"/>
  <c r="P13"/>
  <c r="N13"/>
  <c r="S13"/>
  <c r="U13" s="1"/>
  <c r="Q13"/>
  <c r="O13"/>
  <c r="M13"/>
  <c r="L13"/>
  <c r="K13"/>
  <c r="J32"/>
  <c r="S32"/>
  <c r="R32"/>
  <c r="P32"/>
  <c r="N32"/>
  <c r="L32"/>
  <c r="T32"/>
  <c r="Q32"/>
  <c r="O32"/>
  <c r="M32"/>
  <c r="K32"/>
  <c r="J37"/>
  <c r="T37"/>
  <c r="S37"/>
  <c r="L37"/>
  <c r="K37"/>
  <c r="J40"/>
  <c r="L40"/>
  <c r="K40"/>
  <c r="H45"/>
  <c r="H47"/>
  <c r="J50"/>
  <c r="I50"/>
  <c r="H65"/>
  <c r="M65"/>
  <c r="H67"/>
  <c r="M67"/>
  <c r="H69"/>
  <c r="M69"/>
  <c r="I11"/>
  <c r="J11"/>
  <c r="I12"/>
  <c r="J12"/>
  <c r="I29"/>
  <c r="J29"/>
  <c r="I84"/>
  <c r="J84"/>
  <c r="I13"/>
  <c r="J13"/>
  <c r="H32"/>
  <c r="I32"/>
  <c r="I37"/>
  <c r="I40"/>
  <c r="H84"/>
  <c r="H85" s="1"/>
  <c r="H29"/>
  <c r="H11"/>
  <c r="H12"/>
  <c r="H16"/>
  <c r="H13"/>
  <c r="H15"/>
  <c r="F86"/>
  <c r="H19"/>
  <c r="U37" l="1"/>
  <c r="U32"/>
  <c r="U12"/>
  <c r="U40"/>
  <c r="U43" s="1"/>
  <c r="U88" s="1"/>
  <c r="U29"/>
  <c r="H33"/>
  <c r="T86"/>
  <c r="T106" s="1"/>
  <c r="Q86"/>
  <c r="O86"/>
  <c r="O106" s="1"/>
  <c r="S86"/>
  <c r="R86"/>
  <c r="P86"/>
  <c r="P106" s="1"/>
  <c r="N86"/>
  <c r="N106" s="1"/>
  <c r="M86"/>
  <c r="M106" s="1"/>
  <c r="L86"/>
  <c r="L106" s="1"/>
  <c r="K86"/>
  <c r="S106"/>
  <c r="K106"/>
  <c r="Q106"/>
  <c r="R106"/>
  <c r="I86"/>
  <c r="J86"/>
  <c r="J106" s="1"/>
  <c r="U85"/>
  <c r="H86"/>
  <c r="H87" s="1"/>
  <c r="U33" l="1"/>
  <c r="U87"/>
  <c r="U22"/>
  <c r="I106"/>
  <c r="H88"/>
  <c r="H90" s="1"/>
  <c r="U106" l="1"/>
  <c r="C111" l="1"/>
  <c r="C115" s="1"/>
  <c r="H105"/>
  <c r="G106" s="1"/>
  <c r="H106" s="1"/>
</calcChain>
</file>

<file path=xl/sharedStrings.xml><?xml version="1.0" encoding="utf-8"?>
<sst xmlns="http://schemas.openxmlformats.org/spreadsheetml/2006/main" count="320" uniqueCount="229">
  <si>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</si>
  <si>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</si>
  <si>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</si>
  <si>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</si>
  <si>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</si>
  <si>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</si>
  <si>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</si>
  <si>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</si>
  <si>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</si>
  <si>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</si>
  <si>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</si>
  <si>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</si>
  <si>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</si>
  <si>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</si>
  <si>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</si>
  <si>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</si>
  <si>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</si>
  <si>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</si>
  <si>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</si>
  <si>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</si>
  <si>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</si>
  <si>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</si>
  <si>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</si>
  <si>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</si>
  <si>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</si>
  <si>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</si>
  <si>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</si>
  <si>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1000м2</t>
  </si>
  <si>
    <t>Уборка газонов сильной загрязненности</t>
  </si>
  <si>
    <t>1 раз в год</t>
  </si>
  <si>
    <t>шт.</t>
  </si>
  <si>
    <t>155 раз</t>
  </si>
  <si>
    <t>Подборка мусора на контейнерной площадке</t>
  </si>
  <si>
    <t>м3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</si>
  <si>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</si>
  <si>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</si>
  <si>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</si>
  <si>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</si>
  <si>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</si>
  <si>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</si>
  <si>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</si>
  <si>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</si>
  <si>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</si>
  <si>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</si>
  <si>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</si>
  <si>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</si>
  <si>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</si>
  <si>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</si>
  <si>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</si>
  <si>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</si>
  <si>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</si>
  <si>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</si>
  <si>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</si>
  <si>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</si>
  <si>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</si>
  <si>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</si>
  <si>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</si>
  <si>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</si>
  <si>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</si>
  <si>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</si>
  <si>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</si>
  <si>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</si>
  <si>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</si>
  <si>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</si>
  <si>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</si>
  <si>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</si>
  <si>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</si>
  <si>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</si>
  <si>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</si>
  <si>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</si>
  <si>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</si>
  <si>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</si>
  <si>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</si>
  <si>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</si>
  <si>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</si>
  <si>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</si>
  <si>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</si>
  <si>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</si>
  <si>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</si>
  <si>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</si>
  <si>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</si>
  <si>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</si>
  <si>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</si>
  <si>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</si>
  <si>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</si>
  <si>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</si>
  <si>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</si>
  <si>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</si>
  <si>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</si>
  <si>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</si>
  <si>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</si>
  <si>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</si>
  <si>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</si>
  <si>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Генеральный директор ООО "Жилсервис"_______Ю.Л.Куканов</t>
  </si>
  <si>
    <t>Вывоз снега с придомовой территории</t>
  </si>
  <si>
    <t>1 раз в месяц</t>
  </si>
  <si>
    <t>Очистка урн от мусора</t>
  </si>
  <si>
    <t>Дератизация</t>
  </si>
  <si>
    <t>Влажная протирка шкафов для щитов и слаботочн.ус.</t>
  </si>
  <si>
    <t>30 раз за сезон</t>
  </si>
  <si>
    <t>35 раз за сезон</t>
  </si>
  <si>
    <t>Осмотр деревянных конструкций стропил</t>
  </si>
  <si>
    <t>калькуляция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</si>
  <si>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</si>
  <si>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</si>
  <si>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</si>
  <si>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</si>
  <si>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</si>
  <si>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</si>
  <si>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</si>
  <si>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</si>
  <si>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</si>
  <si>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</si>
  <si>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</si>
  <si>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</si>
  <si>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</si>
  <si>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Снятие показаний эл.счетчика коммунального назначения</t>
  </si>
  <si>
    <t>5 этажей, 3 подъезда</t>
  </si>
  <si>
    <t>Стоимость (руб.)</t>
  </si>
  <si>
    <t>договор</t>
  </si>
  <si>
    <t>ТО внутридомового газ.оборудования</t>
  </si>
  <si>
    <t>Ремонт групповых щитков на лестничной клетке без ремонта автоматов</t>
  </si>
  <si>
    <t>1 м</t>
  </si>
  <si>
    <t>Смена арматуры - вентилей и клапанов обратных муфтовых диаметром до 20 мм</t>
  </si>
  <si>
    <t>1шт.</t>
  </si>
  <si>
    <t>1 шт.</t>
  </si>
  <si>
    <t>место</t>
  </si>
  <si>
    <t>Ремонт и регулировка доводчика (без стоимости доводчика)</t>
  </si>
  <si>
    <t>Очистка края кровли от слежавшегося снега со сбрасыванием сосулек (10% от S кровли)</t>
  </si>
  <si>
    <t xml:space="preserve">Погрузка травы, ветвей </t>
  </si>
  <si>
    <t>Вывоз смета, травы, ветвей и т.п.- м/ч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</si>
  <si>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</si>
  <si>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</si>
  <si>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</si>
  <si>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</si>
  <si>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</si>
  <si>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Осмотр шиферной кровли</t>
  </si>
  <si>
    <t>Устройство хомута диаметром до 50 мм</t>
  </si>
  <si>
    <t>смета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</si>
  <si>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</si>
  <si>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</si>
  <si>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</si>
  <si>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</si>
  <si>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</si>
  <si>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</si>
  <si>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</si>
  <si>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</si>
  <si>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</si>
  <si>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51-022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</si>
  <si>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</si>
  <si>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</si>
  <si>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</si>
  <si>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</si>
  <si>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</si>
  <si>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</si>
  <si>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</si>
  <si>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</si>
  <si>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</si>
  <si>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</si>
  <si>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</si>
  <si>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42-007</t>
  </si>
  <si>
    <t>ТЕР 42-009</t>
  </si>
  <si>
    <t>ТЕР 42-010</t>
  </si>
  <si>
    <t>ТЕР 3-7-1в</t>
  </si>
  <si>
    <t>ТЕР 42-011</t>
  </si>
  <si>
    <t>ТЕР 42-013</t>
  </si>
  <si>
    <t>ТЕР 42-012</t>
  </si>
  <si>
    <t>ТЕР 42-014</t>
  </si>
  <si>
    <t>ТЕР 42-003</t>
  </si>
  <si>
    <t>пр.ТЕР 54-041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</si>
  <si>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</si>
  <si>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</si>
  <si>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</si>
  <si>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</si>
  <si>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</si>
  <si>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</si>
  <si>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</si>
  <si>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</si>
  <si>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</si>
  <si>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33-037</t>
  </si>
  <si>
    <t>пр.ТЕР 32-098</t>
  </si>
  <si>
    <t>ТЕР 32-027</t>
  </si>
  <si>
    <t>ТЕР 33-030</t>
  </si>
  <si>
    <t>Смена трубопроводов на полипропиленовые трубы PN25 диаметром 25 мм</t>
  </si>
  <si>
    <t>Баланс выполненных работ на 01.01.2017 г. ( -долг за предприятием, +долг за населением)</t>
  </si>
  <si>
    <t>Подключение и отключение сварочного аппарата</t>
  </si>
  <si>
    <t>ТЕР 33-060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</si>
  <si>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</si>
  <si>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</si>
  <si>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</si>
  <si>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</si>
  <si>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>пр.ТЕР 33-048</t>
  </si>
  <si>
    <t>ТЕР 32-086</t>
  </si>
  <si>
    <t>Смена внутренних трубопроводов из стальных труб диаметром до 25 мм</t>
  </si>
  <si>
    <t>Смена дверных приборов - пружины</t>
  </si>
  <si>
    <t>ТЕР 15-018</t>
  </si>
  <si>
    <t>пр.ТЕР 11-013</t>
  </si>
  <si>
    <t>Заделка слуховых окон</t>
  </si>
  <si>
    <t>156 раз в год</t>
  </si>
  <si>
    <t>104 раза в год</t>
  </si>
  <si>
    <t xml:space="preserve">24 раза в год </t>
  </si>
  <si>
    <t xml:space="preserve">1 раз в месяц     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</si>
  <si>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</si>
  <si>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</si>
  <si>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</si>
  <si>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52 раза в сезон</t>
  </si>
  <si>
    <t>78 раз за сезон</t>
  </si>
  <si>
    <t>пр.ТЕР 54-037</t>
  </si>
  <si>
    <t>Очистка вручную от снега и наледи люков каналиационных и водопроводных колодцев</t>
  </si>
  <si>
    <t>2 раза в месяц</t>
  </si>
  <si>
    <t>5 раз в год</t>
  </si>
  <si>
    <t>Работы автовышки</t>
  </si>
  <si>
    <t>маш-час</t>
  </si>
  <si>
    <t>Очистка от мусора</t>
  </si>
  <si>
    <t>пр.ТЕР 33-024</t>
  </si>
  <si>
    <t>Смена плавкой вставки в электрощитке</t>
  </si>
  <si>
    <t>Смена светодиодных светильников н.о.</t>
  </si>
  <si>
    <t>пр.ТЕР 33-037</t>
  </si>
  <si>
    <t>Снятие показаний с общедомовых приборов учёта холодной воды</t>
  </si>
  <si>
    <t>Обслуживание прибора учета тепловой энергии</t>
  </si>
  <si>
    <t>Смена светодиодных светильников (со стоимостью светильника)</t>
  </si>
  <si>
    <t>Водоснабжение, канализация</t>
  </si>
  <si>
    <t>ТО внутренних сетей водопровода и канализации</t>
  </si>
  <si>
    <t>руб/м2 в мес</t>
  </si>
  <si>
    <t>Прочистка каналов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</si>
  <si>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Строительная, 7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ноябрь-декабрь 2017 года</t>
    </r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</si>
  <si>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</si>
  <si>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</si>
  <si>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15 раз за сезон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</si>
</sst>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5" borderId="19" xfId="0" applyFont="1" applyFill="1" applyBorder="1"/>
    <xf numFmtId="0" fontId="1" fillId="4" borderId="20" xfId="0" applyFont="1" applyFill="1" applyBorder="1" applyAlignment="1">
      <alignment horizontal="center"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0" fillId="0" borderId="0" xfId="0" applyFill="1"/>
    <xf numFmtId="4" fontId="1" fillId="4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19"/>
  <sheetViews>
    <sheetView tabSelected="1" view="pageBreakPreview" zoomScaleNormal="75" zoomScaleSheetLayoutView="100" workbookViewId="0">
      <pane ySplit="7" topLeftCell="A111" activePane="bottomLeft" state="frozen"/>
      <selection activeCell="B1" sqref="B1"/>
      <selection pane="bottomLeft" activeCell="B116" sqref="B116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8" width="9.85546875" hidden="1" customWidth="1"/>
    <col min="19" max="20" width="9.85546875" customWidth="1"/>
    <col min="21" max="21" width="12.28515625" customWidth="1"/>
    <col min="22" max="26" width="9.140625" style="152"/>
  </cols>
  <sheetData>
    <row r="1" spans="1:21" ht="14.25" customHeight="1">
      <c r="A1" s="126"/>
    </row>
    <row r="3" spans="1:21" ht="18">
      <c r="A3" s="121"/>
      <c r="B3" s="157" t="s">
        <v>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66"/>
      <c r="N3" s="66"/>
      <c r="O3" s="66"/>
      <c r="P3" s="66"/>
      <c r="Q3" s="66"/>
      <c r="R3" s="66"/>
      <c r="S3" s="66"/>
      <c r="T3" s="66"/>
      <c r="U3" s="66"/>
    </row>
    <row r="4" spans="1:21" ht="33.75" customHeight="1">
      <c r="A4" s="66"/>
      <c r="B4" s="158" t="s">
        <v>1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66"/>
      <c r="N4" s="66"/>
      <c r="O4" s="66"/>
      <c r="P4" s="66"/>
      <c r="Q4" s="66"/>
      <c r="R4" s="66"/>
      <c r="S4" s="66"/>
      <c r="T4" s="66"/>
      <c r="U4" s="66"/>
    </row>
    <row r="5" spans="1:21" ht="18">
      <c r="A5" s="66"/>
      <c r="B5" s="158" t="s">
        <v>225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66"/>
      <c r="N5" s="66"/>
      <c r="O5" s="66"/>
      <c r="P5" s="66"/>
      <c r="Q5" s="66"/>
      <c r="R5" s="66"/>
      <c r="S5" s="66"/>
      <c r="T5" s="66"/>
      <c r="U5" s="66"/>
    </row>
    <row r="6" spans="1:21" ht="15">
      <c r="A6" s="66"/>
      <c r="B6" s="159" t="s">
        <v>117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66"/>
      <c r="N6" s="66"/>
      <c r="O6" s="66"/>
      <c r="P6" s="66"/>
      <c r="Q6" s="66"/>
      <c r="R6" s="66"/>
      <c r="S6" s="66"/>
      <c r="T6" s="66"/>
      <c r="U6" s="66"/>
    </row>
    <row r="7" spans="1:21" ht="46.5" customHeight="1">
      <c r="A7" s="127" t="s">
        <v>2</v>
      </c>
      <c r="B7" s="128" t="s">
        <v>3</v>
      </c>
      <c r="C7" s="128" t="s">
        <v>4</v>
      </c>
      <c r="D7" s="128" t="s">
        <v>5</v>
      </c>
      <c r="E7" s="128" t="s">
        <v>6</v>
      </c>
      <c r="F7" s="128" t="s">
        <v>7</v>
      </c>
      <c r="G7" s="128" t="s">
        <v>8</v>
      </c>
      <c r="H7" s="129" t="s">
        <v>9</v>
      </c>
      <c r="I7" s="23" t="s">
        <v>103</v>
      </c>
      <c r="J7" s="23" t="s">
        <v>104</v>
      </c>
      <c r="K7" s="23" t="s">
        <v>105</v>
      </c>
      <c r="L7" s="23" t="s">
        <v>106</v>
      </c>
      <c r="M7" s="23" t="s">
        <v>107</v>
      </c>
      <c r="N7" s="23" t="s">
        <v>108</v>
      </c>
      <c r="O7" s="23" t="s">
        <v>109</v>
      </c>
      <c r="P7" s="23" t="s">
        <v>110</v>
      </c>
      <c r="Q7" s="23" t="s">
        <v>111</v>
      </c>
      <c r="R7" s="23" t="s">
        <v>112</v>
      </c>
      <c r="S7" s="23" t="s">
        <v>113</v>
      </c>
      <c r="T7" s="23" t="s">
        <v>114</v>
      </c>
      <c r="U7" s="23" t="s">
        <v>118</v>
      </c>
    </row>
    <row r="8" spans="1:21">
      <c r="A8" s="130">
        <v>1</v>
      </c>
      <c r="B8" s="7">
        <v>2</v>
      </c>
      <c r="C8" s="24">
        <v>3</v>
      </c>
      <c r="D8" s="7">
        <v>4</v>
      </c>
      <c r="E8" s="7">
        <v>5</v>
      </c>
      <c r="F8" s="24">
        <v>6</v>
      </c>
      <c r="G8" s="24">
        <v>7</v>
      </c>
      <c r="H8" s="25">
        <v>8</v>
      </c>
      <c r="I8" s="26">
        <v>9</v>
      </c>
      <c r="J8" s="26">
        <v>10</v>
      </c>
      <c r="K8" s="26">
        <v>11</v>
      </c>
      <c r="L8" s="26">
        <v>12</v>
      </c>
      <c r="M8" s="26">
        <v>13</v>
      </c>
      <c r="N8" s="26">
        <v>14</v>
      </c>
      <c r="O8" s="26">
        <v>15</v>
      </c>
      <c r="P8" s="26">
        <v>16</v>
      </c>
      <c r="Q8" s="26">
        <v>17</v>
      </c>
      <c r="R8" s="26">
        <v>18</v>
      </c>
      <c r="S8" s="26">
        <v>19</v>
      </c>
      <c r="T8" s="26">
        <v>20</v>
      </c>
      <c r="U8" s="26">
        <v>21</v>
      </c>
    </row>
    <row r="9" spans="1:21" ht="38.25">
      <c r="A9" s="130"/>
      <c r="B9" s="9" t="s">
        <v>10</v>
      </c>
      <c r="C9" s="24"/>
      <c r="D9" s="10"/>
      <c r="E9" s="10"/>
      <c r="F9" s="24"/>
      <c r="G9" s="24"/>
      <c r="H9" s="27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</row>
    <row r="10" spans="1:21">
      <c r="A10" s="130"/>
      <c r="B10" s="9" t="s">
        <v>11</v>
      </c>
      <c r="C10" s="24"/>
      <c r="D10" s="10"/>
      <c r="E10" s="10"/>
      <c r="F10" s="24"/>
      <c r="G10" s="24"/>
      <c r="H10" s="27"/>
      <c r="I10" s="28"/>
      <c r="J10" s="28"/>
      <c r="K10" s="28"/>
      <c r="L10" s="28"/>
      <c r="M10" s="29"/>
      <c r="N10" s="30"/>
      <c r="O10" s="30"/>
      <c r="P10" s="30"/>
      <c r="Q10" s="30"/>
      <c r="R10" s="30"/>
      <c r="S10" s="30"/>
      <c r="T10" s="30"/>
      <c r="U10" s="30"/>
    </row>
    <row r="11" spans="1:21" ht="15.75" customHeight="1">
      <c r="A11" s="130" t="s">
        <v>139</v>
      </c>
      <c r="B11" s="10" t="s">
        <v>12</v>
      </c>
      <c r="C11" s="24" t="s">
        <v>13</v>
      </c>
      <c r="D11" s="10" t="s">
        <v>198</v>
      </c>
      <c r="E11" s="31">
        <v>49.72</v>
      </c>
      <c r="F11" s="32">
        <f>SUM(E11*156/100)</f>
        <v>77.563199999999995</v>
      </c>
      <c r="G11" s="32">
        <v>230</v>
      </c>
      <c r="H11" s="33">
        <f t="shared" ref="H11:H20" si="0">SUM(F11*G11/1000)</f>
        <v>17.839535999999999</v>
      </c>
      <c r="I11" s="34">
        <f>F11/12*G11</f>
        <v>1486.6279999999999</v>
      </c>
      <c r="J11" s="34">
        <f>F11/12*G11</f>
        <v>1486.6279999999999</v>
      </c>
      <c r="K11" s="34">
        <f>F11/12*G11</f>
        <v>1486.6279999999999</v>
      </c>
      <c r="L11" s="34">
        <f>F11/12*G11</f>
        <v>1486.6279999999999</v>
      </c>
      <c r="M11" s="34">
        <f>F11/12*G11</f>
        <v>1486.6279999999999</v>
      </c>
      <c r="N11" s="34">
        <f>F11/12*G11</f>
        <v>1486.6279999999999</v>
      </c>
      <c r="O11" s="34">
        <f>F11/12*G11</f>
        <v>1486.6279999999999</v>
      </c>
      <c r="P11" s="34">
        <f>F11/12*G11</f>
        <v>1486.6279999999999</v>
      </c>
      <c r="Q11" s="34">
        <f>F11/12*G11</f>
        <v>1486.6279999999999</v>
      </c>
      <c r="R11" s="34">
        <f>F11/12*G11</f>
        <v>1486.6279999999999</v>
      </c>
      <c r="S11" s="34">
        <f>F11/12*G11</f>
        <v>1486.6279999999999</v>
      </c>
      <c r="T11" s="34">
        <f>F11/12*G11</f>
        <v>1486.6279999999999</v>
      </c>
      <c r="U11" s="34">
        <f>SUM(S11:T11)</f>
        <v>2973.2559999999999</v>
      </c>
    </row>
    <row r="12" spans="1:21" ht="25.5">
      <c r="A12" s="130" t="s">
        <v>139</v>
      </c>
      <c r="B12" s="10" t="s">
        <v>14</v>
      </c>
      <c r="C12" s="24" t="s">
        <v>13</v>
      </c>
      <c r="D12" s="10" t="s">
        <v>199</v>
      </c>
      <c r="E12" s="31">
        <v>198.88</v>
      </c>
      <c r="F12" s="32">
        <f>SUM(E12*104/100)</f>
        <v>206.83520000000001</v>
      </c>
      <c r="G12" s="32">
        <v>230</v>
      </c>
      <c r="H12" s="33">
        <f t="shared" si="0"/>
        <v>47.572096000000002</v>
      </c>
      <c r="I12" s="34">
        <f>F12/12*G12</f>
        <v>3964.3413333333338</v>
      </c>
      <c r="J12" s="34">
        <f>F12/12*G12</f>
        <v>3964.3413333333338</v>
      </c>
      <c r="K12" s="34">
        <f>F12/12*G12</f>
        <v>3964.3413333333338</v>
      </c>
      <c r="L12" s="34">
        <f>F12/12*G12</f>
        <v>3964.3413333333338</v>
      </c>
      <c r="M12" s="34">
        <f>F12/12*G12</f>
        <v>3964.3413333333338</v>
      </c>
      <c r="N12" s="34">
        <f>F12/12*G12</f>
        <v>3964.3413333333338</v>
      </c>
      <c r="O12" s="34">
        <f>F12/12*G12</f>
        <v>3964.3413333333338</v>
      </c>
      <c r="P12" s="34">
        <f>F12/12*G12</f>
        <v>3964.3413333333338</v>
      </c>
      <c r="Q12" s="34">
        <f>F12/12*G12</f>
        <v>3964.3413333333338</v>
      </c>
      <c r="R12" s="34">
        <f>F12/12*G12</f>
        <v>3964.3413333333338</v>
      </c>
      <c r="S12" s="34">
        <f>F12/12*G12</f>
        <v>3964.3413333333338</v>
      </c>
      <c r="T12" s="34">
        <f>F12/12*G12</f>
        <v>3964.3413333333338</v>
      </c>
      <c r="U12" s="34">
        <f t="shared" ref="U12:U21" si="1">SUM(S12:T12)</f>
        <v>7928.6826666666675</v>
      </c>
    </row>
    <row r="13" spans="1:21" ht="25.5">
      <c r="A13" s="130" t="s">
        <v>140</v>
      </c>
      <c r="B13" s="10" t="s">
        <v>15</v>
      </c>
      <c r="C13" s="24" t="s">
        <v>13</v>
      </c>
      <c r="D13" s="10" t="s">
        <v>200</v>
      </c>
      <c r="E13" s="31">
        <v>248.6</v>
      </c>
      <c r="F13" s="32">
        <f>SUM(E13*24/100)</f>
        <v>59.663999999999994</v>
      </c>
      <c r="G13" s="32">
        <v>661.67</v>
      </c>
      <c r="H13" s="33">
        <f t="shared" si="0"/>
        <v>39.477878879999999</v>
      </c>
      <c r="I13" s="34">
        <f>F13/12*G13</f>
        <v>3289.8232399999993</v>
      </c>
      <c r="J13" s="34">
        <f>F13/12*G13</f>
        <v>3289.8232399999993</v>
      </c>
      <c r="K13" s="34">
        <f>F13/12*G13</f>
        <v>3289.8232399999993</v>
      </c>
      <c r="L13" s="34">
        <f>F13/12*G13</f>
        <v>3289.8232399999993</v>
      </c>
      <c r="M13" s="34">
        <f>F13/12*G13</f>
        <v>3289.8232399999993</v>
      </c>
      <c r="N13" s="34">
        <f>F13/12*G13</f>
        <v>3289.8232399999993</v>
      </c>
      <c r="O13" s="34">
        <f>F13/12*G13</f>
        <v>3289.8232399999993</v>
      </c>
      <c r="P13" s="34">
        <f>F13/12*G13</f>
        <v>3289.8232399999993</v>
      </c>
      <c r="Q13" s="34">
        <f>F13/12*G13</f>
        <v>3289.8232399999993</v>
      </c>
      <c r="R13" s="34">
        <f>F13/12*G13</f>
        <v>3289.8232399999993</v>
      </c>
      <c r="S13" s="34">
        <f>F13/12*G13</f>
        <v>3289.8232399999993</v>
      </c>
      <c r="T13" s="34">
        <f>F13/12*G13</f>
        <v>3289.8232399999993</v>
      </c>
      <c r="U13" s="34">
        <f t="shared" si="1"/>
        <v>6579.6464799999985</v>
      </c>
    </row>
    <row r="14" spans="1:21">
      <c r="A14" s="130" t="s">
        <v>141</v>
      </c>
      <c r="B14" s="10" t="s">
        <v>16</v>
      </c>
      <c r="C14" s="24" t="s">
        <v>17</v>
      </c>
      <c r="D14" s="10" t="s">
        <v>90</v>
      </c>
      <c r="E14" s="31">
        <v>18.48</v>
      </c>
      <c r="F14" s="32">
        <f>SUM(E14/10)</f>
        <v>1.8480000000000001</v>
      </c>
      <c r="G14" s="32">
        <v>223.17</v>
      </c>
      <c r="H14" s="33">
        <f t="shared" si="0"/>
        <v>0.41241815999999998</v>
      </c>
      <c r="I14" s="34">
        <v>0</v>
      </c>
      <c r="J14" s="34">
        <v>0</v>
      </c>
      <c r="K14" s="34">
        <v>0</v>
      </c>
      <c r="L14" s="34">
        <v>0</v>
      </c>
      <c r="M14" s="34">
        <f>F14/2*G14</f>
        <v>206.20908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f t="shared" si="1"/>
        <v>0</v>
      </c>
    </row>
    <row r="15" spans="1:21">
      <c r="A15" s="130" t="s">
        <v>142</v>
      </c>
      <c r="B15" s="10" t="s">
        <v>18</v>
      </c>
      <c r="C15" s="24" t="s">
        <v>13</v>
      </c>
      <c r="D15" s="10" t="s">
        <v>201</v>
      </c>
      <c r="E15" s="31">
        <v>10.5</v>
      </c>
      <c r="F15" s="32">
        <f>SUM(E15*12/100)</f>
        <v>1.26</v>
      </c>
      <c r="G15" s="32">
        <v>285.76</v>
      </c>
      <c r="H15" s="33">
        <f t="shared" si="0"/>
        <v>0.36005759999999998</v>
      </c>
      <c r="I15" s="34">
        <f>F15/12*G15</f>
        <v>30.004799999999999</v>
      </c>
      <c r="J15" s="34">
        <f>F15/12*G15</f>
        <v>30.004799999999999</v>
      </c>
      <c r="K15" s="34">
        <f>F15/12*G15</f>
        <v>30.004799999999999</v>
      </c>
      <c r="L15" s="34">
        <f>F15/12*G15</f>
        <v>30.004799999999999</v>
      </c>
      <c r="M15" s="34">
        <f>F15/12*G15</f>
        <v>30.004799999999999</v>
      </c>
      <c r="N15" s="34">
        <f>F15/12*G15</f>
        <v>30.004799999999999</v>
      </c>
      <c r="O15" s="34">
        <f>F15/12*G15</f>
        <v>30.004799999999999</v>
      </c>
      <c r="P15" s="34">
        <f>F15/12*G15</f>
        <v>30.004799999999999</v>
      </c>
      <c r="Q15" s="34">
        <f>F15/12*G15</f>
        <v>30.004799999999999</v>
      </c>
      <c r="R15" s="34">
        <f>F15/12*G15</f>
        <v>30.004799999999999</v>
      </c>
      <c r="S15" s="34">
        <f>F15/12*G15</f>
        <v>30.004799999999999</v>
      </c>
      <c r="T15" s="34">
        <f>F15/12*G15</f>
        <v>30.004799999999999</v>
      </c>
      <c r="U15" s="34">
        <f t="shared" si="1"/>
        <v>60.009599999999999</v>
      </c>
    </row>
    <row r="16" spans="1:21">
      <c r="A16" s="130" t="s">
        <v>143</v>
      </c>
      <c r="B16" s="10" t="s">
        <v>19</v>
      </c>
      <c r="C16" s="24" t="s">
        <v>13</v>
      </c>
      <c r="D16" s="10" t="s">
        <v>44</v>
      </c>
      <c r="E16" s="31">
        <v>3</v>
      </c>
      <c r="F16" s="32">
        <f>SUM(E16*2/100)</f>
        <v>0.06</v>
      </c>
      <c r="G16" s="32">
        <v>283.44</v>
      </c>
      <c r="H16" s="33">
        <f t="shared" si="0"/>
        <v>1.7006399999999998E-2</v>
      </c>
      <c r="I16" s="34">
        <f>F16/6*G16</f>
        <v>2.8344</v>
      </c>
      <c r="J16" s="34">
        <v>0</v>
      </c>
      <c r="K16" s="34">
        <f>F16/6*G16</f>
        <v>2.8344</v>
      </c>
      <c r="L16" s="34">
        <v>0</v>
      </c>
      <c r="M16" s="34">
        <f>F16/6*G16</f>
        <v>2.8344</v>
      </c>
      <c r="N16" s="34">
        <v>0</v>
      </c>
      <c r="O16" s="34">
        <f>F16/6*G16</f>
        <v>2.8344</v>
      </c>
      <c r="P16" s="34">
        <v>0</v>
      </c>
      <c r="Q16" s="34">
        <f>F16/6*G16</f>
        <v>2.8344</v>
      </c>
      <c r="R16" s="34">
        <v>0</v>
      </c>
      <c r="S16" s="34">
        <v>0</v>
      </c>
      <c r="T16" s="34">
        <v>0</v>
      </c>
      <c r="U16" s="34">
        <f t="shared" si="1"/>
        <v>0</v>
      </c>
    </row>
    <row r="17" spans="1:26">
      <c r="A17" s="130" t="s">
        <v>144</v>
      </c>
      <c r="B17" s="10" t="s">
        <v>20</v>
      </c>
      <c r="C17" s="24" t="s">
        <v>21</v>
      </c>
      <c r="D17" s="10" t="s">
        <v>90</v>
      </c>
      <c r="E17" s="31">
        <v>267.75</v>
      </c>
      <c r="F17" s="32">
        <f>SUM(E17/100)</f>
        <v>2.6775000000000002</v>
      </c>
      <c r="G17" s="32">
        <v>353.14</v>
      </c>
      <c r="H17" s="33">
        <f t="shared" si="0"/>
        <v>0.94553235000000002</v>
      </c>
      <c r="I17" s="34">
        <v>0</v>
      </c>
      <c r="J17" s="34">
        <v>0</v>
      </c>
      <c r="K17" s="34">
        <v>0</v>
      </c>
      <c r="L17" s="34">
        <v>0</v>
      </c>
      <c r="M17" s="34">
        <f>F17*G17</f>
        <v>945.53235000000006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f t="shared" si="1"/>
        <v>0</v>
      </c>
    </row>
    <row r="18" spans="1:26">
      <c r="A18" s="130" t="s">
        <v>145</v>
      </c>
      <c r="B18" s="10" t="s">
        <v>22</v>
      </c>
      <c r="C18" s="24" t="s">
        <v>21</v>
      </c>
      <c r="D18" s="10" t="s">
        <v>90</v>
      </c>
      <c r="E18" s="36">
        <v>36.229999999999997</v>
      </c>
      <c r="F18" s="32">
        <f>SUM(E18/100)</f>
        <v>0.36229999999999996</v>
      </c>
      <c r="G18" s="32">
        <v>58.08</v>
      </c>
      <c r="H18" s="33">
        <f t="shared" si="0"/>
        <v>2.1042383999999997E-2</v>
      </c>
      <c r="I18" s="34">
        <v>0</v>
      </c>
      <c r="J18" s="34">
        <v>0</v>
      </c>
      <c r="K18" s="34">
        <v>0</v>
      </c>
      <c r="L18" s="34">
        <v>0</v>
      </c>
      <c r="M18" s="34">
        <f t="shared" ref="M18:M21" si="2">F18*G18</f>
        <v>21.042383999999998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f t="shared" si="1"/>
        <v>0</v>
      </c>
    </row>
    <row r="19" spans="1:26">
      <c r="A19" s="130" t="s">
        <v>146</v>
      </c>
      <c r="B19" s="10" t="s">
        <v>23</v>
      </c>
      <c r="C19" s="24" t="s">
        <v>21</v>
      </c>
      <c r="D19" s="10" t="s">
        <v>29</v>
      </c>
      <c r="E19" s="31">
        <v>15</v>
      </c>
      <c r="F19" s="32">
        <f>SUM(E19/100)</f>
        <v>0.15</v>
      </c>
      <c r="G19" s="32">
        <v>511.12</v>
      </c>
      <c r="H19" s="33">
        <f t="shared" si="0"/>
        <v>7.6667999999999986E-2</v>
      </c>
      <c r="I19" s="34">
        <v>0</v>
      </c>
      <c r="J19" s="34">
        <v>0</v>
      </c>
      <c r="K19" s="34">
        <v>0</v>
      </c>
      <c r="L19" s="34">
        <v>0</v>
      </c>
      <c r="M19" s="34">
        <f t="shared" si="2"/>
        <v>76.667999999999992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f t="shared" si="1"/>
        <v>0</v>
      </c>
    </row>
    <row r="20" spans="1:26">
      <c r="A20" s="130" t="s">
        <v>147</v>
      </c>
      <c r="B20" s="10" t="s">
        <v>24</v>
      </c>
      <c r="C20" s="24" t="s">
        <v>21</v>
      </c>
      <c r="D20" s="10" t="s">
        <v>29</v>
      </c>
      <c r="E20" s="31">
        <v>6.38</v>
      </c>
      <c r="F20" s="32">
        <f>SUM(E20/100)</f>
        <v>6.3799999999999996E-2</v>
      </c>
      <c r="G20" s="32">
        <v>683.05</v>
      </c>
      <c r="H20" s="33">
        <f t="shared" si="0"/>
        <v>4.3578589999999993E-2</v>
      </c>
      <c r="I20" s="34">
        <v>0</v>
      </c>
      <c r="J20" s="34">
        <v>0</v>
      </c>
      <c r="K20" s="34">
        <v>0</v>
      </c>
      <c r="L20" s="34">
        <v>0</v>
      </c>
      <c r="M20" s="34">
        <f t="shared" si="2"/>
        <v>43.578589999999991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f t="shared" si="1"/>
        <v>0</v>
      </c>
    </row>
    <row r="21" spans="1:26" ht="25.5">
      <c r="A21" s="130" t="s">
        <v>148</v>
      </c>
      <c r="B21" s="10" t="s">
        <v>98</v>
      </c>
      <c r="C21" s="24" t="s">
        <v>21</v>
      </c>
      <c r="D21" s="10" t="s">
        <v>29</v>
      </c>
      <c r="E21" s="31">
        <v>14.25</v>
      </c>
      <c r="F21" s="32">
        <v>0.14000000000000001</v>
      </c>
      <c r="G21" s="32">
        <v>283.44</v>
      </c>
      <c r="H21" s="33">
        <f>G21*F21/1000</f>
        <v>3.9681600000000004E-2</v>
      </c>
      <c r="I21" s="34">
        <v>0</v>
      </c>
      <c r="J21" s="34">
        <v>0</v>
      </c>
      <c r="K21" s="34">
        <v>0</v>
      </c>
      <c r="L21" s="34">
        <v>0</v>
      </c>
      <c r="M21" s="34">
        <f t="shared" si="2"/>
        <v>39.681600000000003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f t="shared" si="1"/>
        <v>0</v>
      </c>
    </row>
    <row r="22" spans="1:26" s="18" customFormat="1">
      <c r="A22" s="131"/>
      <c r="B22" s="19" t="s">
        <v>25</v>
      </c>
      <c r="C22" s="37"/>
      <c r="D22" s="19"/>
      <c r="E22" s="38"/>
      <c r="F22" s="39"/>
      <c r="G22" s="39"/>
      <c r="H22" s="40">
        <f>SUM(H11:H21)</f>
        <v>106.80549596399997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>
        <f>SUM(U11:U21)</f>
        <v>17541.594746666666</v>
      </c>
      <c r="V22" s="152"/>
      <c r="W22" s="152"/>
      <c r="X22" s="152"/>
      <c r="Y22" s="152"/>
      <c r="Z22" s="152"/>
    </row>
    <row r="23" spans="1:26">
      <c r="A23" s="130"/>
      <c r="B23" s="11" t="s">
        <v>26</v>
      </c>
      <c r="C23" s="24"/>
      <c r="D23" s="10"/>
      <c r="E23" s="31"/>
      <c r="F23" s="32"/>
      <c r="G23" s="32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spans="1:26" ht="12.75" customHeight="1">
      <c r="A24" s="130" t="s">
        <v>149</v>
      </c>
      <c r="B24" s="10" t="s">
        <v>202</v>
      </c>
      <c r="C24" s="24" t="s">
        <v>27</v>
      </c>
      <c r="D24" s="10" t="s">
        <v>205</v>
      </c>
      <c r="E24" s="32">
        <v>665</v>
      </c>
      <c r="F24" s="32">
        <f>SUM(E24*52/1000)</f>
        <v>34.58</v>
      </c>
      <c r="G24" s="32">
        <v>204.44</v>
      </c>
      <c r="H24" s="33">
        <f t="shared" ref="H24:H32" si="3">SUM(F24*G24/1000)</f>
        <v>7.0695351999999989</v>
      </c>
      <c r="I24" s="34">
        <v>0</v>
      </c>
      <c r="J24" s="34">
        <v>0</v>
      </c>
      <c r="K24" s="34">
        <v>0</v>
      </c>
      <c r="L24" s="34">
        <v>0</v>
      </c>
      <c r="M24" s="34">
        <f>F24/6*G24</f>
        <v>1178.2558666666666</v>
      </c>
      <c r="N24" s="34">
        <f>F24/6*G24</f>
        <v>1178.2558666666666</v>
      </c>
      <c r="O24" s="34">
        <f>F24/6*G24</f>
        <v>1178.2558666666666</v>
      </c>
      <c r="P24" s="34">
        <f>F24/6*G24</f>
        <v>1178.2558666666666</v>
      </c>
      <c r="Q24" s="34">
        <f>F24/6*G24</f>
        <v>1178.2558666666666</v>
      </c>
      <c r="R24" s="34">
        <f>F24/6*G24</f>
        <v>1178.2558666666666</v>
      </c>
      <c r="S24" s="34">
        <v>0</v>
      </c>
      <c r="T24" s="34">
        <v>0</v>
      </c>
      <c r="U24" s="34">
        <f t="shared" ref="U24:U32" si="4">SUM(S24:T24)</f>
        <v>0</v>
      </c>
    </row>
    <row r="25" spans="1:26" ht="38.25" customHeight="1">
      <c r="A25" s="130" t="s">
        <v>150</v>
      </c>
      <c r="B25" s="10" t="s">
        <v>203</v>
      </c>
      <c r="C25" s="24" t="s">
        <v>27</v>
      </c>
      <c r="D25" s="10" t="s">
        <v>206</v>
      </c>
      <c r="E25" s="32">
        <v>81.5</v>
      </c>
      <c r="F25" s="32">
        <f>SUM(E25*78/1000)</f>
        <v>6.3570000000000002</v>
      </c>
      <c r="G25" s="32">
        <v>339.21</v>
      </c>
      <c r="H25" s="33">
        <f t="shared" si="3"/>
        <v>2.1563579700000002</v>
      </c>
      <c r="I25" s="34">
        <v>0</v>
      </c>
      <c r="J25" s="34">
        <v>0</v>
      </c>
      <c r="K25" s="34">
        <v>0</v>
      </c>
      <c r="L25" s="34">
        <v>0</v>
      </c>
      <c r="M25" s="34">
        <f>F25/6*G25</f>
        <v>359.39299500000004</v>
      </c>
      <c r="N25" s="34">
        <f>F25/6*G25</f>
        <v>359.39299500000004</v>
      </c>
      <c r="O25" s="34">
        <f>F25/6*G25</f>
        <v>359.39299500000004</v>
      </c>
      <c r="P25" s="34">
        <f>F25/6*G25</f>
        <v>359.39299500000004</v>
      </c>
      <c r="Q25" s="34">
        <f>F25/6*G25</f>
        <v>359.39299500000004</v>
      </c>
      <c r="R25" s="34">
        <f>F25/6*G25</f>
        <v>359.39299500000004</v>
      </c>
      <c r="S25" s="34">
        <v>0</v>
      </c>
      <c r="T25" s="34">
        <v>0</v>
      </c>
      <c r="U25" s="34">
        <f t="shared" si="4"/>
        <v>0</v>
      </c>
    </row>
    <row r="26" spans="1:26">
      <c r="A26" s="130" t="s">
        <v>151</v>
      </c>
      <c r="B26" s="10" t="s">
        <v>28</v>
      </c>
      <c r="C26" s="24" t="s">
        <v>27</v>
      </c>
      <c r="D26" s="10" t="s">
        <v>29</v>
      </c>
      <c r="E26" s="32">
        <v>665</v>
      </c>
      <c r="F26" s="32">
        <f>SUM(E26/1000)</f>
        <v>0.66500000000000004</v>
      </c>
      <c r="G26" s="32">
        <v>3961.23</v>
      </c>
      <c r="H26" s="33">
        <f t="shared" si="3"/>
        <v>2.63421795</v>
      </c>
      <c r="I26" s="34">
        <v>0</v>
      </c>
      <c r="J26" s="34">
        <v>0</v>
      </c>
      <c r="K26" s="34">
        <v>0</v>
      </c>
      <c r="L26" s="34">
        <v>0</v>
      </c>
      <c r="M26" s="34">
        <f>F26*G26</f>
        <v>2634.2179500000002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f t="shared" si="4"/>
        <v>0</v>
      </c>
    </row>
    <row r="27" spans="1:26">
      <c r="A27" s="130" t="s">
        <v>152</v>
      </c>
      <c r="B27" s="10" t="s">
        <v>96</v>
      </c>
      <c r="C27" s="24" t="s">
        <v>53</v>
      </c>
      <c r="D27" s="10" t="s">
        <v>31</v>
      </c>
      <c r="E27" s="32">
        <v>3</v>
      </c>
      <c r="F27" s="32">
        <f>E27*155/100</f>
        <v>4.6500000000000004</v>
      </c>
      <c r="G27" s="32">
        <v>1707.63</v>
      </c>
      <c r="H27" s="33">
        <f>G27*F27/1000</f>
        <v>7.9404795000000012</v>
      </c>
      <c r="I27" s="34">
        <v>0</v>
      </c>
      <c r="J27" s="34">
        <v>0</v>
      </c>
      <c r="K27" s="34">
        <v>0</v>
      </c>
      <c r="L27" s="34">
        <v>0</v>
      </c>
      <c r="M27" s="34">
        <f>F27/6*G27</f>
        <v>1323.4132500000001</v>
      </c>
      <c r="N27" s="34">
        <f>F27/6*G27</f>
        <v>1323.4132500000001</v>
      </c>
      <c r="O27" s="34">
        <f>F27/6*G27</f>
        <v>1323.4132500000001</v>
      </c>
      <c r="P27" s="34">
        <f>F27/6*G27</f>
        <v>1323.4132500000001</v>
      </c>
      <c r="Q27" s="34">
        <f>F27/6*G27</f>
        <v>1323.4132500000001</v>
      </c>
      <c r="R27" s="34">
        <f>F27/6*G27</f>
        <v>1323.4132500000001</v>
      </c>
      <c r="S27" s="34">
        <v>0</v>
      </c>
      <c r="T27" s="34">
        <v>0</v>
      </c>
      <c r="U27" s="34">
        <f t="shared" si="4"/>
        <v>0</v>
      </c>
    </row>
    <row r="28" spans="1:26">
      <c r="A28" s="130" t="s">
        <v>153</v>
      </c>
      <c r="B28" s="10" t="s">
        <v>204</v>
      </c>
      <c r="C28" s="24" t="s">
        <v>30</v>
      </c>
      <c r="D28" s="10" t="s">
        <v>31</v>
      </c>
      <c r="E28" s="43">
        <f>1/3</f>
        <v>0.33333333333333331</v>
      </c>
      <c r="F28" s="32">
        <f>155/3</f>
        <v>51.666666666666664</v>
      </c>
      <c r="G28" s="32">
        <v>74.349999999999994</v>
      </c>
      <c r="H28" s="33">
        <f>SUM(G28*155/3/1000)</f>
        <v>3.8414166666666665</v>
      </c>
      <c r="I28" s="34">
        <v>0</v>
      </c>
      <c r="J28" s="34">
        <v>0</v>
      </c>
      <c r="K28" s="34">
        <v>0</v>
      </c>
      <c r="L28" s="34">
        <v>0</v>
      </c>
      <c r="M28" s="34">
        <f>F28/6*G28</f>
        <v>640.23611111111109</v>
      </c>
      <c r="N28" s="34">
        <f>F28/6*G28</f>
        <v>640.23611111111109</v>
      </c>
      <c r="O28" s="34">
        <f>F28/6*G28</f>
        <v>640.23611111111109</v>
      </c>
      <c r="P28" s="34">
        <f>F28/6*G28</f>
        <v>640.23611111111109</v>
      </c>
      <c r="Q28" s="34">
        <f>F28/6*G28</f>
        <v>640.23611111111109</v>
      </c>
      <c r="R28" s="34">
        <f>F28/6*G28</f>
        <v>640.23611111111109</v>
      </c>
      <c r="S28" s="34">
        <v>0</v>
      </c>
      <c r="T28" s="34">
        <v>0</v>
      </c>
      <c r="U28" s="34">
        <f t="shared" si="4"/>
        <v>0</v>
      </c>
    </row>
    <row r="29" spans="1:26" ht="12.75" customHeight="1">
      <c r="A29" s="130" t="s">
        <v>154</v>
      </c>
      <c r="B29" s="10" t="s">
        <v>32</v>
      </c>
      <c r="C29" s="24" t="s">
        <v>33</v>
      </c>
      <c r="D29" s="10" t="s">
        <v>31</v>
      </c>
      <c r="E29" s="44">
        <v>0.1</v>
      </c>
      <c r="F29" s="32">
        <f>SUM(E29*155)</f>
        <v>15.5</v>
      </c>
      <c r="G29" s="32">
        <v>264.85000000000002</v>
      </c>
      <c r="H29" s="33">
        <f t="shared" si="3"/>
        <v>4.105175</v>
      </c>
      <c r="I29" s="34">
        <f>F29/12*G29</f>
        <v>342.09791666666672</v>
      </c>
      <c r="J29" s="34">
        <f>F29/12*G29</f>
        <v>342.09791666666672</v>
      </c>
      <c r="K29" s="34">
        <f>F29/12*G29</f>
        <v>342.09791666666672</v>
      </c>
      <c r="L29" s="34">
        <f>F29/12*G29</f>
        <v>342.09791666666672</v>
      </c>
      <c r="M29" s="34">
        <f>F29/12*G29</f>
        <v>342.09791666666672</v>
      </c>
      <c r="N29" s="34">
        <f>F29/12*G29</f>
        <v>342.09791666666672</v>
      </c>
      <c r="O29" s="34">
        <f>F29/12*G29</f>
        <v>342.09791666666672</v>
      </c>
      <c r="P29" s="34">
        <f>F29/12*G29</f>
        <v>342.09791666666672</v>
      </c>
      <c r="Q29" s="34">
        <f>F29/12*G29</f>
        <v>342.09791666666672</v>
      </c>
      <c r="R29" s="34">
        <f>F29/12*G29</f>
        <v>342.09791666666672</v>
      </c>
      <c r="S29" s="34">
        <f>F29/12*G29</f>
        <v>342.09791666666672</v>
      </c>
      <c r="T29" s="34">
        <f>F29/12*G29</f>
        <v>342.09791666666672</v>
      </c>
      <c r="U29" s="34">
        <f t="shared" si="4"/>
        <v>684.19583333333344</v>
      </c>
    </row>
    <row r="30" spans="1:26" ht="12.75" customHeight="1">
      <c r="A30" s="130" t="s">
        <v>155</v>
      </c>
      <c r="B30" s="10" t="s">
        <v>129</v>
      </c>
      <c r="C30" s="24" t="s">
        <v>33</v>
      </c>
      <c r="D30" s="10" t="s">
        <v>34</v>
      </c>
      <c r="E30" s="31"/>
      <c r="F30" s="32">
        <v>1</v>
      </c>
      <c r="G30" s="32">
        <v>250.92</v>
      </c>
      <c r="H30" s="33">
        <f t="shared" si="3"/>
        <v>0.25091999999999998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f t="shared" si="4"/>
        <v>0</v>
      </c>
    </row>
    <row r="31" spans="1:26" ht="12.75" customHeight="1">
      <c r="A31" s="130" t="s">
        <v>102</v>
      </c>
      <c r="B31" s="10" t="s">
        <v>130</v>
      </c>
      <c r="C31" s="24" t="s">
        <v>35</v>
      </c>
      <c r="D31" s="10" t="s">
        <v>34</v>
      </c>
      <c r="E31" s="31"/>
      <c r="F31" s="32">
        <v>1</v>
      </c>
      <c r="G31" s="32">
        <v>1490.31</v>
      </c>
      <c r="H31" s="33">
        <f t="shared" si="3"/>
        <v>1.49031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f t="shared" si="4"/>
        <v>0</v>
      </c>
    </row>
    <row r="32" spans="1:26">
      <c r="A32" s="130"/>
      <c r="B32" s="45" t="s">
        <v>36</v>
      </c>
      <c r="C32" s="24" t="s">
        <v>37</v>
      </c>
      <c r="D32" s="45" t="s">
        <v>38</v>
      </c>
      <c r="E32" s="31">
        <v>2626.5</v>
      </c>
      <c r="F32" s="32">
        <f>SUM(E32*12)</f>
        <v>31518</v>
      </c>
      <c r="G32" s="32">
        <v>3.36</v>
      </c>
      <c r="H32" s="33">
        <f t="shared" si="3"/>
        <v>105.90048</v>
      </c>
      <c r="I32" s="34">
        <f>F32/12*G32</f>
        <v>8825.0399999999991</v>
      </c>
      <c r="J32" s="34">
        <f>F32/12*G32</f>
        <v>8825.0399999999991</v>
      </c>
      <c r="K32" s="34">
        <f>F32/12*G32</f>
        <v>8825.0399999999991</v>
      </c>
      <c r="L32" s="34">
        <f>F32/12*G32</f>
        <v>8825.0399999999991</v>
      </c>
      <c r="M32" s="34">
        <f>F32/12*G32</f>
        <v>8825.0399999999991</v>
      </c>
      <c r="N32" s="34">
        <f>F32/12*G32</f>
        <v>8825.0399999999991</v>
      </c>
      <c r="O32" s="34">
        <f>F32/12*G32</f>
        <v>8825.0399999999991</v>
      </c>
      <c r="P32" s="34">
        <f>F32/12*G32</f>
        <v>8825.0399999999991</v>
      </c>
      <c r="Q32" s="34">
        <f>F32/12*G32</f>
        <v>8825.0399999999991</v>
      </c>
      <c r="R32" s="34">
        <f>F32/12*G32</f>
        <v>8825.0399999999991</v>
      </c>
      <c r="S32" s="34">
        <f>F32/12*G32</f>
        <v>8825.0399999999991</v>
      </c>
      <c r="T32" s="34">
        <f>F32/12*G32</f>
        <v>8825.0399999999991</v>
      </c>
      <c r="U32" s="34">
        <f t="shared" si="4"/>
        <v>17650.079999999998</v>
      </c>
    </row>
    <row r="33" spans="1:26" s="18" customFormat="1">
      <c r="A33" s="131"/>
      <c r="B33" s="19" t="s">
        <v>25</v>
      </c>
      <c r="C33" s="37"/>
      <c r="D33" s="19"/>
      <c r="E33" s="38"/>
      <c r="F33" s="39"/>
      <c r="G33" s="39"/>
      <c r="H33" s="46">
        <f>SUM(H24:H32)</f>
        <v>135.38889228666667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>
        <f>SUM(U24:U32)</f>
        <v>18334.275833333333</v>
      </c>
      <c r="V33" s="152"/>
      <c r="W33" s="152"/>
      <c r="X33" s="152"/>
      <c r="Y33" s="152"/>
      <c r="Z33" s="152"/>
    </row>
    <row r="34" spans="1:26">
      <c r="A34" s="130"/>
      <c r="B34" s="11" t="s">
        <v>39</v>
      </c>
      <c r="C34" s="24"/>
      <c r="D34" s="10"/>
      <c r="E34" s="31"/>
      <c r="F34" s="32"/>
      <c r="G34" s="32"/>
      <c r="H34" s="33" t="s">
        <v>38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spans="1:26" ht="12.75" customHeight="1">
      <c r="A35" s="130" t="s">
        <v>102</v>
      </c>
      <c r="B35" s="12" t="s">
        <v>40</v>
      </c>
      <c r="C35" s="24" t="s">
        <v>35</v>
      </c>
      <c r="D35" s="10"/>
      <c r="E35" s="31"/>
      <c r="F35" s="32">
        <v>5</v>
      </c>
      <c r="G35" s="32">
        <v>2003</v>
      </c>
      <c r="H35" s="33">
        <f t="shared" ref="H35:H42" si="5">SUM(F35*G35/1000)</f>
        <v>10.015000000000001</v>
      </c>
      <c r="I35" s="34">
        <f t="shared" ref="I35:I41" si="6">F35/6*G35</f>
        <v>1669.1666666666667</v>
      </c>
      <c r="J35" s="34">
        <f>F35/6*G35</f>
        <v>1669.1666666666667</v>
      </c>
      <c r="K35" s="34">
        <f>F35/6*G35</f>
        <v>1669.1666666666667</v>
      </c>
      <c r="L35" s="34">
        <f>F35/6*G35</f>
        <v>1669.1666666666667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f>F35/6*G35</f>
        <v>1669.1666666666667</v>
      </c>
      <c r="T35" s="34">
        <f>F35/6*G35</f>
        <v>1669.1666666666667</v>
      </c>
      <c r="U35" s="34">
        <f t="shared" ref="U35:U41" si="7">SUM(S35:T35)</f>
        <v>3338.3333333333335</v>
      </c>
    </row>
    <row r="36" spans="1:26" ht="25.5">
      <c r="A36" s="132" t="s">
        <v>156</v>
      </c>
      <c r="B36" s="12" t="s">
        <v>131</v>
      </c>
      <c r="C36" s="48" t="s">
        <v>41</v>
      </c>
      <c r="D36" s="10" t="s">
        <v>99</v>
      </c>
      <c r="E36" s="31">
        <v>81.5</v>
      </c>
      <c r="F36" s="47">
        <f>E36*30/1000</f>
        <v>2.4449999999999998</v>
      </c>
      <c r="G36" s="32">
        <v>2757.78</v>
      </c>
      <c r="H36" s="33">
        <f t="shared" si="5"/>
        <v>6.7427720999999998</v>
      </c>
      <c r="I36" s="34">
        <f t="shared" si="6"/>
        <v>1123.7953500000001</v>
      </c>
      <c r="J36" s="34">
        <f>F36/6*G36</f>
        <v>1123.7953500000001</v>
      </c>
      <c r="K36" s="34">
        <f>F36/6*G36</f>
        <v>1123.7953500000001</v>
      </c>
      <c r="L36" s="34">
        <f>F36/6*G36</f>
        <v>1123.7953500000001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f>F36/6*G36</f>
        <v>1123.7953500000001</v>
      </c>
      <c r="T36" s="34">
        <f>F36/6*G36</f>
        <v>1123.7953500000001</v>
      </c>
      <c r="U36" s="34">
        <f t="shared" si="7"/>
        <v>2247.5907000000002</v>
      </c>
    </row>
    <row r="37" spans="1:26" ht="24.75" customHeight="1">
      <c r="A37" s="130" t="s">
        <v>157</v>
      </c>
      <c r="B37" s="10" t="s">
        <v>132</v>
      </c>
      <c r="C37" s="24" t="s">
        <v>41</v>
      </c>
      <c r="D37" s="10" t="s">
        <v>42</v>
      </c>
      <c r="E37" s="32">
        <v>81.5</v>
      </c>
      <c r="F37" s="47">
        <f>SUM(E37*155/1000)</f>
        <v>12.6325</v>
      </c>
      <c r="G37" s="32">
        <v>460.02</v>
      </c>
      <c r="H37" s="33">
        <f t="shared" si="5"/>
        <v>5.8112026500000002</v>
      </c>
      <c r="I37" s="34">
        <f t="shared" si="6"/>
        <v>968.53377499999999</v>
      </c>
      <c r="J37" s="34">
        <f>F37/6*G37</f>
        <v>968.53377499999999</v>
      </c>
      <c r="K37" s="34">
        <f>F37/6*G37</f>
        <v>968.53377499999999</v>
      </c>
      <c r="L37" s="34">
        <f>F37/6*G37</f>
        <v>968.53377499999999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f>F37/6*G37</f>
        <v>968.53377499999999</v>
      </c>
      <c r="T37" s="34">
        <f>F37/6*G37</f>
        <v>968.53377499999999</v>
      </c>
      <c r="U37" s="34">
        <f t="shared" si="7"/>
        <v>1937.06755</v>
      </c>
    </row>
    <row r="38" spans="1:26">
      <c r="A38" s="130" t="s">
        <v>102</v>
      </c>
      <c r="B38" s="10" t="s">
        <v>94</v>
      </c>
      <c r="C38" s="24" t="s">
        <v>61</v>
      </c>
      <c r="D38" s="10" t="s">
        <v>34</v>
      </c>
      <c r="E38" s="31"/>
      <c r="F38" s="47">
        <v>26</v>
      </c>
      <c r="G38" s="32">
        <v>314</v>
      </c>
      <c r="H38" s="33">
        <f t="shared" si="5"/>
        <v>8.1639999999999997</v>
      </c>
      <c r="I38" s="34">
        <v>0</v>
      </c>
      <c r="J38" s="34">
        <v>0</v>
      </c>
      <c r="K38" s="34">
        <v>0</v>
      </c>
      <c r="L38" s="34">
        <f>G38*26</f>
        <v>8164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f>SUM(S38:T38)</f>
        <v>0</v>
      </c>
    </row>
    <row r="39" spans="1:26" ht="51" customHeight="1">
      <c r="A39" s="130" t="s">
        <v>158</v>
      </c>
      <c r="B39" s="10" t="s">
        <v>133</v>
      </c>
      <c r="C39" s="24" t="s">
        <v>27</v>
      </c>
      <c r="D39" s="10" t="s">
        <v>100</v>
      </c>
      <c r="E39" s="32">
        <v>81.5</v>
      </c>
      <c r="F39" s="47">
        <f>SUM(E39*35/1000)</f>
        <v>2.8525</v>
      </c>
      <c r="G39" s="32">
        <v>7611.16</v>
      </c>
      <c r="H39" s="33">
        <f t="shared" si="5"/>
        <v>21.710833900000001</v>
      </c>
      <c r="I39" s="34">
        <f t="shared" si="6"/>
        <v>3618.4723166666663</v>
      </c>
      <c r="J39" s="34">
        <f>F39/6*G39</f>
        <v>3618.4723166666663</v>
      </c>
      <c r="K39" s="34">
        <f>F39/6*G39</f>
        <v>3618.4723166666663</v>
      </c>
      <c r="L39" s="34">
        <f>F39/6*G39</f>
        <v>3618.4723166666663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f>F39/6*G39</f>
        <v>3618.4723166666663</v>
      </c>
      <c r="T39" s="34">
        <f>F39/6*G39</f>
        <v>3618.4723166666663</v>
      </c>
      <c r="U39" s="34">
        <f t="shared" si="7"/>
        <v>7236.9446333333326</v>
      </c>
    </row>
    <row r="40" spans="1:26" ht="12.75" customHeight="1">
      <c r="A40" s="130" t="s">
        <v>159</v>
      </c>
      <c r="B40" s="10" t="s">
        <v>134</v>
      </c>
      <c r="C40" s="24" t="s">
        <v>27</v>
      </c>
      <c r="D40" s="10" t="s">
        <v>228</v>
      </c>
      <c r="E40" s="32">
        <v>81.5</v>
      </c>
      <c r="F40" s="47">
        <f>SUM(E40*15/1000)</f>
        <v>1.2224999999999999</v>
      </c>
      <c r="G40" s="32">
        <v>562.25</v>
      </c>
      <c r="H40" s="33">
        <f t="shared" si="5"/>
        <v>0.68735062499999988</v>
      </c>
      <c r="I40" s="34">
        <f t="shared" si="6"/>
        <v>114.5584375</v>
      </c>
      <c r="J40" s="34">
        <f>F40/6*G40</f>
        <v>114.5584375</v>
      </c>
      <c r="K40" s="34">
        <f>F40/6*G40</f>
        <v>114.5584375</v>
      </c>
      <c r="L40" s="34">
        <f>F40/6*G40</f>
        <v>114.5584375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f t="shared" si="7"/>
        <v>0</v>
      </c>
    </row>
    <row r="41" spans="1:26" s="1" customFormat="1">
      <c r="A41" s="132"/>
      <c r="B41" s="12" t="s">
        <v>135</v>
      </c>
      <c r="C41" s="48" t="s">
        <v>33</v>
      </c>
      <c r="D41" s="12"/>
      <c r="E41" s="44"/>
      <c r="F41" s="47">
        <v>0.9</v>
      </c>
      <c r="G41" s="47">
        <v>974.83</v>
      </c>
      <c r="H41" s="33">
        <f t="shared" si="5"/>
        <v>0.8773470000000001</v>
      </c>
      <c r="I41" s="49">
        <f t="shared" si="6"/>
        <v>146.22450000000001</v>
      </c>
      <c r="J41" s="49">
        <f>F41/6*G41</f>
        <v>146.22450000000001</v>
      </c>
      <c r="K41" s="49">
        <f>F41/6*G41</f>
        <v>146.22450000000001</v>
      </c>
      <c r="L41" s="49">
        <f>F41/6*G41</f>
        <v>146.22450000000001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f>F41/6*G41</f>
        <v>146.22450000000001</v>
      </c>
      <c r="T41" s="49">
        <f>F41/6*G41</f>
        <v>146.22450000000001</v>
      </c>
      <c r="U41" s="34">
        <f t="shared" si="7"/>
        <v>292.44900000000001</v>
      </c>
      <c r="V41" s="152"/>
      <c r="W41" s="152"/>
      <c r="X41" s="152"/>
      <c r="Y41" s="152"/>
      <c r="Z41" s="152"/>
    </row>
    <row r="42" spans="1:26" s="1" customFormat="1" ht="25.5">
      <c r="A42" s="148" t="s">
        <v>207</v>
      </c>
      <c r="B42" s="144" t="s">
        <v>208</v>
      </c>
      <c r="C42" s="143" t="s">
        <v>41</v>
      </c>
      <c r="D42" s="12" t="s">
        <v>209</v>
      </c>
      <c r="E42" s="44">
        <v>2.4</v>
      </c>
      <c r="F42" s="47">
        <f>SUM(E42*12/1000)</f>
        <v>2.8799999999999996E-2</v>
      </c>
      <c r="G42" s="47">
        <v>260.2</v>
      </c>
      <c r="H42" s="33">
        <f t="shared" si="5"/>
        <v>7.4937599999999986E-3</v>
      </c>
      <c r="I42" s="49"/>
      <c r="J42" s="49"/>
      <c r="K42" s="49"/>
      <c r="L42" s="34"/>
      <c r="M42" s="34"/>
      <c r="N42" s="34"/>
      <c r="O42" s="34"/>
      <c r="P42" s="34"/>
      <c r="Q42" s="34"/>
      <c r="R42" s="34"/>
      <c r="S42" s="34">
        <f t="shared" ref="S42" si="8">F42/6*G42</f>
        <v>1.2489599999999998</v>
      </c>
      <c r="T42" s="34">
        <f t="shared" ref="T42" si="9">F42/6*G42</f>
        <v>1.2489599999999998</v>
      </c>
      <c r="U42" s="34">
        <f t="shared" ref="U42" si="10">SUM(S42:T42)</f>
        <v>2.4979199999999997</v>
      </c>
      <c r="V42" s="152"/>
      <c r="W42" s="152"/>
      <c r="X42" s="152"/>
      <c r="Y42" s="152"/>
      <c r="Z42" s="152"/>
    </row>
    <row r="43" spans="1:26" s="18" customFormat="1">
      <c r="A43" s="131"/>
      <c r="B43" s="19" t="s">
        <v>25</v>
      </c>
      <c r="C43" s="37"/>
      <c r="D43" s="19"/>
      <c r="E43" s="38"/>
      <c r="F43" s="39" t="s">
        <v>38</v>
      </c>
      <c r="G43" s="39"/>
      <c r="H43" s="46">
        <f>SUM(H35:H42)</f>
        <v>54.016000035000012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>
        <f>SUM(U35:U42)</f>
        <v>15054.883136666665</v>
      </c>
      <c r="V43" s="152"/>
      <c r="W43" s="152"/>
      <c r="X43" s="152"/>
      <c r="Y43" s="152"/>
      <c r="Z43" s="152"/>
    </row>
    <row r="44" spans="1:26">
      <c r="A44" s="130"/>
      <c r="B44" s="13" t="s">
        <v>43</v>
      </c>
      <c r="C44" s="24"/>
      <c r="D44" s="10"/>
      <c r="E44" s="31"/>
      <c r="F44" s="32"/>
      <c r="G44" s="32"/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6">
      <c r="A45" s="130" t="s">
        <v>163</v>
      </c>
      <c r="B45" s="10" t="s">
        <v>136</v>
      </c>
      <c r="C45" s="24" t="s">
        <v>27</v>
      </c>
      <c r="D45" s="10" t="s">
        <v>44</v>
      </c>
      <c r="E45" s="31">
        <v>1080</v>
      </c>
      <c r="F45" s="32">
        <f>SUM(E45*2/1000)</f>
        <v>2.16</v>
      </c>
      <c r="G45" s="50">
        <v>1172.4100000000001</v>
      </c>
      <c r="H45" s="33">
        <f t="shared" ref="H45:H53" si="11">SUM(F45*G45/1000)</f>
        <v>2.5324056000000006</v>
      </c>
      <c r="I45" s="34">
        <v>0</v>
      </c>
      <c r="J45" s="34">
        <v>0</v>
      </c>
      <c r="K45" s="34">
        <v>0</v>
      </c>
      <c r="L45" s="34">
        <v>0</v>
      </c>
      <c r="M45" s="34">
        <f>F45/2*G45</f>
        <v>1266.2028000000003</v>
      </c>
      <c r="N45" s="34">
        <v>0</v>
      </c>
      <c r="O45" s="34">
        <v>0</v>
      </c>
      <c r="P45" s="34">
        <v>0</v>
      </c>
      <c r="Q45" s="34">
        <f>F45/2*G45</f>
        <v>1266.2028000000003</v>
      </c>
      <c r="R45" s="34">
        <v>0</v>
      </c>
      <c r="S45" s="34">
        <v>0</v>
      </c>
      <c r="T45" s="34">
        <v>0</v>
      </c>
      <c r="U45" s="34">
        <f t="shared" ref="U45:U54" si="12">SUM(S45:T45)</f>
        <v>0</v>
      </c>
    </row>
    <row r="46" spans="1:26">
      <c r="A46" s="130" t="s">
        <v>160</v>
      </c>
      <c r="B46" s="10" t="s">
        <v>45</v>
      </c>
      <c r="C46" s="24" t="s">
        <v>27</v>
      </c>
      <c r="D46" s="10" t="s">
        <v>44</v>
      </c>
      <c r="E46" s="31">
        <v>39</v>
      </c>
      <c r="F46" s="32">
        <f>SUM(E46*2/1000)</f>
        <v>7.8E-2</v>
      </c>
      <c r="G46" s="50">
        <v>4419.05</v>
      </c>
      <c r="H46" s="33">
        <f t="shared" si="11"/>
        <v>0.34468589999999999</v>
      </c>
      <c r="I46" s="34">
        <v>0</v>
      </c>
      <c r="J46" s="34">
        <v>0</v>
      </c>
      <c r="K46" s="34">
        <v>0</v>
      </c>
      <c r="L46" s="34">
        <v>0</v>
      </c>
      <c r="M46" s="34">
        <f>F46/2*G46</f>
        <v>172.34295</v>
      </c>
      <c r="N46" s="34">
        <v>0</v>
      </c>
      <c r="O46" s="34">
        <v>0</v>
      </c>
      <c r="P46" s="34">
        <v>0</v>
      </c>
      <c r="Q46" s="34">
        <f>F46/2*G46</f>
        <v>172.34295</v>
      </c>
      <c r="R46" s="34">
        <v>0</v>
      </c>
      <c r="S46" s="34">
        <v>0</v>
      </c>
      <c r="T46" s="34">
        <v>0</v>
      </c>
      <c r="U46" s="34">
        <f t="shared" si="12"/>
        <v>0</v>
      </c>
    </row>
    <row r="47" spans="1:26" ht="12.75" customHeight="1">
      <c r="A47" s="130" t="s">
        <v>161</v>
      </c>
      <c r="B47" s="10" t="s">
        <v>46</v>
      </c>
      <c r="C47" s="24" t="s">
        <v>27</v>
      </c>
      <c r="D47" s="10" t="s">
        <v>44</v>
      </c>
      <c r="E47" s="31">
        <v>1037</v>
      </c>
      <c r="F47" s="32">
        <f>SUM(E47*2/1000)</f>
        <v>2.0739999999999998</v>
      </c>
      <c r="G47" s="50">
        <v>1803.69</v>
      </c>
      <c r="H47" s="33">
        <f t="shared" si="11"/>
        <v>3.7408530600000001</v>
      </c>
      <c r="I47" s="34">
        <v>0</v>
      </c>
      <c r="J47" s="34">
        <v>0</v>
      </c>
      <c r="K47" s="34">
        <v>0</v>
      </c>
      <c r="L47" s="34">
        <v>0</v>
      </c>
      <c r="M47" s="34">
        <f t="shared" ref="M47:M49" si="13">F47/2*G47</f>
        <v>1870.42653</v>
      </c>
      <c r="N47" s="34">
        <v>0</v>
      </c>
      <c r="O47" s="34">
        <v>0</v>
      </c>
      <c r="P47" s="34">
        <v>0</v>
      </c>
      <c r="Q47" s="34">
        <f>F47/2*G47</f>
        <v>1870.42653</v>
      </c>
      <c r="R47" s="34">
        <v>0</v>
      </c>
      <c r="S47" s="34">
        <v>0</v>
      </c>
      <c r="T47" s="34">
        <v>0</v>
      </c>
      <c r="U47" s="34">
        <f t="shared" si="12"/>
        <v>0</v>
      </c>
    </row>
    <row r="48" spans="1:26">
      <c r="A48" s="130" t="s">
        <v>162</v>
      </c>
      <c r="B48" s="10" t="s">
        <v>47</v>
      </c>
      <c r="C48" s="24" t="s">
        <v>27</v>
      </c>
      <c r="D48" s="10" t="s">
        <v>44</v>
      </c>
      <c r="E48" s="31">
        <v>2274</v>
      </c>
      <c r="F48" s="32">
        <f>SUM(E48*2/1000)</f>
        <v>4.548</v>
      </c>
      <c r="G48" s="50">
        <v>1243.43</v>
      </c>
      <c r="H48" s="33">
        <f t="shared" si="11"/>
        <v>5.6551196399999997</v>
      </c>
      <c r="I48" s="34">
        <v>0</v>
      </c>
      <c r="J48" s="34">
        <v>0</v>
      </c>
      <c r="K48" s="34">
        <v>0</v>
      </c>
      <c r="L48" s="34">
        <v>0</v>
      </c>
      <c r="M48" s="34">
        <f t="shared" si="13"/>
        <v>2827.5598199999999</v>
      </c>
      <c r="N48" s="34">
        <v>0</v>
      </c>
      <c r="O48" s="34">
        <v>0</v>
      </c>
      <c r="P48" s="34">
        <v>0</v>
      </c>
      <c r="Q48" s="34">
        <f>F48/2*G48</f>
        <v>2827.5598199999999</v>
      </c>
      <c r="R48" s="34">
        <v>0</v>
      </c>
      <c r="S48" s="34">
        <v>0</v>
      </c>
      <c r="T48" s="34">
        <v>0</v>
      </c>
      <c r="U48" s="34">
        <f t="shared" si="12"/>
        <v>0</v>
      </c>
    </row>
    <row r="49" spans="1:26">
      <c r="A49" s="130" t="s">
        <v>168</v>
      </c>
      <c r="B49" s="10" t="s">
        <v>101</v>
      </c>
      <c r="C49" s="24" t="s">
        <v>21</v>
      </c>
      <c r="D49" s="10" t="s">
        <v>44</v>
      </c>
      <c r="E49" s="31">
        <v>83.04</v>
      </c>
      <c r="F49" s="32">
        <v>1.66</v>
      </c>
      <c r="G49" s="50">
        <v>1352.76</v>
      </c>
      <c r="H49" s="33">
        <f>SUM(F49*G49/1000)</f>
        <v>2.2455816</v>
      </c>
      <c r="I49" s="34">
        <v>0</v>
      </c>
      <c r="J49" s="34">
        <v>0</v>
      </c>
      <c r="K49" s="34">
        <v>0</v>
      </c>
      <c r="L49" s="34">
        <v>0</v>
      </c>
      <c r="M49" s="34">
        <f t="shared" si="13"/>
        <v>1122.7908</v>
      </c>
      <c r="N49" s="34">
        <v>0</v>
      </c>
      <c r="O49" s="34">
        <v>0</v>
      </c>
      <c r="P49" s="34">
        <v>0</v>
      </c>
      <c r="Q49" s="34">
        <f>F49/2*G49</f>
        <v>1122.7908</v>
      </c>
      <c r="R49" s="34">
        <v>0</v>
      </c>
      <c r="S49" s="34">
        <v>0</v>
      </c>
      <c r="T49" s="34">
        <v>0</v>
      </c>
      <c r="U49" s="34">
        <f t="shared" si="12"/>
        <v>0</v>
      </c>
    </row>
    <row r="50" spans="1:26">
      <c r="A50" s="130" t="s">
        <v>164</v>
      </c>
      <c r="B50" s="10" t="s">
        <v>48</v>
      </c>
      <c r="C50" s="24" t="s">
        <v>27</v>
      </c>
      <c r="D50" s="10" t="s">
        <v>210</v>
      </c>
      <c r="E50" s="31">
        <v>2626.5</v>
      </c>
      <c r="F50" s="32">
        <f>SUM(E50*5/1000)</f>
        <v>13.1325</v>
      </c>
      <c r="G50" s="50">
        <v>1803.69</v>
      </c>
      <c r="H50" s="33">
        <f t="shared" ref="H50:H52" si="14">SUM(F50*G50/1000)</f>
        <v>23.686958925000003</v>
      </c>
      <c r="I50" s="34">
        <f>F50/5*G50</f>
        <v>4737.3917849999998</v>
      </c>
      <c r="J50" s="34">
        <f>F50/5*G50</f>
        <v>4737.3917849999998</v>
      </c>
      <c r="K50" s="34">
        <v>0</v>
      </c>
      <c r="L50" s="34">
        <f>0</f>
        <v>0</v>
      </c>
      <c r="M50" s="34">
        <f>F50/5*G50</f>
        <v>4737.3917849999998</v>
      </c>
      <c r="N50" s="34">
        <v>0</v>
      </c>
      <c r="O50" s="34">
        <v>0</v>
      </c>
      <c r="P50" s="34">
        <v>0</v>
      </c>
      <c r="Q50" s="34">
        <f>F50/5*G50</f>
        <v>4737.3917849999998</v>
      </c>
      <c r="R50" s="34">
        <v>0</v>
      </c>
      <c r="S50" s="34">
        <v>0</v>
      </c>
      <c r="T50" s="34">
        <f>F50/5*G50</f>
        <v>4737.3917849999998</v>
      </c>
      <c r="U50" s="34">
        <f t="shared" si="12"/>
        <v>4737.3917849999998</v>
      </c>
    </row>
    <row r="51" spans="1:26" ht="38.25" customHeight="1">
      <c r="A51" s="130" t="s">
        <v>165</v>
      </c>
      <c r="B51" s="10" t="s">
        <v>49</v>
      </c>
      <c r="C51" s="24" t="s">
        <v>27</v>
      </c>
      <c r="D51" s="10" t="s">
        <v>44</v>
      </c>
      <c r="E51" s="31">
        <v>2626.5</v>
      </c>
      <c r="F51" s="32">
        <f>SUM(E51*2/1000)</f>
        <v>5.2530000000000001</v>
      </c>
      <c r="G51" s="50">
        <v>1591.6</v>
      </c>
      <c r="H51" s="33">
        <f t="shared" si="14"/>
        <v>8.3606747999999982</v>
      </c>
      <c r="I51" s="34">
        <v>0</v>
      </c>
      <c r="J51" s="34">
        <v>0</v>
      </c>
      <c r="K51" s="34">
        <v>0</v>
      </c>
      <c r="L51" s="34">
        <f>F51/2*G51</f>
        <v>4180.3373999999994</v>
      </c>
      <c r="M51" s="34">
        <v>0</v>
      </c>
      <c r="N51" s="34">
        <v>0</v>
      </c>
      <c r="O51" s="34">
        <v>0</v>
      </c>
      <c r="P51" s="34">
        <v>0</v>
      </c>
      <c r="Q51" s="34">
        <f>F51/2*G51</f>
        <v>4180.3373999999994</v>
      </c>
      <c r="R51" s="34">
        <v>0</v>
      </c>
      <c r="S51" s="34">
        <v>0</v>
      </c>
      <c r="T51" s="34">
        <v>0</v>
      </c>
      <c r="U51" s="34">
        <f t="shared" si="12"/>
        <v>0</v>
      </c>
    </row>
    <row r="52" spans="1:26" ht="25.5" customHeight="1">
      <c r="A52" s="130" t="s">
        <v>166</v>
      </c>
      <c r="B52" s="10" t="s">
        <v>50</v>
      </c>
      <c r="C52" s="24" t="s">
        <v>51</v>
      </c>
      <c r="D52" s="10" t="s">
        <v>44</v>
      </c>
      <c r="E52" s="31">
        <v>15</v>
      </c>
      <c r="F52" s="32">
        <f>SUM(E52*2/100)</f>
        <v>0.3</v>
      </c>
      <c r="G52" s="50">
        <v>4058.32</v>
      </c>
      <c r="H52" s="33">
        <f t="shared" si="14"/>
        <v>1.2174960000000001</v>
      </c>
      <c r="I52" s="34">
        <v>0</v>
      </c>
      <c r="J52" s="34">
        <v>0</v>
      </c>
      <c r="K52" s="34">
        <v>0</v>
      </c>
      <c r="L52" s="34">
        <f>F52/2*G52</f>
        <v>608.74800000000005</v>
      </c>
      <c r="M52" s="34">
        <v>0</v>
      </c>
      <c r="N52" s="34">
        <v>0</v>
      </c>
      <c r="O52" s="34">
        <v>0</v>
      </c>
      <c r="P52" s="34">
        <v>0</v>
      </c>
      <c r="Q52" s="34">
        <f>F52/2*G52</f>
        <v>608.74800000000005</v>
      </c>
      <c r="R52" s="34">
        <v>0</v>
      </c>
      <c r="S52" s="34">
        <v>0</v>
      </c>
      <c r="T52" s="34">
        <v>0</v>
      </c>
      <c r="U52" s="34">
        <f t="shared" si="12"/>
        <v>0</v>
      </c>
    </row>
    <row r="53" spans="1:26">
      <c r="A53" s="130" t="s">
        <v>167</v>
      </c>
      <c r="B53" s="10" t="s">
        <v>52</v>
      </c>
      <c r="C53" s="24" t="s">
        <v>53</v>
      </c>
      <c r="D53" s="10" t="s">
        <v>44</v>
      </c>
      <c r="E53" s="31">
        <v>1</v>
      </c>
      <c r="F53" s="32">
        <v>0.02</v>
      </c>
      <c r="G53" s="50">
        <v>7412.92</v>
      </c>
      <c r="H53" s="33">
        <f t="shared" si="11"/>
        <v>0.14825839999999998</v>
      </c>
      <c r="I53" s="34">
        <v>0</v>
      </c>
      <c r="J53" s="34">
        <v>0</v>
      </c>
      <c r="K53" s="34">
        <f>F53/2*G53</f>
        <v>74.129199999999997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f>F53/2*G53</f>
        <v>74.129199999999997</v>
      </c>
      <c r="R53" s="34">
        <v>0</v>
      </c>
      <c r="S53" s="34">
        <v>0</v>
      </c>
      <c r="T53" s="34">
        <v>0</v>
      </c>
      <c r="U53" s="34">
        <f t="shared" si="12"/>
        <v>0</v>
      </c>
    </row>
    <row r="54" spans="1:26" ht="13.5" customHeight="1">
      <c r="A54" s="130" t="s">
        <v>55</v>
      </c>
      <c r="B54" s="10" t="s">
        <v>56</v>
      </c>
      <c r="C54" s="24" t="s">
        <v>54</v>
      </c>
      <c r="D54" s="10" t="s">
        <v>115</v>
      </c>
      <c r="E54" s="31">
        <v>90</v>
      </c>
      <c r="F54" s="32">
        <f>SUM(E54)*3</f>
        <v>270</v>
      </c>
      <c r="G54" s="51">
        <v>86.15</v>
      </c>
      <c r="H54" s="33">
        <f>SUM(F54*G54/1000)</f>
        <v>23.2605</v>
      </c>
      <c r="I54" s="34">
        <v>0</v>
      </c>
      <c r="J54" s="34">
        <v>0</v>
      </c>
      <c r="K54" s="34">
        <v>0</v>
      </c>
      <c r="L54" s="34">
        <f>E54*G54</f>
        <v>7753.5000000000009</v>
      </c>
      <c r="M54" s="34">
        <v>0</v>
      </c>
      <c r="N54" s="34">
        <v>0</v>
      </c>
      <c r="O54" s="34">
        <v>0</v>
      </c>
      <c r="P54" s="34">
        <f>E54*G54</f>
        <v>7753.5000000000009</v>
      </c>
      <c r="Q54" s="34">
        <v>0</v>
      </c>
      <c r="R54" s="34">
        <v>0</v>
      </c>
      <c r="S54" s="34">
        <v>0</v>
      </c>
      <c r="T54" s="34">
        <f>E54*G54</f>
        <v>7753.5000000000009</v>
      </c>
      <c r="U54" s="34">
        <f t="shared" si="12"/>
        <v>7753.5000000000009</v>
      </c>
    </row>
    <row r="55" spans="1:26" s="20" customFormat="1">
      <c r="A55" s="133"/>
      <c r="B55" s="19" t="s">
        <v>25</v>
      </c>
      <c r="C55" s="52"/>
      <c r="D55" s="19"/>
      <c r="E55" s="53"/>
      <c r="F55" s="54"/>
      <c r="G55" s="54"/>
      <c r="H55" s="46">
        <f>SUM(H45:H54)</f>
        <v>71.192533924999992</v>
      </c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>
        <f>SUM(U45:U54)</f>
        <v>12490.891785</v>
      </c>
      <c r="V55" s="152"/>
      <c r="W55" s="152"/>
      <c r="X55" s="152"/>
      <c r="Y55" s="152"/>
      <c r="Z55" s="152"/>
    </row>
    <row r="56" spans="1:26">
      <c r="A56" s="130"/>
      <c r="B56" s="11" t="s">
        <v>57</v>
      </c>
      <c r="C56" s="24"/>
      <c r="D56" s="10"/>
      <c r="E56" s="31"/>
      <c r="F56" s="32"/>
      <c r="G56" s="32"/>
      <c r="H56" s="3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6" ht="25.5" customHeight="1">
      <c r="A57" s="139" t="s">
        <v>169</v>
      </c>
      <c r="B57" s="10" t="s">
        <v>128</v>
      </c>
      <c r="C57" s="24" t="s">
        <v>13</v>
      </c>
      <c r="D57" s="10" t="s">
        <v>58</v>
      </c>
      <c r="E57" s="31">
        <v>111</v>
      </c>
      <c r="F57" s="32">
        <f>SUM(E57*6/100)</f>
        <v>6.66</v>
      </c>
      <c r="G57" s="50">
        <v>2029.3</v>
      </c>
      <c r="H57" s="33">
        <f>SUM(F57*G57/1000)</f>
        <v>13.515138</v>
      </c>
      <c r="I57" s="34">
        <f>F57/6*G57</f>
        <v>2252.5230000000001</v>
      </c>
      <c r="J57" s="34">
        <f>F57/6*G57</f>
        <v>2252.5230000000001</v>
      </c>
      <c r="K57" s="34">
        <f>F57/6*G57</f>
        <v>2252.5230000000001</v>
      </c>
      <c r="L57" s="34">
        <f>F57/6*G57</f>
        <v>2252.5230000000001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f>F57/6*G57</f>
        <v>2252.5230000000001</v>
      </c>
      <c r="T57" s="34">
        <f>F57/6*G57</f>
        <v>2252.5230000000001</v>
      </c>
      <c r="U57" s="34">
        <f t="shared" ref="U57:U86" si="15">SUM(S57:T57)</f>
        <v>4505.0460000000003</v>
      </c>
    </row>
    <row r="58" spans="1:26" ht="12.75" customHeight="1">
      <c r="A58" s="151" t="s">
        <v>102</v>
      </c>
      <c r="B58" s="10" t="s">
        <v>211</v>
      </c>
      <c r="C58" s="24" t="s">
        <v>212</v>
      </c>
      <c r="D58" s="10" t="s">
        <v>34</v>
      </c>
      <c r="E58" s="31"/>
      <c r="F58" s="32">
        <v>3</v>
      </c>
      <c r="G58" s="50">
        <v>1582.05</v>
      </c>
      <c r="H58" s="33">
        <f>SUM(F58*G58/1000)</f>
        <v>4.7461499999999992</v>
      </c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>
        <f>G58*2.5</f>
        <v>3955.125</v>
      </c>
      <c r="T58" s="34">
        <f>G58*2.5</f>
        <v>3955.125</v>
      </c>
      <c r="U58" s="34">
        <f t="shared" si="15"/>
        <v>7910.25</v>
      </c>
    </row>
    <row r="59" spans="1:26" ht="12.75" customHeight="1">
      <c r="A59" s="134"/>
      <c r="B59" s="22" t="s">
        <v>59</v>
      </c>
      <c r="C59" s="56"/>
      <c r="D59" s="21"/>
      <c r="E59" s="57"/>
      <c r="F59" s="58"/>
      <c r="G59" s="50"/>
      <c r="H59" s="59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6" ht="12.75" customHeight="1">
      <c r="A60" s="130" t="s">
        <v>170</v>
      </c>
      <c r="B60" s="21" t="s">
        <v>213</v>
      </c>
      <c r="C60" s="56" t="s">
        <v>21</v>
      </c>
      <c r="D60" s="21" t="s">
        <v>29</v>
      </c>
      <c r="E60" s="57">
        <v>130</v>
      </c>
      <c r="F60" s="58">
        <f>E60/100</f>
        <v>1.3</v>
      </c>
      <c r="G60" s="50">
        <v>1040.8399999999999</v>
      </c>
      <c r="H60" s="59">
        <f>F60*G60/1000</f>
        <v>1.353092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f t="shared" si="15"/>
        <v>0</v>
      </c>
    </row>
    <row r="61" spans="1:26" ht="12.75" customHeight="1">
      <c r="A61" s="130" t="s">
        <v>119</v>
      </c>
      <c r="B61" s="21" t="s">
        <v>97</v>
      </c>
      <c r="C61" s="56" t="s">
        <v>60</v>
      </c>
      <c r="D61" s="21" t="s">
        <v>95</v>
      </c>
      <c r="E61" s="57">
        <v>130</v>
      </c>
      <c r="F61" s="60">
        <f>E61*12</f>
        <v>1560</v>
      </c>
      <c r="G61" s="61">
        <v>2.8</v>
      </c>
      <c r="H61" s="58">
        <f>F61*G61/1000</f>
        <v>4.3680000000000003</v>
      </c>
      <c r="I61" s="34">
        <f>F61/12*G61</f>
        <v>364</v>
      </c>
      <c r="J61" s="34">
        <f>F61/12*G61</f>
        <v>364</v>
      </c>
      <c r="K61" s="34">
        <f>F61/12*G61</f>
        <v>364</v>
      </c>
      <c r="L61" s="34">
        <f>F61/12*G61</f>
        <v>364</v>
      </c>
      <c r="M61" s="34">
        <f>F61/12*G61</f>
        <v>364</v>
      </c>
      <c r="N61" s="34">
        <f>F61/12*G61</f>
        <v>364</v>
      </c>
      <c r="O61" s="34">
        <f>F61/12*G61</f>
        <v>364</v>
      </c>
      <c r="P61" s="34">
        <f>F61/12*G61</f>
        <v>364</v>
      </c>
      <c r="Q61" s="34">
        <f>F61/12*G61</f>
        <v>364</v>
      </c>
      <c r="R61" s="34">
        <f>F61/12*G61</f>
        <v>364</v>
      </c>
      <c r="S61" s="34">
        <f>F61/12*G61</f>
        <v>364</v>
      </c>
      <c r="T61" s="34">
        <f>F61/12*G61</f>
        <v>364</v>
      </c>
      <c r="U61" s="34">
        <f t="shared" si="15"/>
        <v>728</v>
      </c>
    </row>
    <row r="62" spans="1:26">
      <c r="A62" s="134"/>
      <c r="B62" s="14" t="s">
        <v>62</v>
      </c>
      <c r="C62" s="56"/>
      <c r="D62" s="21"/>
      <c r="E62" s="57"/>
      <c r="F62" s="60"/>
      <c r="G62" s="60"/>
      <c r="H62" s="58" t="s">
        <v>38</v>
      </c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spans="1:26" ht="12.75" customHeight="1">
      <c r="A63" s="62" t="s">
        <v>171</v>
      </c>
      <c r="B63" s="15" t="s">
        <v>63</v>
      </c>
      <c r="C63" s="62" t="s">
        <v>54</v>
      </c>
      <c r="D63" s="8" t="s">
        <v>34</v>
      </c>
      <c r="E63" s="63">
        <v>9</v>
      </c>
      <c r="F63" s="51">
        <f>SUM(E63)</f>
        <v>9</v>
      </c>
      <c r="G63" s="50">
        <v>291.68</v>
      </c>
      <c r="H63" s="64">
        <f t="shared" ref="H63:H81" si="16">SUM(F63*G63/1000)</f>
        <v>2.6251199999999999</v>
      </c>
      <c r="I63" s="34">
        <f>G63*2</f>
        <v>583.36</v>
      </c>
      <c r="J63" s="34">
        <v>0</v>
      </c>
      <c r="K63" s="34">
        <v>0</v>
      </c>
      <c r="L63" s="34">
        <v>0</v>
      </c>
      <c r="M63" s="34">
        <v>0</v>
      </c>
      <c r="N63" s="34">
        <f>G63</f>
        <v>291.68</v>
      </c>
      <c r="O63" s="34">
        <v>0</v>
      </c>
      <c r="P63" s="34">
        <v>0</v>
      </c>
      <c r="Q63" s="34">
        <v>0</v>
      </c>
      <c r="R63" s="34">
        <f>G63</f>
        <v>291.68</v>
      </c>
      <c r="S63" s="34">
        <v>0</v>
      </c>
      <c r="T63" s="34">
        <v>0</v>
      </c>
      <c r="U63" s="34">
        <f t="shared" si="15"/>
        <v>0</v>
      </c>
    </row>
    <row r="64" spans="1:26" ht="12.75" customHeight="1">
      <c r="A64" s="62" t="s">
        <v>172</v>
      </c>
      <c r="B64" s="15" t="s">
        <v>64</v>
      </c>
      <c r="C64" s="62" t="s">
        <v>54</v>
      </c>
      <c r="D64" s="8" t="s">
        <v>34</v>
      </c>
      <c r="E64" s="63">
        <v>4</v>
      </c>
      <c r="F64" s="51">
        <f>SUM(E64)</f>
        <v>4</v>
      </c>
      <c r="G64" s="50">
        <v>100.01</v>
      </c>
      <c r="H64" s="64">
        <f t="shared" si="16"/>
        <v>0.40004000000000001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f t="shared" si="15"/>
        <v>0</v>
      </c>
    </row>
    <row r="65" spans="1:26" s="1" customFormat="1">
      <c r="A65" s="65" t="s">
        <v>173</v>
      </c>
      <c r="B65" s="15" t="s">
        <v>65</v>
      </c>
      <c r="C65" s="65" t="s">
        <v>66</v>
      </c>
      <c r="D65" s="8" t="s">
        <v>29</v>
      </c>
      <c r="E65" s="31">
        <v>13287</v>
      </c>
      <c r="F65" s="51">
        <f>SUM(E65/100)</f>
        <v>132.87</v>
      </c>
      <c r="G65" s="50">
        <v>278.24</v>
      </c>
      <c r="H65" s="64">
        <f t="shared" si="16"/>
        <v>36.969748799999998</v>
      </c>
      <c r="I65" s="49">
        <v>0</v>
      </c>
      <c r="J65" s="49">
        <v>0</v>
      </c>
      <c r="K65" s="49">
        <v>0</v>
      </c>
      <c r="L65" s="49">
        <v>0</v>
      </c>
      <c r="M65" s="49">
        <f>F65*G65</f>
        <v>36969.748800000001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34">
        <f t="shared" si="15"/>
        <v>0</v>
      </c>
      <c r="V65" s="152"/>
      <c r="W65" s="152"/>
      <c r="X65" s="152"/>
      <c r="Y65" s="152"/>
      <c r="Z65" s="152"/>
    </row>
    <row r="66" spans="1:26" ht="12.75" customHeight="1">
      <c r="A66" s="62" t="s">
        <v>174</v>
      </c>
      <c r="B66" s="15" t="s">
        <v>67</v>
      </c>
      <c r="C66" s="62" t="s">
        <v>68</v>
      </c>
      <c r="D66" s="8" t="s">
        <v>29</v>
      </c>
      <c r="E66" s="31">
        <v>13287</v>
      </c>
      <c r="F66" s="50">
        <f>SUM(E66/1000)</f>
        <v>13.287000000000001</v>
      </c>
      <c r="G66" s="50">
        <v>216.68</v>
      </c>
      <c r="H66" s="64">
        <f t="shared" si="16"/>
        <v>2.8790271600000001</v>
      </c>
      <c r="I66" s="34">
        <v>0</v>
      </c>
      <c r="J66" s="34">
        <v>0</v>
      </c>
      <c r="K66" s="34">
        <v>0</v>
      </c>
      <c r="L66" s="34">
        <v>0</v>
      </c>
      <c r="M66" s="34">
        <f>F66*G66</f>
        <v>2879.0271600000001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f t="shared" si="15"/>
        <v>0</v>
      </c>
    </row>
    <row r="67" spans="1:26">
      <c r="A67" s="62" t="s">
        <v>175</v>
      </c>
      <c r="B67" s="15" t="s">
        <v>69</v>
      </c>
      <c r="C67" s="62" t="s">
        <v>70</v>
      </c>
      <c r="D67" s="8" t="s">
        <v>29</v>
      </c>
      <c r="E67" s="31">
        <v>2110</v>
      </c>
      <c r="F67" s="50">
        <f>SUM(E67/100)</f>
        <v>21.1</v>
      </c>
      <c r="G67" s="50">
        <v>2720.94</v>
      </c>
      <c r="H67" s="64">
        <f>SUM(F67*G67/1000)</f>
        <v>57.411834000000006</v>
      </c>
      <c r="I67" s="34">
        <v>0</v>
      </c>
      <c r="J67" s="34">
        <v>0</v>
      </c>
      <c r="K67" s="34">
        <v>0</v>
      </c>
      <c r="L67" s="34">
        <v>0</v>
      </c>
      <c r="M67" s="34">
        <f>F67*G67</f>
        <v>57411.834000000003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f t="shared" si="15"/>
        <v>0</v>
      </c>
    </row>
    <row r="68" spans="1:26">
      <c r="A68" s="62"/>
      <c r="B68" s="16" t="s">
        <v>91</v>
      </c>
      <c r="C68" s="62" t="s">
        <v>33</v>
      </c>
      <c r="D68" s="8"/>
      <c r="E68" s="31">
        <v>8.6</v>
      </c>
      <c r="F68" s="50">
        <f>SUM(E68)</f>
        <v>8.6</v>
      </c>
      <c r="G68" s="50">
        <v>42.61</v>
      </c>
      <c r="H68" s="64">
        <f t="shared" si="16"/>
        <v>0.36644599999999999</v>
      </c>
      <c r="I68" s="34">
        <v>0</v>
      </c>
      <c r="J68" s="34">
        <v>0</v>
      </c>
      <c r="K68" s="34">
        <v>0</v>
      </c>
      <c r="L68" s="34">
        <v>0</v>
      </c>
      <c r="M68" s="34">
        <f>F68*G68</f>
        <v>366.44599999999997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f t="shared" si="15"/>
        <v>0</v>
      </c>
    </row>
    <row r="69" spans="1:26" ht="12.75" customHeight="1">
      <c r="A69" s="135"/>
      <c r="B69" s="16" t="s">
        <v>92</v>
      </c>
      <c r="C69" s="62" t="s">
        <v>33</v>
      </c>
      <c r="D69" s="8"/>
      <c r="E69" s="31">
        <v>8.6</v>
      </c>
      <c r="F69" s="50">
        <f>SUM(E69)</f>
        <v>8.6</v>
      </c>
      <c r="G69" s="50">
        <v>46.04</v>
      </c>
      <c r="H69" s="64">
        <f t="shared" si="16"/>
        <v>0.39594399999999996</v>
      </c>
      <c r="I69" s="34">
        <v>0</v>
      </c>
      <c r="J69" s="34">
        <v>0</v>
      </c>
      <c r="K69" s="34">
        <v>0</v>
      </c>
      <c r="L69" s="34">
        <v>0</v>
      </c>
      <c r="M69" s="34">
        <f>F69*G69</f>
        <v>395.94399999999996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f t="shared" si="15"/>
        <v>0</v>
      </c>
    </row>
    <row r="70" spans="1:26">
      <c r="A70" s="62" t="s">
        <v>176</v>
      </c>
      <c r="B70" s="8" t="s">
        <v>71</v>
      </c>
      <c r="C70" s="62" t="s">
        <v>72</v>
      </c>
      <c r="D70" s="8" t="s">
        <v>29</v>
      </c>
      <c r="E70" s="63">
        <v>3</v>
      </c>
      <c r="F70" s="50">
        <f>SUM(E70)</f>
        <v>3</v>
      </c>
      <c r="G70" s="50">
        <v>65.42</v>
      </c>
      <c r="H70" s="64">
        <f t="shared" si="16"/>
        <v>0.19625999999999999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f>F70*G70</f>
        <v>196.26</v>
      </c>
      <c r="R70" s="34">
        <v>0</v>
      </c>
      <c r="S70" s="34">
        <v>0</v>
      </c>
      <c r="T70" s="34">
        <v>0</v>
      </c>
      <c r="U70" s="34">
        <f t="shared" si="15"/>
        <v>0</v>
      </c>
    </row>
    <row r="71" spans="1:26">
      <c r="A71" s="135"/>
      <c r="B71" s="17" t="s">
        <v>73</v>
      </c>
      <c r="C71" s="62"/>
      <c r="D71" s="8"/>
      <c r="E71" s="63"/>
      <c r="F71" s="50"/>
      <c r="G71" s="50"/>
      <c r="H71" s="64" t="s">
        <v>38</v>
      </c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1:26" ht="25.5">
      <c r="A72" s="62" t="s">
        <v>214</v>
      </c>
      <c r="B72" s="8" t="s">
        <v>220</v>
      </c>
      <c r="C72" s="62" t="s">
        <v>54</v>
      </c>
      <c r="D72" s="8" t="s">
        <v>34</v>
      </c>
      <c r="E72" s="63">
        <v>1</v>
      </c>
      <c r="F72" s="50">
        <v>1</v>
      </c>
      <c r="G72" s="50">
        <v>1543.4</v>
      </c>
      <c r="H72" s="64">
        <f t="shared" ref="H72:H74" si="17">SUM(F72*G72/1000)</f>
        <v>1.5434000000000001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f t="shared" si="15"/>
        <v>0</v>
      </c>
    </row>
    <row r="73" spans="1:26">
      <c r="A73" s="62" t="s">
        <v>177</v>
      </c>
      <c r="B73" s="8" t="s">
        <v>74</v>
      </c>
      <c r="C73" s="62" t="s">
        <v>75</v>
      </c>
      <c r="D73" s="8" t="s">
        <v>34</v>
      </c>
      <c r="E73" s="63">
        <v>3</v>
      </c>
      <c r="F73" s="50">
        <f>E73/10</f>
        <v>0.3</v>
      </c>
      <c r="G73" s="50">
        <v>657.87</v>
      </c>
      <c r="H73" s="64">
        <f t="shared" si="17"/>
        <v>0.19736099999999998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f>G73*0.9</f>
        <v>592.08299999999997</v>
      </c>
      <c r="T73" s="34">
        <v>0</v>
      </c>
      <c r="U73" s="34">
        <f t="shared" si="15"/>
        <v>592.08299999999997</v>
      </c>
    </row>
    <row r="74" spans="1:26">
      <c r="A74" s="62" t="s">
        <v>178</v>
      </c>
      <c r="B74" s="8" t="s">
        <v>215</v>
      </c>
      <c r="C74" s="62" t="s">
        <v>54</v>
      </c>
      <c r="D74" s="8" t="s">
        <v>34</v>
      </c>
      <c r="E74" s="63">
        <v>2</v>
      </c>
      <c r="F74" s="32">
        <f>SUM(E74)</f>
        <v>2</v>
      </c>
      <c r="G74" s="50">
        <v>1118.72</v>
      </c>
      <c r="H74" s="64">
        <f t="shared" si="17"/>
        <v>2.2374399999999999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f>G74*(2+2+9)</f>
        <v>14543.36</v>
      </c>
      <c r="R74" s="34">
        <f>G74</f>
        <v>1118.72</v>
      </c>
      <c r="S74" s="34">
        <v>0</v>
      </c>
      <c r="T74" s="34">
        <v>0</v>
      </c>
      <c r="U74" s="34">
        <f t="shared" si="15"/>
        <v>0</v>
      </c>
    </row>
    <row r="75" spans="1:26">
      <c r="A75" s="143" t="s">
        <v>191</v>
      </c>
      <c r="B75" s="144" t="s">
        <v>216</v>
      </c>
      <c r="C75" s="143" t="s">
        <v>54</v>
      </c>
      <c r="D75" s="8" t="s">
        <v>34</v>
      </c>
      <c r="E75" s="63">
        <v>1</v>
      </c>
      <c r="F75" s="61">
        <v>1</v>
      </c>
      <c r="G75" s="50">
        <v>1605.83</v>
      </c>
      <c r="H75" s="64">
        <f>SUM(F75*G75/1000)</f>
        <v>1.6058299999999999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f>G75</f>
        <v>1605.83</v>
      </c>
      <c r="R75" s="34">
        <v>0</v>
      </c>
      <c r="S75" s="34">
        <v>0</v>
      </c>
      <c r="T75" s="34">
        <v>0</v>
      </c>
      <c r="U75" s="34">
        <f t="shared" si="15"/>
        <v>0</v>
      </c>
    </row>
    <row r="76" spans="1:26" ht="25.5">
      <c r="A76" s="143" t="s">
        <v>217</v>
      </c>
      <c r="B76" s="144" t="s">
        <v>218</v>
      </c>
      <c r="C76" s="143" t="s">
        <v>54</v>
      </c>
      <c r="D76" s="8" t="s">
        <v>95</v>
      </c>
      <c r="E76" s="153">
        <v>2</v>
      </c>
      <c r="F76" s="60">
        <f>E76*12</f>
        <v>24</v>
      </c>
      <c r="G76" s="154">
        <v>53.42</v>
      </c>
      <c r="H76" s="64">
        <f t="shared" ref="H76:H77" si="18">SUM(F76*G76/1000)</f>
        <v>1.2820799999999999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f>F76/12*G76</f>
        <v>106.84</v>
      </c>
      <c r="T76" s="34">
        <f>F76/12*G76</f>
        <v>106.84</v>
      </c>
      <c r="U76" s="34">
        <f t="shared" si="15"/>
        <v>213.68</v>
      </c>
    </row>
    <row r="77" spans="1:26" ht="12.75" customHeight="1">
      <c r="A77" s="62"/>
      <c r="B77" s="155" t="s">
        <v>219</v>
      </c>
      <c r="C77" s="62"/>
      <c r="D77" s="8" t="s">
        <v>95</v>
      </c>
      <c r="E77" s="63">
        <v>1</v>
      </c>
      <c r="F77" s="50">
        <v>12</v>
      </c>
      <c r="G77" s="50">
        <v>1194</v>
      </c>
      <c r="H77" s="64">
        <f t="shared" si="18"/>
        <v>14.327999999999999</v>
      </c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>
        <f>F77/12*G77</f>
        <v>1194</v>
      </c>
      <c r="T77" s="34">
        <f>F77/12*G77</f>
        <v>1194</v>
      </c>
      <c r="U77" s="34">
        <f t="shared" si="15"/>
        <v>2388</v>
      </c>
    </row>
    <row r="78" spans="1:26">
      <c r="A78" s="143"/>
      <c r="B78" s="156" t="s">
        <v>221</v>
      </c>
      <c r="C78" s="143"/>
      <c r="D78" s="8"/>
      <c r="E78" s="63"/>
      <c r="F78" s="50"/>
      <c r="G78" s="50"/>
      <c r="H78" s="6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1:26" ht="25.5">
      <c r="A79" s="62"/>
      <c r="B79" s="8" t="s">
        <v>222</v>
      </c>
      <c r="C79" s="150" t="s">
        <v>223</v>
      </c>
      <c r="D79" s="8" t="s">
        <v>34</v>
      </c>
      <c r="E79" s="63">
        <v>2626.5</v>
      </c>
      <c r="F79" s="50">
        <f>SUM(E79*12)</f>
        <v>31518</v>
      </c>
      <c r="G79" s="50">
        <v>2.2799999999999998</v>
      </c>
      <c r="H79" s="64">
        <f t="shared" ref="H79" si="19">SUM(F79*G79/1000)</f>
        <v>71.861039999999988</v>
      </c>
      <c r="I79" s="34">
        <f>F79/12*G79</f>
        <v>5988.4199999999992</v>
      </c>
      <c r="J79" s="34">
        <f>F79/12*G79</f>
        <v>5988.4199999999992</v>
      </c>
      <c r="K79" s="34">
        <f>F79/12*G79</f>
        <v>5988.4199999999992</v>
      </c>
      <c r="L79" s="34">
        <f>F79/12*G79</f>
        <v>5988.4199999999992</v>
      </c>
      <c r="M79" s="34">
        <f>F79/12*G79</f>
        <v>5988.4199999999992</v>
      </c>
      <c r="N79" s="34">
        <f>F79/12*G79</f>
        <v>5988.4199999999992</v>
      </c>
      <c r="O79" s="34">
        <f>F79/12*G79</f>
        <v>5988.4199999999992</v>
      </c>
      <c r="P79" s="34">
        <f>F79/12*G79</f>
        <v>5988.4199999999992</v>
      </c>
      <c r="Q79" s="34">
        <f>F79/12*G79</f>
        <v>5988.4199999999992</v>
      </c>
      <c r="R79" s="34">
        <f>F79/12*G79</f>
        <v>5988.4199999999992</v>
      </c>
      <c r="S79" s="34">
        <f>F79/12*G79</f>
        <v>5988.4199999999992</v>
      </c>
      <c r="T79" s="34">
        <f>F79/12*G79</f>
        <v>5988.4199999999992</v>
      </c>
      <c r="U79" s="34">
        <f t="shared" si="15"/>
        <v>11976.839999999998</v>
      </c>
    </row>
    <row r="80" spans="1:26">
      <c r="A80" s="135"/>
      <c r="B80" s="67" t="s">
        <v>76</v>
      </c>
      <c r="C80" s="62"/>
      <c r="D80" s="8"/>
      <c r="E80" s="63"/>
      <c r="F80" s="50"/>
      <c r="G80" s="50" t="s">
        <v>38</v>
      </c>
      <c r="H80" s="64" t="s">
        <v>38</v>
      </c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spans="1:26" s="1" customFormat="1">
      <c r="A81" s="65" t="s">
        <v>77</v>
      </c>
      <c r="B81" s="68" t="s">
        <v>224</v>
      </c>
      <c r="C81" s="65" t="s">
        <v>70</v>
      </c>
      <c r="D81" s="15"/>
      <c r="E81" s="69"/>
      <c r="F81" s="51">
        <v>0.5</v>
      </c>
      <c r="G81" s="51">
        <v>3619.09</v>
      </c>
      <c r="H81" s="64">
        <f t="shared" si="16"/>
        <v>1.8095450000000002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34">
        <f t="shared" si="15"/>
        <v>0</v>
      </c>
      <c r="V81" s="152"/>
      <c r="W81" s="152"/>
      <c r="X81" s="152"/>
      <c r="Y81" s="152"/>
      <c r="Z81" s="152"/>
    </row>
    <row r="82" spans="1:26" s="20" customFormat="1">
      <c r="A82" s="136"/>
      <c r="B82" s="19" t="s">
        <v>25</v>
      </c>
      <c r="C82" s="70"/>
      <c r="D82" s="71"/>
      <c r="E82" s="72"/>
      <c r="F82" s="55"/>
      <c r="G82" s="55"/>
      <c r="H82" s="73">
        <f>SUM(H57:H81)</f>
        <v>220.09149596000003</v>
      </c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>
        <f>SUM(U57:U81)</f>
        <v>28313.898999999998</v>
      </c>
      <c r="V82" s="152"/>
      <c r="W82" s="152"/>
      <c r="X82" s="152"/>
      <c r="Y82" s="152"/>
      <c r="Z82" s="152"/>
    </row>
    <row r="83" spans="1:26">
      <c r="A83" s="137" t="s">
        <v>119</v>
      </c>
      <c r="B83" s="10" t="s">
        <v>120</v>
      </c>
      <c r="C83" s="75"/>
      <c r="D83" s="76"/>
      <c r="E83" s="120"/>
      <c r="F83" s="77">
        <v>1</v>
      </c>
      <c r="G83" s="78">
        <v>8275.7000000000007</v>
      </c>
      <c r="H83" s="64">
        <f>G83*F83/1000</f>
        <v>8.2757000000000005</v>
      </c>
      <c r="I83" s="34">
        <v>0</v>
      </c>
      <c r="J83" s="34">
        <f>G83</f>
        <v>8275.7000000000007</v>
      </c>
      <c r="K83" s="34">
        <v>0</v>
      </c>
      <c r="L83" s="34">
        <v>0</v>
      </c>
      <c r="M83" s="35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f t="shared" si="15"/>
        <v>0</v>
      </c>
    </row>
    <row r="84" spans="1:26" ht="12.75" customHeight="1">
      <c r="A84" s="62"/>
      <c r="B84" s="74" t="s">
        <v>78</v>
      </c>
      <c r="C84" s="62" t="s">
        <v>79</v>
      </c>
      <c r="D84" s="79"/>
      <c r="E84" s="50">
        <v>2626.5</v>
      </c>
      <c r="F84" s="50">
        <f>SUM(E84*12)</f>
        <v>31518</v>
      </c>
      <c r="G84" s="80">
        <v>3.1</v>
      </c>
      <c r="H84" s="64">
        <f>SUM(F84*G84/1000)</f>
        <v>97.705799999999996</v>
      </c>
      <c r="I84" s="34">
        <f>F84/12*G84</f>
        <v>8142.1500000000005</v>
      </c>
      <c r="J84" s="34">
        <f>F84/12*G84</f>
        <v>8142.1500000000005</v>
      </c>
      <c r="K84" s="34">
        <f>F84/12*G84</f>
        <v>8142.1500000000005</v>
      </c>
      <c r="L84" s="34">
        <f>F84/12*G84</f>
        <v>8142.1500000000005</v>
      </c>
      <c r="M84" s="34">
        <f>F84/12*G84</f>
        <v>8142.1500000000005</v>
      </c>
      <c r="N84" s="34">
        <f>F84/12*G84</f>
        <v>8142.1500000000005</v>
      </c>
      <c r="O84" s="34">
        <f>F84/12*G84</f>
        <v>8142.1500000000005</v>
      </c>
      <c r="P84" s="34">
        <f>F84/12*G84</f>
        <v>8142.1500000000005</v>
      </c>
      <c r="Q84" s="34">
        <f>F84/12*G84</f>
        <v>8142.1500000000005</v>
      </c>
      <c r="R84" s="34">
        <f>F84/12*G84</f>
        <v>8142.1500000000005</v>
      </c>
      <c r="S84" s="34">
        <f>F84/12*G84</f>
        <v>8142.1500000000005</v>
      </c>
      <c r="T84" s="34">
        <f>F84/12*G84</f>
        <v>8142.1500000000005</v>
      </c>
      <c r="U84" s="34">
        <f t="shared" si="15"/>
        <v>16284.300000000001</v>
      </c>
    </row>
    <row r="85" spans="1:26" s="18" customFormat="1">
      <c r="A85" s="81"/>
      <c r="B85" s="19" t="s">
        <v>25</v>
      </c>
      <c r="C85" s="82"/>
      <c r="D85" s="83"/>
      <c r="E85" s="84"/>
      <c r="F85" s="41"/>
      <c r="G85" s="85"/>
      <c r="H85" s="42">
        <f>SUM(H83:H84)</f>
        <v>105.9815</v>
      </c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>
        <f>SUM(U83:U84)</f>
        <v>16284.300000000001</v>
      </c>
      <c r="V85" s="152"/>
      <c r="W85" s="152"/>
      <c r="X85" s="152"/>
      <c r="Y85" s="152"/>
      <c r="Z85" s="152"/>
    </row>
    <row r="86" spans="1:26" ht="25.5" customHeight="1">
      <c r="A86" s="135"/>
      <c r="B86" s="8" t="s">
        <v>80</v>
      </c>
      <c r="C86" s="62"/>
      <c r="D86" s="86"/>
      <c r="E86" s="31">
        <f>E84</f>
        <v>2626.5</v>
      </c>
      <c r="F86" s="50">
        <f>E86*12</f>
        <v>31518</v>
      </c>
      <c r="G86" s="50">
        <v>3.5</v>
      </c>
      <c r="H86" s="64">
        <f>F86*G86/1000</f>
        <v>110.313</v>
      </c>
      <c r="I86" s="34">
        <f>F86/12*G86</f>
        <v>9192.75</v>
      </c>
      <c r="J86" s="34">
        <f>F86/12*G86</f>
        <v>9192.75</v>
      </c>
      <c r="K86" s="34">
        <f>F86/12*G86</f>
        <v>9192.75</v>
      </c>
      <c r="L86" s="34">
        <f>F86/12*G86</f>
        <v>9192.75</v>
      </c>
      <c r="M86" s="34">
        <f>F86/12*G86</f>
        <v>9192.75</v>
      </c>
      <c r="N86" s="34">
        <f>F86/12*G86</f>
        <v>9192.75</v>
      </c>
      <c r="O86" s="34">
        <f>F86/12*G86</f>
        <v>9192.75</v>
      </c>
      <c r="P86" s="34">
        <f>F86/12*G86</f>
        <v>9192.75</v>
      </c>
      <c r="Q86" s="34">
        <f>F86/12*G86</f>
        <v>9192.75</v>
      </c>
      <c r="R86" s="34">
        <f>F86/12*G86</f>
        <v>9192.75</v>
      </c>
      <c r="S86" s="34">
        <f>F86/12*G86</f>
        <v>9192.75</v>
      </c>
      <c r="T86" s="34">
        <f>F86/12*G86</f>
        <v>9192.75</v>
      </c>
      <c r="U86" s="34">
        <f t="shared" si="15"/>
        <v>18385.5</v>
      </c>
    </row>
    <row r="87" spans="1:26" s="18" customFormat="1">
      <c r="A87" s="81"/>
      <c r="B87" s="87" t="s">
        <v>81</v>
      </c>
      <c r="C87" s="88"/>
      <c r="D87" s="87"/>
      <c r="E87" s="41"/>
      <c r="F87" s="41"/>
      <c r="G87" s="41"/>
      <c r="H87" s="73">
        <f>H86</f>
        <v>110.313</v>
      </c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116">
        <f>U86</f>
        <v>18385.5</v>
      </c>
      <c r="V87" s="152"/>
      <c r="W87" s="152"/>
      <c r="X87" s="152"/>
      <c r="Y87" s="152"/>
      <c r="Z87" s="152"/>
    </row>
    <row r="88" spans="1:26" s="18" customFormat="1">
      <c r="A88" s="81"/>
      <c r="B88" s="87" t="s">
        <v>82</v>
      </c>
      <c r="C88" s="89"/>
      <c r="D88" s="90"/>
      <c r="E88" s="91"/>
      <c r="F88" s="91"/>
      <c r="G88" s="91"/>
      <c r="H88" s="73">
        <f>SUM(H87+H85+H82+H55+H43+H33+H22)</f>
        <v>803.78891817066676</v>
      </c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116">
        <f>SUM(U87+U85+U82+U55+U43+U33+U22)</f>
        <v>126405.34450166668</v>
      </c>
      <c r="V88" s="152"/>
      <c r="W88" s="152"/>
      <c r="X88" s="152"/>
      <c r="Y88" s="152"/>
      <c r="Z88" s="152"/>
    </row>
    <row r="89" spans="1:26">
      <c r="A89" s="135"/>
      <c r="B89" s="86" t="s">
        <v>83</v>
      </c>
      <c r="C89" s="62"/>
      <c r="D89" s="86"/>
      <c r="E89" s="50"/>
      <c r="F89" s="50"/>
      <c r="G89" s="50" t="s">
        <v>84</v>
      </c>
      <c r="H89" s="92">
        <f>E86</f>
        <v>2626.5</v>
      </c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spans="1:26" s="18" customFormat="1">
      <c r="A90" s="81"/>
      <c r="B90" s="90" t="s">
        <v>85</v>
      </c>
      <c r="C90" s="89"/>
      <c r="D90" s="90"/>
      <c r="E90" s="91"/>
      <c r="F90" s="91"/>
      <c r="G90" s="91"/>
      <c r="H90" s="93">
        <f>SUM(H88/H89/12*1000)</f>
        <v>25.5025356358483</v>
      </c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117"/>
      <c r="V90" s="152"/>
      <c r="W90" s="152"/>
      <c r="X90" s="152"/>
      <c r="Y90" s="152"/>
      <c r="Z90" s="152"/>
    </row>
    <row r="91" spans="1:26">
      <c r="A91" s="94"/>
      <c r="B91" s="86"/>
      <c r="C91" s="62"/>
      <c r="D91" s="86"/>
      <c r="E91" s="50"/>
      <c r="F91" s="50"/>
      <c r="G91" s="50"/>
      <c r="H91" s="95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118"/>
    </row>
    <row r="92" spans="1:26">
      <c r="A92" s="135"/>
      <c r="B92" s="67" t="s">
        <v>86</v>
      </c>
      <c r="C92" s="62"/>
      <c r="D92" s="86"/>
      <c r="E92" s="50"/>
      <c r="F92" s="50"/>
      <c r="G92" s="50"/>
      <c r="H92" s="50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1:26" ht="25.5">
      <c r="A93" s="140" t="s">
        <v>102</v>
      </c>
      <c r="B93" s="141" t="s">
        <v>127</v>
      </c>
      <c r="C93" s="142" t="s">
        <v>124</v>
      </c>
      <c r="D93" s="8"/>
      <c r="E93" s="63"/>
      <c r="F93" s="50">
        <v>2</v>
      </c>
      <c r="G93" s="50">
        <v>403.69</v>
      </c>
      <c r="H93" s="64">
        <f>G93*F93/1000</f>
        <v>0.80737999999999999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f>G93*2</f>
        <v>807.38</v>
      </c>
      <c r="T93" s="34">
        <v>0</v>
      </c>
      <c r="U93" s="34">
        <f t="shared" ref="U93:U102" si="20">SUM(S93:T93)</f>
        <v>807.38</v>
      </c>
    </row>
    <row r="94" spans="1:26" ht="25.5">
      <c r="A94" s="122" t="s">
        <v>192</v>
      </c>
      <c r="B94" s="123" t="s">
        <v>193</v>
      </c>
      <c r="C94" s="122" t="s">
        <v>122</v>
      </c>
      <c r="D94" s="8"/>
      <c r="E94" s="63"/>
      <c r="F94" s="50">
        <v>1</v>
      </c>
      <c r="G94" s="50">
        <v>897.94</v>
      </c>
      <c r="H94" s="64">
        <f>G94*F94/1000</f>
        <v>0.89794000000000007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f>G94</f>
        <v>897.94</v>
      </c>
      <c r="T94" s="34">
        <v>0</v>
      </c>
      <c r="U94" s="34">
        <f t="shared" si="20"/>
        <v>897.94</v>
      </c>
    </row>
    <row r="95" spans="1:26" ht="25.5">
      <c r="A95" s="145" t="s">
        <v>182</v>
      </c>
      <c r="B95" s="123" t="s">
        <v>121</v>
      </c>
      <c r="C95" s="122" t="s">
        <v>54</v>
      </c>
      <c r="D95" s="8"/>
      <c r="E95" s="63"/>
      <c r="F95" s="50">
        <v>1</v>
      </c>
      <c r="G95" s="50">
        <v>83.36</v>
      </c>
      <c r="H95" s="64">
        <f t="shared" ref="H95" si="21">G95*F95/1000</f>
        <v>8.3360000000000004E-2</v>
      </c>
      <c r="I95" s="34">
        <v>0</v>
      </c>
      <c r="J95" s="34">
        <f>G95</f>
        <v>83.36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f>G95</f>
        <v>83.36</v>
      </c>
      <c r="T95" s="34">
        <v>0</v>
      </c>
      <c r="U95" s="34">
        <f t="shared" si="20"/>
        <v>83.36</v>
      </c>
    </row>
    <row r="96" spans="1:26" ht="25.5">
      <c r="A96" s="122" t="s">
        <v>179</v>
      </c>
      <c r="B96" s="123" t="s">
        <v>116</v>
      </c>
      <c r="C96" s="122" t="s">
        <v>54</v>
      </c>
      <c r="D96" s="8"/>
      <c r="E96" s="63"/>
      <c r="F96" s="50">
        <v>90</v>
      </c>
      <c r="G96" s="50">
        <v>53.42</v>
      </c>
      <c r="H96" s="64">
        <f>G96*F96/1000</f>
        <v>4.8078000000000003</v>
      </c>
      <c r="I96" s="34">
        <f>G96*46</f>
        <v>2457.3200000000002</v>
      </c>
      <c r="J96" s="34">
        <f>G96*46</f>
        <v>2457.3200000000002</v>
      </c>
      <c r="K96" s="34">
        <f>G96*46</f>
        <v>2457.3200000000002</v>
      </c>
      <c r="L96" s="34">
        <f>G96*46</f>
        <v>2457.3200000000002</v>
      </c>
      <c r="M96" s="34">
        <f>G96*46</f>
        <v>2457.3200000000002</v>
      </c>
      <c r="N96" s="34">
        <f>G96*46</f>
        <v>2457.3200000000002</v>
      </c>
      <c r="O96" s="34">
        <f>G96*46</f>
        <v>2457.3200000000002</v>
      </c>
      <c r="P96" s="34">
        <f>G96*46</f>
        <v>2457.3200000000002</v>
      </c>
      <c r="Q96" s="34">
        <f>G96*46</f>
        <v>2457.3200000000002</v>
      </c>
      <c r="R96" s="34">
        <f>G96*46</f>
        <v>2457.3200000000002</v>
      </c>
      <c r="S96" s="34">
        <f>G96*45</f>
        <v>2403.9</v>
      </c>
      <c r="T96" s="34">
        <f>G96*45</f>
        <v>2403.9</v>
      </c>
      <c r="U96" s="34">
        <f t="shared" si="20"/>
        <v>4807.8</v>
      </c>
    </row>
    <row r="97" spans="1:26">
      <c r="A97" s="146" t="s">
        <v>195</v>
      </c>
      <c r="B97" s="147" t="s">
        <v>194</v>
      </c>
      <c r="C97" s="148" t="s">
        <v>54</v>
      </c>
      <c r="D97" s="8"/>
      <c r="E97" s="63"/>
      <c r="F97" s="50">
        <v>1</v>
      </c>
      <c r="G97" s="50">
        <v>311.55</v>
      </c>
      <c r="H97" s="64">
        <f t="shared" ref="H97:H100" si="22">G97*F97/1000</f>
        <v>0.31154999999999999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f>G97</f>
        <v>311.55</v>
      </c>
      <c r="T97" s="34">
        <v>0</v>
      </c>
      <c r="U97" s="34">
        <f t="shared" si="20"/>
        <v>311.55</v>
      </c>
    </row>
    <row r="98" spans="1:26">
      <c r="A98" s="146" t="s">
        <v>196</v>
      </c>
      <c r="B98" s="149" t="s">
        <v>197</v>
      </c>
      <c r="C98" s="150" t="s">
        <v>17</v>
      </c>
      <c r="D98" s="8"/>
      <c r="E98" s="63"/>
      <c r="F98" s="50">
        <f>1.4/10</f>
        <v>0.13999999999999999</v>
      </c>
      <c r="G98" s="50">
        <v>3282.12</v>
      </c>
      <c r="H98" s="64">
        <f t="shared" si="22"/>
        <v>0.45949679999999993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f>G98*F98</f>
        <v>459.49679999999995</v>
      </c>
      <c r="T98" s="34">
        <v>0</v>
      </c>
      <c r="U98" s="34">
        <f t="shared" si="20"/>
        <v>459.49679999999995</v>
      </c>
    </row>
    <row r="99" spans="1:26">
      <c r="A99" s="122" t="s">
        <v>180</v>
      </c>
      <c r="B99" s="123" t="s">
        <v>137</v>
      </c>
      <c r="C99" s="122" t="s">
        <v>126</v>
      </c>
      <c r="D99" s="8"/>
      <c r="E99" s="63"/>
      <c r="F99" s="50">
        <v>2</v>
      </c>
      <c r="G99" s="50">
        <v>195.85</v>
      </c>
      <c r="H99" s="64">
        <f t="shared" si="22"/>
        <v>0.39169999999999999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f>G99*2</f>
        <v>391.7</v>
      </c>
      <c r="Q99" s="34">
        <v>0</v>
      </c>
      <c r="R99" s="34">
        <v>0</v>
      </c>
      <c r="S99" s="34">
        <v>0</v>
      </c>
      <c r="T99" s="34">
        <f>G99*2</f>
        <v>391.7</v>
      </c>
      <c r="U99" s="34">
        <f t="shared" si="20"/>
        <v>391.7</v>
      </c>
    </row>
    <row r="100" spans="1:26" ht="25.5">
      <c r="A100" s="140" t="s">
        <v>138</v>
      </c>
      <c r="B100" s="141" t="s">
        <v>183</v>
      </c>
      <c r="C100" s="142" t="s">
        <v>122</v>
      </c>
      <c r="D100" s="8"/>
      <c r="E100" s="63"/>
      <c r="F100" s="50">
        <v>0.6</v>
      </c>
      <c r="G100" s="125">
        <v>1272</v>
      </c>
      <c r="H100" s="64">
        <f t="shared" si="22"/>
        <v>0.76319999999999988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f>G100</f>
        <v>1272</v>
      </c>
      <c r="P100" s="34">
        <v>0</v>
      </c>
      <c r="Q100" s="34">
        <v>0</v>
      </c>
      <c r="R100" s="34">
        <f>G100*0.3</f>
        <v>381.59999999999997</v>
      </c>
      <c r="S100" s="34">
        <v>0</v>
      </c>
      <c r="T100" s="34">
        <f>G100*(0.3+0.3)</f>
        <v>763.19999999999993</v>
      </c>
      <c r="U100" s="34">
        <f t="shared" si="20"/>
        <v>763.19999999999993</v>
      </c>
    </row>
    <row r="101" spans="1:26" ht="25.5">
      <c r="A101" s="145" t="s">
        <v>181</v>
      </c>
      <c r="B101" s="123" t="s">
        <v>123</v>
      </c>
      <c r="C101" s="122" t="s">
        <v>125</v>
      </c>
      <c r="D101" s="8"/>
      <c r="E101" s="63"/>
      <c r="F101" s="50">
        <v>1</v>
      </c>
      <c r="G101" s="50">
        <v>589.84</v>
      </c>
      <c r="H101" s="64">
        <f>G101*F101/1000</f>
        <v>0.58984000000000003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>G101*(3+2)</f>
        <v>2949.2000000000003</v>
      </c>
      <c r="S101" s="34">
        <v>0</v>
      </c>
      <c r="T101" s="34">
        <f>G101</f>
        <v>589.84</v>
      </c>
      <c r="U101" s="34">
        <f t="shared" si="20"/>
        <v>589.84</v>
      </c>
    </row>
    <row r="102" spans="1:26" ht="25.5">
      <c r="A102" s="122" t="s">
        <v>186</v>
      </c>
      <c r="B102" s="123" t="s">
        <v>185</v>
      </c>
      <c r="C102" s="122" t="s">
        <v>54</v>
      </c>
      <c r="D102" s="8"/>
      <c r="E102" s="63"/>
      <c r="F102" s="50">
        <v>1</v>
      </c>
      <c r="G102" s="50">
        <v>189.88</v>
      </c>
      <c r="H102" s="50">
        <f>G102*F102/1000</f>
        <v>0.18987999999999999</v>
      </c>
      <c r="I102" s="34">
        <f>G102</f>
        <v>189.88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f>G102*2</f>
        <v>379.76</v>
      </c>
      <c r="P102" s="34">
        <f>G102</f>
        <v>189.88</v>
      </c>
      <c r="Q102" s="34">
        <v>0</v>
      </c>
      <c r="R102" s="34">
        <f>G102*2</f>
        <v>379.76</v>
      </c>
      <c r="S102" s="34">
        <v>0</v>
      </c>
      <c r="T102" s="34">
        <f>G102</f>
        <v>189.88</v>
      </c>
      <c r="U102" s="34">
        <f t="shared" si="20"/>
        <v>189.88</v>
      </c>
    </row>
    <row r="103" spans="1:26">
      <c r="A103" s="96"/>
      <c r="B103" s="97" t="s">
        <v>87</v>
      </c>
      <c r="C103" s="96"/>
      <c r="D103" s="96"/>
      <c r="E103" s="91"/>
      <c r="F103" s="91"/>
      <c r="G103" s="91"/>
      <c r="H103" s="42">
        <f>SUM(H92:H102)</f>
        <v>9.3021468000000009</v>
      </c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41">
        <f>SUM(U92:U102)</f>
        <v>9302.1468000000004</v>
      </c>
    </row>
    <row r="104" spans="1:26" ht="12" customHeight="1">
      <c r="A104" s="94"/>
      <c r="B104" s="98"/>
      <c r="C104" s="99"/>
      <c r="D104" s="99"/>
      <c r="E104" s="50"/>
      <c r="F104" s="50"/>
      <c r="G104" s="50"/>
      <c r="H104" s="100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119"/>
    </row>
    <row r="105" spans="1:26" s="18" customFormat="1" ht="25.5">
      <c r="A105" s="135"/>
      <c r="B105" s="17" t="s">
        <v>88</v>
      </c>
      <c r="C105" s="62"/>
      <c r="D105" s="86"/>
      <c r="E105" s="50"/>
      <c r="F105" s="50"/>
      <c r="G105" s="50"/>
      <c r="H105" s="101">
        <f>H103/E106/12*1000</f>
        <v>0.29513759756329716</v>
      </c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119"/>
      <c r="V105" s="152"/>
      <c r="W105" s="152"/>
      <c r="X105" s="152"/>
      <c r="Y105" s="152"/>
      <c r="Z105" s="152"/>
    </row>
    <row r="106" spans="1:26">
      <c r="A106" s="81"/>
      <c r="B106" s="102" t="s">
        <v>89</v>
      </c>
      <c r="C106" s="103"/>
      <c r="D106" s="102"/>
      <c r="E106" s="138">
        <v>2626.5</v>
      </c>
      <c r="F106" s="104">
        <f>SUM(E106*12)</f>
        <v>31518</v>
      </c>
      <c r="G106" s="105">
        <f>H90+H105</f>
        <v>25.797673233411597</v>
      </c>
      <c r="H106" s="106">
        <f>SUM(F106*G106/1000)</f>
        <v>813.09106497066682</v>
      </c>
      <c r="I106" s="91">
        <f t="shared" ref="I106:T106" si="23">SUM(I11:I105)</f>
        <v>59489.315520833334</v>
      </c>
      <c r="J106" s="91">
        <f t="shared" si="23"/>
        <v>67072.301120833334</v>
      </c>
      <c r="K106" s="91">
        <f t="shared" si="23"/>
        <v>54052.812935833339</v>
      </c>
      <c r="L106" s="91">
        <f t="shared" si="23"/>
        <v>74682.434735833347</v>
      </c>
      <c r="M106" s="91">
        <f t="shared" si="23"/>
        <v>161573.35251177778</v>
      </c>
      <c r="N106" s="91">
        <f t="shared" si="23"/>
        <v>47875.553512777777</v>
      </c>
      <c r="O106" s="91">
        <f t="shared" si="23"/>
        <v>49238.467912777778</v>
      </c>
      <c r="P106" s="91">
        <f t="shared" si="23"/>
        <v>55918.953512777771</v>
      </c>
      <c r="Q106" s="91">
        <f t="shared" si="23"/>
        <v>80792.087197777772</v>
      </c>
      <c r="R106" s="91">
        <f t="shared" si="23"/>
        <v>52704.833512777775</v>
      </c>
      <c r="S106" s="91">
        <f t="shared" si="23"/>
        <v>62216.894658333345</v>
      </c>
      <c r="T106" s="91">
        <f t="shared" si="23"/>
        <v>73490.596643333323</v>
      </c>
      <c r="U106" s="41">
        <f>U88+U103</f>
        <v>135707.49130166668</v>
      </c>
    </row>
    <row r="107" spans="1:26">
      <c r="A107" s="66"/>
      <c r="B107" s="66"/>
      <c r="C107" s="66"/>
      <c r="D107" s="66"/>
      <c r="E107" s="107"/>
      <c r="F107" s="107"/>
      <c r="G107" s="107"/>
      <c r="H107" s="107"/>
      <c r="I107" s="107"/>
      <c r="J107" s="107"/>
      <c r="K107" s="107"/>
      <c r="L107" s="107"/>
      <c r="M107" s="66"/>
      <c r="N107" s="107"/>
      <c r="O107" s="66"/>
      <c r="P107" s="66"/>
      <c r="Q107" s="66"/>
      <c r="R107" s="66"/>
      <c r="S107" s="66"/>
      <c r="T107" s="66"/>
      <c r="U107" s="66"/>
    </row>
    <row r="108" spans="1:26">
      <c r="A108" s="66"/>
      <c r="B108" s="66"/>
      <c r="C108" s="66"/>
      <c r="D108" s="66"/>
      <c r="E108" s="107"/>
      <c r="F108" s="107"/>
      <c r="G108" s="107"/>
      <c r="H108" s="107"/>
      <c r="I108" s="107"/>
      <c r="J108" s="108"/>
      <c r="K108" s="109"/>
      <c r="L108" s="108"/>
      <c r="M108" s="107"/>
      <c r="N108" s="66"/>
      <c r="O108" s="66"/>
      <c r="P108" s="66"/>
      <c r="Q108" s="66"/>
      <c r="R108" s="66"/>
      <c r="S108" s="66"/>
      <c r="T108" s="66"/>
      <c r="U108" s="66"/>
    </row>
    <row r="109" spans="1:26" ht="45">
      <c r="A109" s="66"/>
      <c r="B109" s="114" t="s">
        <v>184</v>
      </c>
      <c r="C109" s="161">
        <v>392443.95</v>
      </c>
      <c r="D109" s="162"/>
      <c r="E109" s="162"/>
      <c r="F109" s="163"/>
      <c r="G109" s="107"/>
      <c r="H109" s="107"/>
      <c r="I109" s="107"/>
      <c r="J109" s="108"/>
      <c r="K109" s="109"/>
      <c r="L109" s="108"/>
      <c r="M109" s="107"/>
      <c r="N109" s="66"/>
      <c r="O109" s="66"/>
      <c r="P109" s="66"/>
      <c r="Q109" s="66"/>
      <c r="R109" s="66"/>
      <c r="S109" s="66"/>
      <c r="T109" s="66"/>
      <c r="U109" s="66"/>
    </row>
    <row r="110" spans="1:26" ht="30">
      <c r="A110" s="66"/>
      <c r="B110" s="114" t="s">
        <v>187</v>
      </c>
      <c r="C110" s="165">
        <f>(58329.78*3)+(58327.85*3)+(58358.63*3)+201287.3+72070.87</f>
        <v>798406.95000000007</v>
      </c>
      <c r="D110" s="166"/>
      <c r="E110" s="166"/>
      <c r="F110" s="167"/>
      <c r="G110" s="107"/>
      <c r="H110" s="107"/>
      <c r="I110" s="107"/>
      <c r="J110" s="108"/>
      <c r="K110" s="109"/>
      <c r="L110" s="108"/>
      <c r="M110" s="107"/>
      <c r="N110" s="66"/>
      <c r="O110" s="66"/>
      <c r="P110" s="66"/>
      <c r="Q110" s="66"/>
      <c r="R110" s="66"/>
      <c r="S110" s="66"/>
      <c r="T110" s="66"/>
      <c r="U110" s="66"/>
    </row>
    <row r="111" spans="1:26" ht="30">
      <c r="A111" s="66"/>
      <c r="B111" s="114" t="s">
        <v>188</v>
      </c>
      <c r="C111" s="165">
        <f>SUM(U106-U103)+495150.88</f>
        <v>621556.22450166673</v>
      </c>
      <c r="D111" s="166"/>
      <c r="E111" s="166"/>
      <c r="F111" s="167"/>
      <c r="G111" s="107"/>
      <c r="H111" s="107"/>
      <c r="I111" s="107"/>
      <c r="J111" s="108"/>
      <c r="K111" s="109"/>
      <c r="L111" s="108"/>
      <c r="M111" s="107"/>
      <c r="N111" s="66"/>
      <c r="O111" s="66"/>
      <c r="P111" s="66"/>
      <c r="Q111" s="66"/>
      <c r="R111" s="66"/>
      <c r="S111" s="66"/>
      <c r="T111" s="66"/>
      <c r="U111" s="66"/>
    </row>
    <row r="112" spans="1:26" ht="30">
      <c r="A112" s="66"/>
      <c r="B112" s="114" t="s">
        <v>189</v>
      </c>
      <c r="C112" s="165">
        <f>SUM(U103)+68828.87</f>
        <v>78131.016799999998</v>
      </c>
      <c r="D112" s="166"/>
      <c r="E112" s="166"/>
      <c r="F112" s="167"/>
      <c r="G112" s="107"/>
      <c r="H112" s="107"/>
      <c r="I112" s="107"/>
      <c r="J112" s="108"/>
      <c r="K112" s="109"/>
      <c r="L112" s="108"/>
      <c r="M112" s="107"/>
      <c r="N112" s="66"/>
      <c r="O112" s="66"/>
      <c r="P112" s="66"/>
      <c r="Q112" s="66"/>
      <c r="R112" s="66"/>
      <c r="S112" s="66"/>
      <c r="T112" s="66"/>
      <c r="U112" s="66"/>
    </row>
    <row r="113" spans="1:21" ht="18">
      <c r="A113" s="66"/>
      <c r="B113" s="115" t="s">
        <v>190</v>
      </c>
      <c r="C113" s="165">
        <f>(55397.33+47980.87+65829.16+50002.72+63962.01+49582.39+61164.09+52682.33+50196.35)+55701.19+149688.04</f>
        <v>702186.4800000001</v>
      </c>
      <c r="D113" s="166"/>
      <c r="E113" s="166"/>
      <c r="F113" s="167"/>
      <c r="G113" s="66"/>
      <c r="H113" s="110" t="s">
        <v>93</v>
      </c>
      <c r="J113" s="111"/>
      <c r="K113" s="112"/>
      <c r="L113" s="113"/>
      <c r="M113" s="110"/>
      <c r="N113" s="110"/>
      <c r="O113" s="66"/>
      <c r="P113" s="66"/>
      <c r="Q113" s="66"/>
      <c r="R113" s="66"/>
      <c r="S113" s="66"/>
      <c r="T113" s="66"/>
      <c r="U113" s="66"/>
    </row>
    <row r="114" spans="1:21" ht="78.75">
      <c r="A114" s="66"/>
      <c r="B114" s="124" t="s">
        <v>226</v>
      </c>
      <c r="C114" s="168">
        <v>229086.59</v>
      </c>
      <c r="D114" s="169"/>
      <c r="E114" s="169"/>
      <c r="F114" s="170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</row>
    <row r="115" spans="1:21" ht="45">
      <c r="A115" s="66"/>
      <c r="B115" s="114" t="s">
        <v>227</v>
      </c>
      <c r="C115" s="164">
        <f>(C111+C112-C110)+C109</f>
        <v>293724.24130166665</v>
      </c>
      <c r="D115" s="162"/>
      <c r="E115" s="162"/>
      <c r="F115" s="163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</row>
    <row r="117" spans="1:21">
      <c r="J117" s="3"/>
      <c r="K117" s="4"/>
      <c r="L117" s="4"/>
      <c r="M117" s="2"/>
    </row>
    <row r="118" spans="1:21">
      <c r="G118" s="5"/>
      <c r="H118" s="5"/>
    </row>
    <row r="119" spans="1:21">
      <c r="G119" s="6"/>
    </row>
  </sheetData>
  <mergeCells count="11">
    <mergeCell ref="C115:F115"/>
    <mergeCell ref="C110:F110"/>
    <mergeCell ref="C111:F111"/>
    <mergeCell ref="C112:F112"/>
    <mergeCell ref="C113:F113"/>
    <mergeCell ref="C114:F114"/>
    <mergeCell ref="B3:L3"/>
    <mergeCell ref="B4:L4"/>
    <mergeCell ref="B5:L5"/>
    <mergeCell ref="B6:L6"/>
    <mergeCell ref="C109:F109"/>
  </mergeCells>
  <pageMargins left="0.51181102362204722" right="0.31496062992125984" top="0.15748031496062992" bottom="0.19685039370078741" header="0.15748031496062992" footer="0.15748031496062992"/>
  <pageSetup paperSize="9" scale="4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Стр.,7</vt:lpstr>
      <vt:lpstr>'Стр.,7'!Область_печати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2018-03-21T07:35:13Z</cp:lastPrinted>
  <dcterms:created xsi:type="dcterms:W3CDTF">2014-02-05T12:20:20Z</dcterms:created>
  <dcterms:modified xsi:type="dcterms:W3CDTF">2018-03-27T12:36:27Z</dcterms:modified>
</cp:coreProperties>
</file>