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315" windowWidth="15975" windowHeight="5565"/>
  </bookViews>
  <sheets>
    <sheet name="Окт.,53" sheetId="1" r:id="rId1"/>
  </sheets>
  <definedNames>
    <definedName name="_xlnm.Print_Area" localSheetId="0">'Окт.,53'!$A$1:$U$113</definedName>
  </definedNames>
  <calcPr calcId="124519"/>
</workbook>
</file>

<file path=xl/calcChain.xml><?xml version="1.0" encoding="utf-8"?>
<calcChain xmlns="http://schemas.openxmlformats.org/spreadsheetml/2006/main">
  <c r="F40" i="1"/>
  <c r="S98"/>
  <c r="U98" s="1"/>
  <c r="U101" s="1"/>
  <c r="H98"/>
  <c r="C111" l="1"/>
  <c r="C108"/>
  <c r="S100"/>
  <c r="S99"/>
  <c r="S97"/>
  <c r="U97" s="1"/>
  <c r="F97"/>
  <c r="H97" s="1"/>
  <c r="T96"/>
  <c r="R62"/>
  <c r="R95"/>
  <c r="U95" s="1"/>
  <c r="N95"/>
  <c r="H95"/>
  <c r="R96"/>
  <c r="R94"/>
  <c r="T92"/>
  <c r="S92"/>
  <c r="R92"/>
  <c r="Q92"/>
  <c r="U100"/>
  <c r="U99"/>
  <c r="U96"/>
  <c r="U81"/>
  <c r="U57"/>
  <c r="U59"/>
  <c r="U63"/>
  <c r="U64"/>
  <c r="U65"/>
  <c r="U66"/>
  <c r="U67"/>
  <c r="U68"/>
  <c r="U71"/>
  <c r="U72"/>
  <c r="U73"/>
  <c r="U74"/>
  <c r="U75"/>
  <c r="U79"/>
  <c r="U38"/>
  <c r="U26"/>
  <c r="U30"/>
  <c r="U31"/>
  <c r="U14"/>
  <c r="U17"/>
  <c r="U18"/>
  <c r="U19"/>
  <c r="U20"/>
  <c r="U21"/>
  <c r="Q62"/>
  <c r="Q94"/>
  <c r="U94" s="1"/>
  <c r="P92"/>
  <c r="T77" l="1"/>
  <c r="S77"/>
  <c r="R77"/>
  <c r="Q77"/>
  <c r="T76"/>
  <c r="S76"/>
  <c r="R76"/>
  <c r="Q76"/>
  <c r="P76"/>
  <c r="O93" l="1"/>
  <c r="U93" s="1"/>
  <c r="F93"/>
  <c r="H93" s="1"/>
  <c r="O92" l="1"/>
  <c r="U92" s="1"/>
  <c r="O91" l="1"/>
  <c r="U91" s="1"/>
  <c r="P62"/>
  <c r="O62"/>
  <c r="U62" l="1"/>
  <c r="H75"/>
  <c r="O76"/>
  <c r="U76" s="1"/>
  <c r="P77"/>
  <c r="O77"/>
  <c r="F77"/>
  <c r="H77" s="1"/>
  <c r="F76"/>
  <c r="H76" s="1"/>
  <c r="F74"/>
  <c r="H74" s="1"/>
  <c r="K73"/>
  <c r="J73"/>
  <c r="F73"/>
  <c r="H73" s="1"/>
  <c r="H72"/>
  <c r="F71"/>
  <c r="H71" s="1"/>
  <c r="U77" l="1"/>
  <c r="F68"/>
  <c r="F69"/>
  <c r="F67"/>
  <c r="F63"/>
  <c r="F62"/>
  <c r="F60"/>
  <c r="H57"/>
  <c r="O60" l="1"/>
  <c r="S60"/>
  <c r="Q60"/>
  <c r="T60"/>
  <c r="R60"/>
  <c r="P60"/>
  <c r="H60"/>
  <c r="H38"/>
  <c r="U60" l="1"/>
  <c r="H27"/>
  <c r="H30"/>
  <c r="H31"/>
  <c r="F29"/>
  <c r="H29" s="1"/>
  <c r="E28"/>
  <c r="F16"/>
  <c r="F14"/>
  <c r="H16" l="1"/>
  <c r="Q16"/>
  <c r="U16" s="1"/>
  <c r="N91" l="1"/>
  <c r="N62"/>
  <c r="N96"/>
  <c r="N94"/>
  <c r="Q53"/>
  <c r="O53"/>
  <c r="U53" s="1"/>
  <c r="M53"/>
  <c r="I53"/>
  <c r="M92"/>
  <c r="L92"/>
  <c r="K92"/>
  <c r="J92"/>
  <c r="H91" l="1"/>
  <c r="H94"/>
  <c r="H96"/>
  <c r="I99" l="1"/>
  <c r="H99"/>
  <c r="I100" l="1"/>
  <c r="C110" s="1"/>
  <c r="I92"/>
  <c r="I81" l="1"/>
  <c r="S52" l="1"/>
  <c r="U52" s="1"/>
  <c r="T41"/>
  <c r="S41"/>
  <c r="T35"/>
  <c r="S35"/>
  <c r="Q69"/>
  <c r="U69" s="1"/>
  <c r="L52"/>
  <c r="R27"/>
  <c r="Q27"/>
  <c r="P27"/>
  <c r="O27"/>
  <c r="N27"/>
  <c r="F28"/>
  <c r="M27"/>
  <c r="H100"/>
  <c r="L41"/>
  <c r="L35"/>
  <c r="K41"/>
  <c r="K35"/>
  <c r="H81"/>
  <c r="J41"/>
  <c r="J35"/>
  <c r="H92"/>
  <c r="I41"/>
  <c r="I35"/>
  <c r="H101" l="1"/>
  <c r="U27"/>
  <c r="U35"/>
  <c r="U41"/>
  <c r="R28"/>
  <c r="H28"/>
  <c r="N28"/>
  <c r="O28"/>
  <c r="Q28"/>
  <c r="M28"/>
  <c r="P28"/>
  <c r="F39"/>
  <c r="U28" l="1"/>
  <c r="I39"/>
  <c r="S39"/>
  <c r="L39"/>
  <c r="K39"/>
  <c r="T39"/>
  <c r="J39"/>
  <c r="F15"/>
  <c r="F59"/>
  <c r="F45"/>
  <c r="M45" s="1"/>
  <c r="F36"/>
  <c r="H36" s="1"/>
  <c r="F20"/>
  <c r="F48"/>
  <c r="M48" s="1"/>
  <c r="U39" l="1"/>
  <c r="M20"/>
  <c r="H20"/>
  <c r="S36"/>
  <c r="U36" s="1"/>
  <c r="L36"/>
  <c r="K36"/>
  <c r="T36"/>
  <c r="J36"/>
  <c r="H48"/>
  <c r="Q48"/>
  <c r="U48" s="1"/>
  <c r="Q45"/>
  <c r="U45" s="1"/>
  <c r="I16"/>
  <c r="K16"/>
  <c r="M16"/>
  <c r="I15"/>
  <c r="S15"/>
  <c r="Q15"/>
  <c r="O15"/>
  <c r="M15"/>
  <c r="L15"/>
  <c r="T15"/>
  <c r="R15"/>
  <c r="P15"/>
  <c r="N15"/>
  <c r="K15"/>
  <c r="J15"/>
  <c r="I36"/>
  <c r="F53"/>
  <c r="U15" l="1"/>
  <c r="M14"/>
  <c r="F17"/>
  <c r="M17" s="1"/>
  <c r="F18"/>
  <c r="M18" s="1"/>
  <c r="F19"/>
  <c r="M19" s="1"/>
  <c r="H59" l="1"/>
  <c r="F104" l="1"/>
  <c r="H103"/>
  <c r="E84"/>
  <c r="H87" s="1"/>
  <c r="F82"/>
  <c r="H79"/>
  <c r="H69"/>
  <c r="F66"/>
  <c r="F65"/>
  <c r="F64"/>
  <c r="H63"/>
  <c r="H62"/>
  <c r="F56"/>
  <c r="H53"/>
  <c r="H52"/>
  <c r="F51"/>
  <c r="F50"/>
  <c r="F49"/>
  <c r="F47"/>
  <c r="M47" s="1"/>
  <c r="F46"/>
  <c r="M46" s="1"/>
  <c r="H45"/>
  <c r="F44"/>
  <c r="M44" s="1"/>
  <c r="H41"/>
  <c r="H39"/>
  <c r="F37"/>
  <c r="H35"/>
  <c r="F32"/>
  <c r="F26"/>
  <c r="H26" s="1"/>
  <c r="F25"/>
  <c r="H25" s="1"/>
  <c r="F24"/>
  <c r="H24" s="1"/>
  <c r="F21"/>
  <c r="M21" s="1"/>
  <c r="H18"/>
  <c r="H17"/>
  <c r="H14"/>
  <c r="F13"/>
  <c r="F12"/>
  <c r="F11"/>
  <c r="I13" l="1"/>
  <c r="S13"/>
  <c r="Q13"/>
  <c r="O13"/>
  <c r="K13"/>
  <c r="J13"/>
  <c r="T13"/>
  <c r="R13"/>
  <c r="P13"/>
  <c r="N13"/>
  <c r="M13"/>
  <c r="L13"/>
  <c r="H21"/>
  <c r="I12"/>
  <c r="S12"/>
  <c r="R12"/>
  <c r="P12"/>
  <c r="N12"/>
  <c r="M12"/>
  <c r="L12"/>
  <c r="T12"/>
  <c r="Q12"/>
  <c r="O12"/>
  <c r="K12"/>
  <c r="J12"/>
  <c r="Q24"/>
  <c r="O24"/>
  <c r="M24"/>
  <c r="R24"/>
  <c r="P24"/>
  <c r="N24"/>
  <c r="M26"/>
  <c r="I29"/>
  <c r="S29"/>
  <c r="Q29"/>
  <c r="O29"/>
  <c r="M29"/>
  <c r="J29"/>
  <c r="T29"/>
  <c r="R29"/>
  <c r="P29"/>
  <c r="N29"/>
  <c r="L29"/>
  <c r="K29"/>
  <c r="H47"/>
  <c r="Q47"/>
  <c r="U47" s="1"/>
  <c r="H50"/>
  <c r="S50"/>
  <c r="U50" s="1"/>
  <c r="M50"/>
  <c r="T56"/>
  <c r="L56"/>
  <c r="J56"/>
  <c r="S56"/>
  <c r="K56"/>
  <c r="H65"/>
  <c r="M65"/>
  <c r="H67"/>
  <c r="M67"/>
  <c r="I11"/>
  <c r="S11"/>
  <c r="Q11"/>
  <c r="O11"/>
  <c r="K11"/>
  <c r="J11"/>
  <c r="T11"/>
  <c r="R11"/>
  <c r="P11"/>
  <c r="N11"/>
  <c r="M11"/>
  <c r="L11"/>
  <c r="R25"/>
  <c r="P25"/>
  <c r="N25"/>
  <c r="Q25"/>
  <c r="O25"/>
  <c r="M25"/>
  <c r="S32"/>
  <c r="R32"/>
  <c r="P32"/>
  <c r="N32"/>
  <c r="L32"/>
  <c r="K32"/>
  <c r="T32"/>
  <c r="Q32"/>
  <c r="O32"/>
  <c r="M32"/>
  <c r="J32"/>
  <c r="S37"/>
  <c r="J37"/>
  <c r="T37"/>
  <c r="L37"/>
  <c r="K37"/>
  <c r="J40"/>
  <c r="L40"/>
  <c r="K40"/>
  <c r="H44"/>
  <c r="Q44"/>
  <c r="U44" s="1"/>
  <c r="H46"/>
  <c r="Q46"/>
  <c r="U46" s="1"/>
  <c r="I49"/>
  <c r="Q49"/>
  <c r="M49"/>
  <c r="J49"/>
  <c r="T49"/>
  <c r="H51"/>
  <c r="M51"/>
  <c r="S51"/>
  <c r="U51" s="1"/>
  <c r="H64"/>
  <c r="M64"/>
  <c r="H66"/>
  <c r="M66"/>
  <c r="H68"/>
  <c r="M68"/>
  <c r="I82"/>
  <c r="T82"/>
  <c r="Q82"/>
  <c r="O82"/>
  <c r="K82"/>
  <c r="S82"/>
  <c r="R82"/>
  <c r="P82"/>
  <c r="N82"/>
  <c r="M82"/>
  <c r="L82"/>
  <c r="J82"/>
  <c r="H32"/>
  <c r="I32"/>
  <c r="H37"/>
  <c r="I37"/>
  <c r="H40"/>
  <c r="I40"/>
  <c r="H56"/>
  <c r="I56"/>
  <c r="H82"/>
  <c r="H83" s="1"/>
  <c r="H49"/>
  <c r="H54" s="1"/>
  <c r="H11"/>
  <c r="H12"/>
  <c r="H13"/>
  <c r="H15"/>
  <c r="F84"/>
  <c r="H19"/>
  <c r="H42"/>
  <c r="U82" l="1"/>
  <c r="U49"/>
  <c r="U40"/>
  <c r="U32"/>
  <c r="U25"/>
  <c r="U56"/>
  <c r="U80" s="1"/>
  <c r="U24"/>
  <c r="U12"/>
  <c r="U37"/>
  <c r="U11"/>
  <c r="U29"/>
  <c r="U13"/>
  <c r="H80"/>
  <c r="H33"/>
  <c r="U42"/>
  <c r="I84"/>
  <c r="T84"/>
  <c r="R84"/>
  <c r="P84"/>
  <c r="P104" s="1"/>
  <c r="N84"/>
  <c r="N104" s="1"/>
  <c r="M84"/>
  <c r="M104" s="1"/>
  <c r="L84"/>
  <c r="J84"/>
  <c r="S84"/>
  <c r="S104" s="1"/>
  <c r="Q84"/>
  <c r="O84"/>
  <c r="K84"/>
  <c r="K104" s="1"/>
  <c r="U83"/>
  <c r="T104"/>
  <c r="Q104"/>
  <c r="L104"/>
  <c r="R104"/>
  <c r="J104"/>
  <c r="O104"/>
  <c r="H84"/>
  <c r="H85" s="1"/>
  <c r="H22"/>
  <c r="U33"/>
  <c r="U84" l="1"/>
  <c r="U85" s="1"/>
  <c r="U22"/>
  <c r="U54"/>
  <c r="I104"/>
  <c r="H86"/>
  <c r="H88" s="1"/>
  <c r="G104" s="1"/>
  <c r="H104" s="1"/>
  <c r="U86" l="1"/>
  <c r="U104" s="1"/>
  <c r="C109" s="1"/>
  <c r="C113" s="1"/>
</calcChain>
</file>

<file path=xl/sharedStrings.xml><?xml version="1.0" encoding="utf-8"?>
<sst xmlns="http://schemas.openxmlformats.org/spreadsheetml/2006/main" count="316" uniqueCount="228">
  <si>
    <t>ОТЧЁТ</t>
  </si>
  <si>
    <t xml:space="preserve">по предоставленным услугам и произведённым работам по содержанию и ремонту общего имущества собственников помещений в многоквартирном доме </t>
  </si>
  <si>
    <t>№ расц.</t>
  </si>
  <si>
    <t>Перечень работ</t>
  </si>
  <si>
    <t>Ед.изм</t>
  </si>
  <si>
    <t>Периодичность</t>
  </si>
  <si>
    <t>Объем работ разовый</t>
  </si>
  <si>
    <t xml:space="preserve">Объем работ на год </t>
  </si>
  <si>
    <t>Расценка (руб)</t>
  </si>
  <si>
    <t>Сумма в год (тыс.руб)</t>
  </si>
  <si>
    <t>А.Обязательные работы по содержанию общего имущества собственников помещений в многоквартирном доме</t>
  </si>
  <si>
    <t xml:space="preserve">1. Санитарное содержание </t>
  </si>
  <si>
    <t>Влажное подметание лестничных клеток 1 этажа</t>
  </si>
  <si>
    <t>100м2</t>
  </si>
  <si>
    <t>3 раза в неделю 156 раз в год</t>
  </si>
  <si>
    <t>Влажное подметание лестничных клеток 2-5 этажа</t>
  </si>
  <si>
    <t>2 раза в неделю 104 раза в год</t>
  </si>
  <si>
    <t>Мытье лестничных  площадок и маршей 1-5 этаж.</t>
  </si>
  <si>
    <t>Мытье окон</t>
  </si>
  <si>
    <t>10м2</t>
  </si>
  <si>
    <t>Влажная протирка перил</t>
  </si>
  <si>
    <t>Влажная протирка почтовых ящиков</t>
  </si>
  <si>
    <t xml:space="preserve">Влажная уборка стен </t>
  </si>
  <si>
    <t>100 м2</t>
  </si>
  <si>
    <t>Влажная протирка дверей</t>
  </si>
  <si>
    <t>Влажная протирка подоконников</t>
  </si>
  <si>
    <t>Влажная протирка отопительных приборов</t>
  </si>
  <si>
    <t>итого:</t>
  </si>
  <si>
    <t>Летняя уборка</t>
  </si>
  <si>
    <t>2 раза в неделю 52 раза в сезон</t>
  </si>
  <si>
    <t>1000м2</t>
  </si>
  <si>
    <t>3 раза в неделю 78 раз за сезон</t>
  </si>
  <si>
    <t>Уборка газонов сильной загрязненности</t>
  </si>
  <si>
    <t>1 раз в год</t>
  </si>
  <si>
    <t xml:space="preserve"> - Уборка контейнерной площадки (16 кв.м.)</t>
  </si>
  <si>
    <t>шт.</t>
  </si>
  <si>
    <t>155 раз</t>
  </si>
  <si>
    <t>Подборка мусора на контейнерной площадке</t>
  </si>
  <si>
    <t>м3</t>
  </si>
  <si>
    <t>по мере необходимости</t>
  </si>
  <si>
    <t>м/час</t>
  </si>
  <si>
    <t>Вывоз ТБО и КГО</t>
  </si>
  <si>
    <t xml:space="preserve">кв. м </t>
  </si>
  <si>
    <t xml:space="preserve"> </t>
  </si>
  <si>
    <t>Зимняя уборка</t>
  </si>
  <si>
    <t>Механизированная уборка дворовой территории</t>
  </si>
  <si>
    <t>1000 м2</t>
  </si>
  <si>
    <t>155 раз за сезон</t>
  </si>
  <si>
    <t xml:space="preserve"> II. Плановые осмотры</t>
  </si>
  <si>
    <t>2 раза в год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</si>
  <si>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</si>
  <si>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</si>
  <si>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</si>
  <si>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 xml:space="preserve">Осмотр СО </t>
  </si>
  <si>
    <t>1 раз в месяц (5 раз за сезон)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</si>
  <si>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</si>
  <si>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</si>
  <si>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100 лест.</t>
  </si>
  <si>
    <t>Осмотр вводных электрических щитков</t>
  </si>
  <si>
    <t>100 шт.</t>
  </si>
  <si>
    <t>шт</t>
  </si>
  <si>
    <t>2-1-1б</t>
  </si>
  <si>
    <t>Проверка вентканалов</t>
  </si>
  <si>
    <t>Кровля</t>
  </si>
  <si>
    <t xml:space="preserve">6 раз за сезон 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</si>
  <si>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</si>
  <si>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</si>
  <si>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</si>
  <si>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</si>
  <si>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</si>
  <si>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100м3</t>
  </si>
  <si>
    <t>Спуск воды и наполнение системы без осмотра</t>
  </si>
  <si>
    <t>1000м3</t>
  </si>
  <si>
    <t>Гидравлическое испытание СО</t>
  </si>
  <si>
    <t>100м</t>
  </si>
  <si>
    <t>Проверка на прогрев отопительных приборов</t>
  </si>
  <si>
    <t>прибор</t>
  </si>
  <si>
    <t>Электроснабжение</t>
  </si>
  <si>
    <t>Смена ламп накаливания</t>
  </si>
  <si>
    <t>10 шт</t>
  </si>
  <si>
    <t>Вентканалы, дымоходы</t>
  </si>
  <si>
    <t>ГЭСН60-16</t>
  </si>
  <si>
    <t xml:space="preserve"> - прочистка каналов</t>
  </si>
  <si>
    <t>Аварийно-диспетчерское обслуживание</t>
  </si>
  <si>
    <t>1 м2</t>
  </si>
  <si>
    <t>Услуги по выпуску квитанций, сопровождение собраний, работа с должниками</t>
  </si>
  <si>
    <t>ИТОГО</t>
  </si>
  <si>
    <t xml:space="preserve">ВСЕГО </t>
  </si>
  <si>
    <t>Площадь жилых помещений и нежилых</t>
  </si>
  <si>
    <t xml:space="preserve">     </t>
  </si>
  <si>
    <t>Затраты на 1 кв.м  в месяц в рублях  по плану</t>
  </si>
  <si>
    <t>Текущий ремонт</t>
  </si>
  <si>
    <t>итого по текущему ремонту</t>
  </si>
  <si>
    <t>Размер платы по текущему ремонту, руб/м2 в мес.</t>
  </si>
  <si>
    <t xml:space="preserve">Затраты в рублях  по плану   </t>
  </si>
  <si>
    <t xml:space="preserve">1 раз в год     </t>
  </si>
  <si>
    <t xml:space="preserve">1 раз в год  </t>
  </si>
  <si>
    <t>Влажная протирка шкафов для щитов и слаботочн. устройств</t>
  </si>
  <si>
    <t>3 раза в год</t>
  </si>
  <si>
    <t>Очистка чердака, подвала от мусора</t>
  </si>
  <si>
    <t>30 раз за сезон</t>
  </si>
  <si>
    <t>Вода для промывки СО</t>
  </si>
  <si>
    <t>Сброс воды после промывки СО в канализацию</t>
  </si>
  <si>
    <t>Генеральный директор ООО "Жилсервис"_______Ю.Л.Куканов</t>
  </si>
  <si>
    <t>Осмотр деревянных конструкций стропил</t>
  </si>
  <si>
    <t>100 м3</t>
  </si>
  <si>
    <t>1 раз в месяц</t>
  </si>
  <si>
    <t>Очистка урн от мусора</t>
  </si>
  <si>
    <t>35 раз за сезон</t>
  </si>
  <si>
    <t xml:space="preserve">Выполнение    январь  </t>
  </si>
  <si>
    <t>Выполнение   февраль</t>
  </si>
  <si>
    <t>Выполнение   март</t>
  </si>
  <si>
    <t>Выполнение    апрель</t>
  </si>
  <si>
    <t>Выполнение    май</t>
  </si>
  <si>
    <t>Выполнение    июнь</t>
  </si>
  <si>
    <t>Выполнение    июль</t>
  </si>
  <si>
    <t>Выполнение    август</t>
  </si>
  <si>
    <t>Выполнение    сентябрь</t>
  </si>
  <si>
    <t>Выполнение    октябрь</t>
  </si>
  <si>
    <t>Выполнение    ноябрь</t>
  </si>
  <si>
    <t>Выполнение    декабрь</t>
  </si>
  <si>
    <t>Снятие показаний эл.счетчика коммунального назначения</t>
  </si>
  <si>
    <t>5 этажей, 2 подъезда</t>
  </si>
  <si>
    <t>Стоимость (руб.)</t>
  </si>
  <si>
    <t>договор</t>
  </si>
  <si>
    <t>ТО внутридомового газ.оборудования</t>
  </si>
  <si>
    <t>калькуляция</t>
  </si>
  <si>
    <t>Внеплановый осмотр электросетей, арматуры и электрооборудования на лестничных клетках</t>
  </si>
  <si>
    <t xml:space="preserve"> - Уборка газонов</t>
  </si>
  <si>
    <t xml:space="preserve">Погрузка травы, ветвей </t>
  </si>
  <si>
    <t xml:space="preserve">Подметание снега с тротуара, крылец, конт. площадок 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</si>
  <si>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</si>
  <si>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 xml:space="preserve">Пескопосыпка территории: крыльца и тротуары </t>
  </si>
  <si>
    <t>Стоимость песка -100м2-0,002м3</t>
  </si>
  <si>
    <t>Очистка края кровли от слежавшегося снега со сбрасыванием сосулек (10% от S кровли и козырьки)</t>
  </si>
  <si>
    <t>Подключение и отключение сварочного аппарата</t>
  </si>
  <si>
    <t xml:space="preserve"> - Подметание территории с усовершенствованным покрытием асф.: крыльца, контейнерн. пл., проезд, тротуар</t>
  </si>
  <si>
    <t>Вывоз смета, травы, ветвей и т.п.- м/ч</t>
  </si>
  <si>
    <t>Осмотр шиферной кровли</t>
  </si>
  <si>
    <t>ТЕР 51-001</t>
  </si>
  <si>
    <t>ТЕР 51-009</t>
  </si>
  <si>
    <t>ТЕР 51-031</t>
  </si>
  <si>
    <t>ТЕР 51-025</t>
  </si>
  <si>
    <t>ТЕР 51-023</t>
  </si>
  <si>
    <t>ТЕР 51-018</t>
  </si>
  <si>
    <t>ТЕР 51-019</t>
  </si>
  <si>
    <t>ТЕР 51-020</t>
  </si>
  <si>
    <t>ТЕР 51-022</t>
  </si>
  <si>
    <t>ТЕР 51-024</t>
  </si>
  <si>
    <t>ТЕР 53-020</t>
  </si>
  <si>
    <t>ТЕР 53-001</t>
  </si>
  <si>
    <t>ТЕР 53-021</t>
  </si>
  <si>
    <t>ТЕР 52-003</t>
  </si>
  <si>
    <t>ТЕР 52-033</t>
  </si>
  <si>
    <t>пр.ТЕР 52-003</t>
  </si>
  <si>
    <t>ТЕР 53-030</t>
  </si>
  <si>
    <t>ТЕР 54-013</t>
  </si>
  <si>
    <t>ТЕР 54-003</t>
  </si>
  <si>
    <t>ТЕР 54-022</t>
  </si>
  <si>
    <t>ТЕР 54-025</t>
  </si>
  <si>
    <t>ТЕР 3-7-1в</t>
  </si>
  <si>
    <t>ТЕР 42-007</t>
  </si>
  <si>
    <t>ТЕР 42-009</t>
  </si>
  <si>
    <t>ТЕР 42-010</t>
  </si>
  <si>
    <t>ТЕР 42-003</t>
  </si>
  <si>
    <t>ТЕР 42-011</t>
  </si>
  <si>
    <t>ТЕР 42-013</t>
  </si>
  <si>
    <t>ТЕР 42-012</t>
  </si>
  <si>
    <t>ТЕР 42-014</t>
  </si>
  <si>
    <t xml:space="preserve">пр.ТЕР 54-041 </t>
  </si>
  <si>
    <t>ТЕР 51-034</t>
  </si>
  <si>
    <t>ТЕР 31-065</t>
  </si>
  <si>
    <t>ТЕР 31-064</t>
  </si>
  <si>
    <t>ТЕР 31-052</t>
  </si>
  <si>
    <t>ТЕР 31-043</t>
  </si>
  <si>
    <t>ТЕР 31-068</t>
  </si>
  <si>
    <t>ТЕР 31-045</t>
  </si>
  <si>
    <t>ТЕР 33-019</t>
  </si>
  <si>
    <t>ТЕР 33-043</t>
  </si>
  <si>
    <t>ТЕР 33-037</t>
  </si>
  <si>
    <t>ТЕР 33-060</t>
  </si>
  <si>
    <t>1 шт</t>
  </si>
  <si>
    <t>1 сгон</t>
  </si>
  <si>
    <t xml:space="preserve">Смена сгонов у трубопроводов диаметром до 20 мм </t>
  </si>
  <si>
    <t>ТЕР 31-009</t>
  </si>
  <si>
    <t>Смена арматуры - вентилей и клапанов обратных муфтовых диаметром до 20 мм</t>
  </si>
  <si>
    <t>ТЕР 32-027</t>
  </si>
  <si>
    <t>Баланс выполненных работ на 01.01.2017 г. ( -долг за предприятием, +долг за населением)</t>
  </si>
  <si>
    <t>ТЕР 33-030</t>
  </si>
  <si>
    <t>Ремонт групповых щитков на лестничной клетке без ремонта автоматов</t>
  </si>
  <si>
    <r>
      <t xml:space="preserve">по адресу:  </t>
    </r>
    <r>
      <rPr>
        <b/>
        <sz val="14"/>
        <color indexed="10"/>
        <rFont val="Arial"/>
        <family val="2"/>
        <charset val="204"/>
      </rPr>
      <t>ул. Октябрьская, 53</t>
    </r>
    <r>
      <rPr>
        <b/>
        <sz val="14"/>
        <rFont val="Arial"/>
        <family val="2"/>
        <charset val="204"/>
      </rPr>
      <t xml:space="preserve">  (п. Ярега)  </t>
    </r>
    <r>
      <rPr>
        <b/>
        <sz val="14"/>
        <color indexed="10"/>
        <rFont val="Arial"/>
        <family val="2"/>
        <charset val="204"/>
      </rPr>
      <t>за 2017 год</t>
    </r>
  </si>
  <si>
    <t xml:space="preserve">2 раза в месяц 24 раза в год </t>
  </si>
  <si>
    <t xml:space="preserve">182 раза </t>
  </si>
  <si>
    <t>Сдвигание снега в дни снегопада</t>
  </si>
  <si>
    <t>Вывоз снега с придомовой территории</t>
  </si>
  <si>
    <t>1м3</t>
  </si>
  <si>
    <t>Работа автовышки</t>
  </si>
  <si>
    <t>маш-час</t>
  </si>
  <si>
    <t>Дератизация</t>
  </si>
  <si>
    <t>м2</t>
  </si>
  <si>
    <t>12 раз в год</t>
  </si>
  <si>
    <t>пр.ТЕР 33-024</t>
  </si>
  <si>
    <t>Смена светодиодных светильников в.о.</t>
  </si>
  <si>
    <t>1 шт.</t>
  </si>
  <si>
    <t>счёт</t>
  </si>
  <si>
    <t>Стоимость светодиодного светильника</t>
  </si>
  <si>
    <t>руб.</t>
  </si>
  <si>
    <t>Смена плвкой вставки в электрощитке</t>
  </si>
  <si>
    <t>пр.ТЕР 33-037</t>
  </si>
  <si>
    <t>Снятие показаний с общедомовых приборов учёта электрической энергии и холодной воды</t>
  </si>
  <si>
    <t>Обслуживание общедомового прибора учета тепловой энергии</t>
  </si>
  <si>
    <t>Смена светильника РКУ</t>
  </si>
  <si>
    <t>ТЕР 33-048</t>
  </si>
  <si>
    <t>пр.ТЕР 22-038</t>
  </si>
  <si>
    <t>Простая масляная окраска ранее окрашенных входных металлических дверей (I, II под.)</t>
  </si>
  <si>
    <t>10 м2</t>
  </si>
  <si>
    <t>Начислено за содержание и текущий ремонт за 2017 г.</t>
  </si>
  <si>
    <t>Выполнено работ по содержанию за 2017 г.</t>
  </si>
  <si>
    <t>Выполнено работ по текущему ремонту за 2017 г.</t>
  </si>
  <si>
    <t>Фактически оплачено за 2017 г.</t>
  </si>
  <si>
    <t>Смена арматуры - вентилей и клапанов обратных муфтовых диаметром до 25 мм</t>
  </si>
  <si>
    <t>ТЕР 32-028</t>
  </si>
  <si>
    <t>Внеплановый осмотр элекгросетей, арматуры и электрооборудования на чердаках и подвалах</t>
  </si>
  <si>
    <t>Монтаж тепловычислителя</t>
  </si>
  <si>
    <t>Просроченная задолженность по Вашему дому по статье "Содержание и текущий ремонт МКД" на конец декабря 2017 г., составляет:</t>
  </si>
  <si>
    <t>Баланс выполненных работ на 01.01.2018 г. ( -долг за предприятием, +долг за населением)</t>
  </si>
  <si>
    <t>смета</t>
  </si>
  <si>
    <t>15 раз за сезон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</si>
</sst>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18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4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4"/>
      </patternFill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3" borderId="0" xfId="0" applyFill="1"/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164" fontId="0" fillId="0" borderId="0" xfId="0" applyNumberFormat="1"/>
    <xf numFmtId="2" fontId="0" fillId="0" borderId="0" xfId="0" applyNumberFormat="1"/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left" vertical="center" wrapText="1"/>
    </xf>
    <xf numFmtId="0" fontId="0" fillId="5" borderId="0" xfId="0" applyFill="1"/>
    <xf numFmtId="0" fontId="12" fillId="8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vertical="center"/>
    </xf>
    <xf numFmtId="4" fontId="1" fillId="8" borderId="7" xfId="0" applyNumberFormat="1" applyFont="1" applyFill="1" applyBorder="1" applyAlignment="1">
      <alignment vertical="center"/>
    </xf>
    <xf numFmtId="0" fontId="1" fillId="8" borderId="3" xfId="0" applyFont="1" applyFill="1" applyBorder="1"/>
    <xf numFmtId="4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  <xf numFmtId="4" fontId="1" fillId="8" borderId="3" xfId="0" applyNumberFormat="1" applyFont="1" applyFill="1" applyBorder="1" applyAlignment="1">
      <alignment horizontal="center" vertical="center"/>
    </xf>
    <xf numFmtId="4" fontId="1" fillId="8" borderId="7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11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 wrapText="1"/>
    </xf>
    <xf numFmtId="4" fontId="1" fillId="7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4" fontId="3" fillId="10" borderId="2" xfId="0" applyNumberFormat="1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4" fontId="1" fillId="9" borderId="3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/>
    </xf>
    <xf numFmtId="4" fontId="1" fillId="7" borderId="3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/>
    </xf>
    <xf numFmtId="4" fontId="1" fillId="4" borderId="10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left" vertical="center" wrapText="1"/>
    </xf>
    <xf numFmtId="4" fontId="1" fillId="4" borderId="5" xfId="0" applyNumberFormat="1" applyFont="1" applyFill="1" applyBorder="1" applyAlignment="1">
      <alignment horizontal="center" vertical="center" wrapText="1"/>
    </xf>
    <xf numFmtId="4" fontId="1" fillId="4" borderId="5" xfId="0" applyNumberFormat="1" applyFont="1" applyFill="1" applyBorder="1" applyAlignment="1">
      <alignment horizontal="center" vertical="center"/>
    </xf>
    <xf numFmtId="4" fontId="1" fillId="4" borderId="6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 wrapText="1"/>
    </xf>
    <xf numFmtId="4" fontId="1" fillId="4" borderId="7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0" borderId="0" xfId="0" applyFont="1"/>
    <xf numFmtId="0" fontId="3" fillId="4" borderId="3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left" vertical="center"/>
    </xf>
    <xf numFmtId="4" fontId="1" fillId="7" borderId="3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wrapText="1"/>
    </xf>
    <xf numFmtId="4" fontId="3" fillId="5" borderId="3" xfId="0" applyNumberFormat="1" applyFont="1" applyFill="1" applyBorder="1" applyAlignment="1">
      <alignment horizontal="center" vertical="center" wrapText="1"/>
    </xf>
    <xf numFmtId="4" fontId="3" fillId="10" borderId="7" xfId="0" applyNumberFormat="1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left" vertical="center" wrapText="1"/>
    </xf>
    <xf numFmtId="4" fontId="1" fillId="6" borderId="3" xfId="0" applyNumberFormat="1" applyFont="1" applyFill="1" applyBorder="1" applyAlignment="1">
      <alignment horizontal="center" vertical="center"/>
    </xf>
    <xf numFmtId="4" fontId="3" fillId="6" borderId="3" xfId="0" applyNumberFormat="1" applyFont="1" applyFill="1" applyBorder="1" applyAlignment="1">
      <alignment horizontal="center" vertical="center"/>
    </xf>
    <xf numFmtId="1" fontId="1" fillId="4" borderId="3" xfId="0" applyNumberFormat="1" applyFont="1" applyFill="1" applyBorder="1" applyAlignment="1">
      <alignment horizontal="left" vertical="center" wrapText="1"/>
    </xf>
    <xf numFmtId="4" fontId="3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2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 wrapText="1"/>
    </xf>
    <xf numFmtId="4" fontId="14" fillId="2" borderId="6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 applyProtection="1">
      <alignment horizontal="center" vertical="center" wrapText="1"/>
    </xf>
    <xf numFmtId="4" fontId="14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4" fontId="3" fillId="4" borderId="7" xfId="0" applyNumberFormat="1" applyFont="1" applyFill="1" applyBorder="1" applyAlignment="1">
      <alignment horizontal="center" vertical="center"/>
    </xf>
    <xf numFmtId="4" fontId="14" fillId="4" borderId="7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4" fontId="1" fillId="2" borderId="8" xfId="0" applyNumberFormat="1" applyFont="1" applyFill="1" applyBorder="1" applyAlignment="1">
      <alignment horizontal="center" vertical="center"/>
    </xf>
    <xf numFmtId="4" fontId="14" fillId="2" borderId="8" xfId="0" applyNumberFormat="1" applyFont="1" applyFill="1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4" fontId="15" fillId="0" borderId="0" xfId="0" applyNumberFormat="1" applyFont="1"/>
    <xf numFmtId="0" fontId="15" fillId="0" borderId="0" xfId="0" applyFont="1"/>
    <xf numFmtId="0" fontId="16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4" fontId="3" fillId="10" borderId="3" xfId="0" applyNumberFormat="1" applyFont="1" applyFill="1" applyBorder="1" applyAlignment="1">
      <alignment horizontal="center" vertical="center"/>
    </xf>
    <xf numFmtId="4" fontId="14" fillId="2" borderId="3" xfId="0" applyNumberFormat="1" applyFont="1" applyFill="1" applyBorder="1" applyAlignment="1">
      <alignment horizontal="center" vertical="center"/>
    </xf>
    <xf numFmtId="4" fontId="14" fillId="8" borderId="3" xfId="0" applyNumberFormat="1" applyFont="1" applyFill="1" applyBorder="1" applyAlignment="1">
      <alignment horizontal="center" vertical="center"/>
    </xf>
    <xf numFmtId="4" fontId="3" fillId="8" borderId="3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 wrapText="1"/>
    </xf>
    <xf numFmtId="0" fontId="17" fillId="0" borderId="0" xfId="0" applyFont="1" applyAlignment="1"/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0" fontId="0" fillId="4" borderId="0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0" borderId="19" xfId="0" applyFont="1" applyBorder="1"/>
    <xf numFmtId="4" fontId="1" fillId="2" borderId="20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/>
    </xf>
    <xf numFmtId="4" fontId="1" fillId="0" borderId="3" xfId="0" applyNumberFormat="1" applyFont="1" applyFill="1" applyBorder="1" applyAlignment="1">
      <alignment horizontal="center" vertical="center"/>
    </xf>
    <xf numFmtId="4" fontId="1" fillId="0" borderId="7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4" fontId="1" fillId="8" borderId="21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4" borderId="3" xfId="0" applyNumberFormat="1" applyFont="1" applyFill="1" applyBorder="1" applyAlignment="1" applyProtection="1">
      <alignment horizontal="left" vertical="center" wrapText="1"/>
    </xf>
    <xf numFmtId="0" fontId="0" fillId="12" borderId="0" xfId="0" applyFill="1"/>
    <xf numFmtId="0" fontId="1" fillId="4" borderId="8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left" vertical="center" wrapText="1"/>
    </xf>
    <xf numFmtId="0" fontId="1" fillId="5" borderId="3" xfId="0" applyFont="1" applyFill="1" applyBorder="1"/>
    <xf numFmtId="165" fontId="1" fillId="4" borderId="3" xfId="0" applyNumberFormat="1" applyFont="1" applyFill="1" applyBorder="1" applyAlignment="1">
      <alignment horizontal="center" vertical="center"/>
    </xf>
    <xf numFmtId="165" fontId="1" fillId="4" borderId="7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U117"/>
  <sheetViews>
    <sheetView tabSelected="1" view="pageBreakPreview" zoomScaleNormal="75" zoomScaleSheetLayoutView="100" workbookViewId="0">
      <pane ySplit="7" topLeftCell="A109" activePane="bottomLeft" state="frozen"/>
      <selection activeCell="B1" sqref="B1"/>
      <selection pane="bottomLeft" activeCell="B114" sqref="B114"/>
    </sheetView>
  </sheetViews>
  <sheetFormatPr defaultRowHeight="12.75"/>
  <cols>
    <col min="1" max="1" width="14.42578125" customWidth="1"/>
    <col min="2" max="2" width="42.85546875" customWidth="1"/>
    <col min="3" max="3" width="9.140625" customWidth="1"/>
    <col min="4" max="4" width="22" customWidth="1"/>
    <col min="5" max="7" width="10.140625" customWidth="1"/>
    <col min="8" max="8" width="11.5703125" customWidth="1"/>
    <col min="9" max="14" width="9.85546875" hidden="1" customWidth="1"/>
    <col min="15" max="20" width="9.85546875" customWidth="1"/>
    <col min="21" max="21" width="12.28515625" customWidth="1"/>
  </cols>
  <sheetData>
    <row r="1" spans="1:21" ht="14.25" customHeight="1">
      <c r="A1" s="124"/>
    </row>
    <row r="3" spans="1:21" ht="18">
      <c r="A3" s="121"/>
      <c r="B3" s="148" t="s">
        <v>0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66"/>
      <c r="N3" s="66"/>
      <c r="O3" s="66"/>
      <c r="P3" s="66"/>
      <c r="Q3" s="66"/>
      <c r="R3" s="66"/>
      <c r="S3" s="66"/>
      <c r="T3" s="66"/>
      <c r="U3" s="66"/>
    </row>
    <row r="4" spans="1:21" ht="33" customHeight="1">
      <c r="A4" s="66"/>
      <c r="B4" s="149" t="s">
        <v>1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66"/>
      <c r="N4" s="66"/>
      <c r="O4" s="66"/>
      <c r="P4" s="66"/>
      <c r="Q4" s="66"/>
      <c r="R4" s="66"/>
      <c r="S4" s="66"/>
      <c r="T4" s="66"/>
      <c r="U4" s="66"/>
    </row>
    <row r="5" spans="1:21" ht="18">
      <c r="A5" s="66"/>
      <c r="B5" s="149" t="s">
        <v>190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66"/>
      <c r="N5" s="66"/>
      <c r="O5" s="66"/>
      <c r="P5" s="66"/>
      <c r="Q5" s="66"/>
      <c r="R5" s="66"/>
      <c r="S5" s="66"/>
      <c r="T5" s="66"/>
      <c r="U5" s="66"/>
    </row>
    <row r="6" spans="1:21" ht="14.25">
      <c r="A6" s="66"/>
      <c r="B6" s="150" t="s">
        <v>122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66"/>
      <c r="N6" s="66"/>
      <c r="O6" s="66"/>
      <c r="P6" s="66"/>
      <c r="Q6" s="66"/>
      <c r="R6" s="66"/>
      <c r="S6" s="66"/>
      <c r="T6" s="66"/>
      <c r="U6" s="66"/>
    </row>
    <row r="7" spans="1:21" ht="54.75" customHeight="1">
      <c r="A7" s="125" t="s">
        <v>2</v>
      </c>
      <c r="B7" s="126" t="s">
        <v>3</v>
      </c>
      <c r="C7" s="126" t="s">
        <v>4</v>
      </c>
      <c r="D7" s="126" t="s">
        <v>5</v>
      </c>
      <c r="E7" s="126" t="s">
        <v>6</v>
      </c>
      <c r="F7" s="126" t="s">
        <v>7</v>
      </c>
      <c r="G7" s="126" t="s">
        <v>8</v>
      </c>
      <c r="H7" s="127" t="s">
        <v>9</v>
      </c>
      <c r="I7" s="22" t="s">
        <v>109</v>
      </c>
      <c r="J7" s="22" t="s">
        <v>110</v>
      </c>
      <c r="K7" s="22" t="s">
        <v>111</v>
      </c>
      <c r="L7" s="22" t="s">
        <v>112</v>
      </c>
      <c r="M7" s="22" t="s">
        <v>113</v>
      </c>
      <c r="N7" s="22" t="s">
        <v>114</v>
      </c>
      <c r="O7" s="22" t="s">
        <v>115</v>
      </c>
      <c r="P7" s="22" t="s">
        <v>116</v>
      </c>
      <c r="Q7" s="22" t="s">
        <v>117</v>
      </c>
      <c r="R7" s="22" t="s">
        <v>118</v>
      </c>
      <c r="S7" s="22" t="s">
        <v>119</v>
      </c>
      <c r="T7" s="22" t="s">
        <v>120</v>
      </c>
      <c r="U7" s="22" t="s">
        <v>123</v>
      </c>
    </row>
    <row r="8" spans="1:21">
      <c r="A8" s="128">
        <v>1</v>
      </c>
      <c r="B8" s="7">
        <v>2</v>
      </c>
      <c r="C8" s="23">
        <v>3</v>
      </c>
      <c r="D8" s="7">
        <v>4</v>
      </c>
      <c r="E8" s="7">
        <v>5</v>
      </c>
      <c r="F8" s="23">
        <v>6</v>
      </c>
      <c r="G8" s="23">
        <v>7</v>
      </c>
      <c r="H8" s="24">
        <v>8</v>
      </c>
      <c r="I8" s="25">
        <v>9</v>
      </c>
      <c r="J8" s="25">
        <v>10</v>
      </c>
      <c r="K8" s="25">
        <v>11</v>
      </c>
      <c r="L8" s="25">
        <v>12</v>
      </c>
      <c r="M8" s="25">
        <v>13</v>
      </c>
      <c r="N8" s="25">
        <v>14</v>
      </c>
      <c r="O8" s="25">
        <v>9</v>
      </c>
      <c r="P8" s="25">
        <v>10</v>
      </c>
      <c r="Q8" s="25">
        <v>11</v>
      </c>
      <c r="R8" s="25">
        <v>12</v>
      </c>
      <c r="S8" s="25">
        <v>13</v>
      </c>
      <c r="T8" s="25">
        <v>14</v>
      </c>
      <c r="U8" s="25">
        <v>15</v>
      </c>
    </row>
    <row r="9" spans="1:21" ht="38.25">
      <c r="A9" s="128"/>
      <c r="B9" s="9" t="s">
        <v>10</v>
      </c>
      <c r="C9" s="23"/>
      <c r="D9" s="10"/>
      <c r="E9" s="10"/>
      <c r="F9" s="23"/>
      <c r="G9" s="23"/>
      <c r="H9" s="26"/>
      <c r="I9" s="27"/>
      <c r="J9" s="27"/>
      <c r="K9" s="27"/>
      <c r="L9" s="27"/>
      <c r="M9" s="28"/>
      <c r="N9" s="29"/>
      <c r="O9" s="29"/>
      <c r="P9" s="29"/>
      <c r="Q9" s="29"/>
      <c r="R9" s="29"/>
      <c r="S9" s="29"/>
      <c r="T9" s="29"/>
      <c r="U9" s="29"/>
    </row>
    <row r="10" spans="1:21">
      <c r="A10" s="128"/>
      <c r="B10" s="9" t="s">
        <v>11</v>
      </c>
      <c r="C10" s="23"/>
      <c r="D10" s="10"/>
      <c r="E10" s="10"/>
      <c r="F10" s="23"/>
      <c r="G10" s="23"/>
      <c r="H10" s="26"/>
      <c r="I10" s="27"/>
      <c r="J10" s="27"/>
      <c r="K10" s="27"/>
      <c r="L10" s="27"/>
      <c r="M10" s="28"/>
      <c r="N10" s="29"/>
      <c r="O10" s="29"/>
      <c r="P10" s="29"/>
      <c r="Q10" s="29"/>
      <c r="R10" s="29"/>
      <c r="S10" s="29"/>
      <c r="T10" s="29"/>
      <c r="U10" s="29"/>
    </row>
    <row r="11" spans="1:21" ht="25.5">
      <c r="A11" s="128" t="s">
        <v>139</v>
      </c>
      <c r="B11" s="10" t="s">
        <v>12</v>
      </c>
      <c r="C11" s="23" t="s">
        <v>13</v>
      </c>
      <c r="D11" s="10" t="s">
        <v>14</v>
      </c>
      <c r="E11" s="30">
        <v>37.78</v>
      </c>
      <c r="F11" s="31">
        <f>SUM(E11*156/100)</f>
        <v>58.936800000000005</v>
      </c>
      <c r="G11" s="31">
        <v>230</v>
      </c>
      <c r="H11" s="32">
        <f t="shared" ref="H11:H21" si="0">SUM(F11*G11/1000)</f>
        <v>13.555464000000002</v>
      </c>
      <c r="I11" s="33">
        <f>F11/12*G11</f>
        <v>1129.6220000000001</v>
      </c>
      <c r="J11" s="33">
        <f>F11/12*G11</f>
        <v>1129.6220000000001</v>
      </c>
      <c r="K11" s="33">
        <f>F11/12*G11</f>
        <v>1129.6220000000001</v>
      </c>
      <c r="L11" s="33">
        <f>F11/12*G11</f>
        <v>1129.6220000000001</v>
      </c>
      <c r="M11" s="33">
        <f>F11/12*G11</f>
        <v>1129.6220000000001</v>
      </c>
      <c r="N11" s="33">
        <f>F11/12*G11</f>
        <v>1129.6220000000001</v>
      </c>
      <c r="O11" s="33">
        <f>F11/12*G11</f>
        <v>1129.6220000000001</v>
      </c>
      <c r="P11" s="33">
        <f>F11/12*G11</f>
        <v>1129.6220000000001</v>
      </c>
      <c r="Q11" s="33">
        <f>F11/12*G11</f>
        <v>1129.6220000000001</v>
      </c>
      <c r="R11" s="33">
        <f>F11/12*G11</f>
        <v>1129.6220000000001</v>
      </c>
      <c r="S11" s="33">
        <f>F11/12*G11</f>
        <v>1129.6220000000001</v>
      </c>
      <c r="T11" s="33">
        <f>F11/12*G11</f>
        <v>1129.6220000000001</v>
      </c>
      <c r="U11" s="33">
        <f>SUM(O11:T11)</f>
        <v>6777.7320000000009</v>
      </c>
    </row>
    <row r="12" spans="1:21" ht="25.5">
      <c r="A12" s="128" t="s">
        <v>139</v>
      </c>
      <c r="B12" s="10" t="s">
        <v>15</v>
      </c>
      <c r="C12" s="23" t="s">
        <v>13</v>
      </c>
      <c r="D12" s="10" t="s">
        <v>16</v>
      </c>
      <c r="E12" s="30">
        <v>151.12</v>
      </c>
      <c r="F12" s="31">
        <f>SUM(E12*104/100)</f>
        <v>157.16479999999999</v>
      </c>
      <c r="G12" s="31">
        <v>230</v>
      </c>
      <c r="H12" s="32">
        <f t="shared" si="0"/>
        <v>36.147903999999997</v>
      </c>
      <c r="I12" s="33">
        <f>F12/12*G12</f>
        <v>3012.3253333333328</v>
      </c>
      <c r="J12" s="33">
        <f>F12/12*G12</f>
        <v>3012.3253333333328</v>
      </c>
      <c r="K12" s="33">
        <f>F12/12*G12</f>
        <v>3012.3253333333328</v>
      </c>
      <c r="L12" s="33">
        <f>F12/12*G12</f>
        <v>3012.3253333333328</v>
      </c>
      <c r="M12" s="33">
        <f>F12/12*G12</f>
        <v>3012.3253333333328</v>
      </c>
      <c r="N12" s="33">
        <f>F12/12*G12</f>
        <v>3012.3253333333328</v>
      </c>
      <c r="O12" s="33">
        <f>F12/12*G12</f>
        <v>3012.3253333333328</v>
      </c>
      <c r="P12" s="33">
        <f>F12/12*G12</f>
        <v>3012.3253333333328</v>
      </c>
      <c r="Q12" s="33">
        <f>F12/12*G12</f>
        <v>3012.3253333333328</v>
      </c>
      <c r="R12" s="33">
        <f>F12/12*G12</f>
        <v>3012.3253333333328</v>
      </c>
      <c r="S12" s="33">
        <f>F12/12*G12</f>
        <v>3012.3253333333328</v>
      </c>
      <c r="T12" s="33">
        <f>F12/12*G12</f>
        <v>3012.3253333333328</v>
      </c>
      <c r="U12" s="33">
        <f t="shared" ref="U12:U21" si="1">SUM(O12:T12)</f>
        <v>18073.951999999997</v>
      </c>
    </row>
    <row r="13" spans="1:21" ht="25.5">
      <c r="A13" s="128" t="s">
        <v>140</v>
      </c>
      <c r="B13" s="10" t="s">
        <v>17</v>
      </c>
      <c r="C13" s="23" t="s">
        <v>13</v>
      </c>
      <c r="D13" s="10" t="s">
        <v>191</v>
      </c>
      <c r="E13" s="30">
        <v>188.9</v>
      </c>
      <c r="F13" s="31">
        <f>SUM(E13*24/100)</f>
        <v>45.336000000000006</v>
      </c>
      <c r="G13" s="31">
        <v>661.67</v>
      </c>
      <c r="H13" s="32">
        <f t="shared" si="0"/>
        <v>29.997471120000004</v>
      </c>
      <c r="I13" s="33">
        <f>F13/12*G13</f>
        <v>2499.78926</v>
      </c>
      <c r="J13" s="33">
        <f>F13/12*G13</f>
        <v>2499.78926</v>
      </c>
      <c r="K13" s="33">
        <f>F13/12*G13</f>
        <v>2499.78926</v>
      </c>
      <c r="L13" s="33">
        <f>F13/12*G13</f>
        <v>2499.78926</v>
      </c>
      <c r="M13" s="33">
        <f>F13/12*G13</f>
        <v>2499.78926</v>
      </c>
      <c r="N13" s="33">
        <f>F13/12*G13</f>
        <v>2499.78926</v>
      </c>
      <c r="O13" s="33">
        <f>F13/12*G13</f>
        <v>2499.78926</v>
      </c>
      <c r="P13" s="33">
        <f>F13/12*G13</f>
        <v>2499.78926</v>
      </c>
      <c r="Q13" s="33">
        <f>F13/12*G13</f>
        <v>2499.78926</v>
      </c>
      <c r="R13" s="33">
        <f>F13/12*G13</f>
        <v>2499.78926</v>
      </c>
      <c r="S13" s="33">
        <f>F13/12*G13</f>
        <v>2499.78926</v>
      </c>
      <c r="T13" s="33">
        <f>F13/12*G13</f>
        <v>2499.78926</v>
      </c>
      <c r="U13" s="33">
        <f t="shared" si="1"/>
        <v>14998.735559999999</v>
      </c>
    </row>
    <row r="14" spans="1:21">
      <c r="A14" s="128" t="s">
        <v>141</v>
      </c>
      <c r="B14" s="10" t="s">
        <v>18</v>
      </c>
      <c r="C14" s="23" t="s">
        <v>19</v>
      </c>
      <c r="D14" s="10" t="s">
        <v>95</v>
      </c>
      <c r="E14" s="30">
        <v>18</v>
      </c>
      <c r="F14" s="31">
        <f>SUM(E14/10)</f>
        <v>1.8</v>
      </c>
      <c r="G14" s="31">
        <v>223.17</v>
      </c>
      <c r="H14" s="32">
        <f t="shared" si="0"/>
        <v>0.40170599999999995</v>
      </c>
      <c r="I14" s="33">
        <v>0</v>
      </c>
      <c r="J14" s="33">
        <v>0</v>
      </c>
      <c r="K14" s="33">
        <v>0</v>
      </c>
      <c r="L14" s="33">
        <v>0</v>
      </c>
      <c r="M14" s="33">
        <f>F14/2*G14</f>
        <v>200.85299999999998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  <c r="S14" s="33">
        <v>0</v>
      </c>
      <c r="T14" s="33">
        <v>0</v>
      </c>
      <c r="U14" s="33">
        <f t="shared" si="1"/>
        <v>0</v>
      </c>
    </row>
    <row r="15" spans="1:21">
      <c r="A15" s="128" t="s">
        <v>142</v>
      </c>
      <c r="B15" s="10" t="s">
        <v>20</v>
      </c>
      <c r="C15" s="23" t="s">
        <v>13</v>
      </c>
      <c r="D15" s="10" t="s">
        <v>106</v>
      </c>
      <c r="E15" s="30">
        <v>14.6</v>
      </c>
      <c r="F15" s="31">
        <f>SUM(E15*12/100)</f>
        <v>1.7519999999999998</v>
      </c>
      <c r="G15" s="31">
        <v>285.76</v>
      </c>
      <c r="H15" s="32">
        <f t="shared" si="0"/>
        <v>0.50065151999999991</v>
      </c>
      <c r="I15" s="33">
        <f>F15/12*G15</f>
        <v>41.720959999999998</v>
      </c>
      <c r="J15" s="33">
        <f>F15/12*G15</f>
        <v>41.720959999999998</v>
      </c>
      <c r="K15" s="33">
        <f>F15/12*G15</f>
        <v>41.720959999999998</v>
      </c>
      <c r="L15" s="33">
        <f>F15/12*G15</f>
        <v>41.720959999999998</v>
      </c>
      <c r="M15" s="33">
        <f>F15/12*G15</f>
        <v>41.720959999999998</v>
      </c>
      <c r="N15" s="33">
        <f>F15/12*G15</f>
        <v>41.720959999999998</v>
      </c>
      <c r="O15" s="33">
        <f>F15/12*G15</f>
        <v>41.720959999999998</v>
      </c>
      <c r="P15" s="33">
        <f>F15/12*G15</f>
        <v>41.720959999999998</v>
      </c>
      <c r="Q15" s="33">
        <f>F15/12*G15</f>
        <v>41.720959999999998</v>
      </c>
      <c r="R15" s="33">
        <f>F15/12*G15</f>
        <v>41.720959999999998</v>
      </c>
      <c r="S15" s="33">
        <f>F15/12*G15</f>
        <v>41.720959999999998</v>
      </c>
      <c r="T15" s="33">
        <f>F15/12*G15</f>
        <v>41.720959999999998</v>
      </c>
      <c r="U15" s="33">
        <f t="shared" si="1"/>
        <v>250.32575999999997</v>
      </c>
    </row>
    <row r="16" spans="1:21">
      <c r="A16" s="128" t="s">
        <v>143</v>
      </c>
      <c r="B16" s="10" t="s">
        <v>21</v>
      </c>
      <c r="C16" s="23" t="s">
        <v>13</v>
      </c>
      <c r="D16" s="10" t="s">
        <v>49</v>
      </c>
      <c r="E16" s="30">
        <v>2.7</v>
      </c>
      <c r="F16" s="31">
        <f>SUM(E16*2/100)</f>
        <v>5.4000000000000006E-2</v>
      </c>
      <c r="G16" s="31">
        <v>283.44</v>
      </c>
      <c r="H16" s="32">
        <f t="shared" si="0"/>
        <v>1.5305760000000002E-2</v>
      </c>
      <c r="I16" s="33">
        <f>F16/6*G16</f>
        <v>2.5509600000000003</v>
      </c>
      <c r="J16" s="33">
        <v>0</v>
      </c>
      <c r="K16" s="33">
        <f>F16/6*G16</f>
        <v>2.5509600000000003</v>
      </c>
      <c r="L16" s="33">
        <v>0</v>
      </c>
      <c r="M16" s="33">
        <f>F16/6*G16</f>
        <v>2.5509600000000003</v>
      </c>
      <c r="N16" s="33">
        <v>0</v>
      </c>
      <c r="O16" s="33">
        <v>0</v>
      </c>
      <c r="P16" s="33">
        <v>0</v>
      </c>
      <c r="Q16" s="33">
        <f>F16/2*G16</f>
        <v>7.6528800000000006</v>
      </c>
      <c r="R16" s="33">
        <v>0</v>
      </c>
      <c r="S16" s="33">
        <v>0</v>
      </c>
      <c r="T16" s="33">
        <v>0</v>
      </c>
      <c r="U16" s="33">
        <f t="shared" si="1"/>
        <v>7.6528800000000006</v>
      </c>
    </row>
    <row r="17" spans="1:21">
      <c r="A17" s="128" t="s">
        <v>144</v>
      </c>
      <c r="B17" s="10" t="s">
        <v>22</v>
      </c>
      <c r="C17" s="23" t="s">
        <v>23</v>
      </c>
      <c r="D17" s="10" t="s">
        <v>95</v>
      </c>
      <c r="E17" s="30">
        <v>259.2</v>
      </c>
      <c r="F17" s="31">
        <f>SUM(E17/100)</f>
        <v>2.5920000000000001</v>
      </c>
      <c r="G17" s="31">
        <v>353.14</v>
      </c>
      <c r="H17" s="32">
        <f t="shared" si="0"/>
        <v>0.91533887999999997</v>
      </c>
      <c r="I17" s="33">
        <v>0</v>
      </c>
      <c r="J17" s="33">
        <v>0</v>
      </c>
      <c r="K17" s="33">
        <v>0</v>
      </c>
      <c r="L17" s="33">
        <v>0</v>
      </c>
      <c r="M17" s="33">
        <f>F17*G17</f>
        <v>915.33888000000002</v>
      </c>
      <c r="N17" s="33">
        <v>0</v>
      </c>
      <c r="O17" s="33">
        <v>0</v>
      </c>
      <c r="P17" s="33">
        <v>0</v>
      </c>
      <c r="Q17" s="33">
        <v>0</v>
      </c>
      <c r="R17" s="33">
        <v>0</v>
      </c>
      <c r="S17" s="33">
        <v>0</v>
      </c>
      <c r="T17" s="33">
        <v>0</v>
      </c>
      <c r="U17" s="33">
        <f t="shared" si="1"/>
        <v>0</v>
      </c>
    </row>
    <row r="18" spans="1:21">
      <c r="A18" s="128" t="s">
        <v>145</v>
      </c>
      <c r="B18" s="10" t="s">
        <v>24</v>
      </c>
      <c r="C18" s="23" t="s">
        <v>23</v>
      </c>
      <c r="D18" s="10" t="s">
        <v>95</v>
      </c>
      <c r="E18" s="35">
        <v>24.15</v>
      </c>
      <c r="F18" s="31">
        <f>SUM(E18/100)</f>
        <v>0.24149999999999999</v>
      </c>
      <c r="G18" s="31">
        <v>58.08</v>
      </c>
      <c r="H18" s="32">
        <f t="shared" si="0"/>
        <v>1.4026319999999998E-2</v>
      </c>
      <c r="I18" s="33">
        <v>0</v>
      </c>
      <c r="J18" s="33">
        <v>0</v>
      </c>
      <c r="K18" s="33">
        <v>0</v>
      </c>
      <c r="L18" s="33">
        <v>0</v>
      </c>
      <c r="M18" s="33">
        <f t="shared" ref="M18:M21" si="2">F18*G18</f>
        <v>14.026319999999998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33">
        <f t="shared" si="1"/>
        <v>0</v>
      </c>
    </row>
    <row r="19" spans="1:21">
      <c r="A19" s="128" t="s">
        <v>146</v>
      </c>
      <c r="B19" s="10" t="s">
        <v>25</v>
      </c>
      <c r="C19" s="23" t="s">
        <v>23</v>
      </c>
      <c r="D19" s="10" t="s">
        <v>96</v>
      </c>
      <c r="E19" s="30">
        <v>10</v>
      </c>
      <c r="F19" s="31">
        <f>E19/100</f>
        <v>0.1</v>
      </c>
      <c r="G19" s="31">
        <v>511.12</v>
      </c>
      <c r="H19" s="32">
        <f t="shared" si="0"/>
        <v>5.1112000000000005E-2</v>
      </c>
      <c r="I19" s="33">
        <v>0</v>
      </c>
      <c r="J19" s="33">
        <v>0</v>
      </c>
      <c r="K19" s="33">
        <v>0</v>
      </c>
      <c r="L19" s="33">
        <v>0</v>
      </c>
      <c r="M19" s="33">
        <f t="shared" si="2"/>
        <v>51.112000000000002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f t="shared" si="1"/>
        <v>0</v>
      </c>
    </row>
    <row r="20" spans="1:21" ht="25.5">
      <c r="A20" s="128" t="s">
        <v>147</v>
      </c>
      <c r="B20" s="10" t="s">
        <v>97</v>
      </c>
      <c r="C20" s="23" t="s">
        <v>23</v>
      </c>
      <c r="D20" s="10" t="s">
        <v>33</v>
      </c>
      <c r="E20" s="30">
        <v>9.5</v>
      </c>
      <c r="F20" s="31">
        <f>E20/100</f>
        <v>9.5000000000000001E-2</v>
      </c>
      <c r="G20" s="31">
        <v>283.44</v>
      </c>
      <c r="H20" s="32">
        <f t="shared" si="0"/>
        <v>2.6926800000000001E-2</v>
      </c>
      <c r="I20" s="33">
        <v>0</v>
      </c>
      <c r="J20" s="33">
        <v>0</v>
      </c>
      <c r="K20" s="33">
        <v>0</v>
      </c>
      <c r="L20" s="33">
        <v>0</v>
      </c>
      <c r="M20" s="33">
        <f t="shared" si="2"/>
        <v>26.9268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f t="shared" si="1"/>
        <v>0</v>
      </c>
    </row>
    <row r="21" spans="1:21">
      <c r="A21" s="128" t="s">
        <v>148</v>
      </c>
      <c r="B21" s="10" t="s">
        <v>26</v>
      </c>
      <c r="C21" s="23" t="s">
        <v>23</v>
      </c>
      <c r="D21" s="10" t="s">
        <v>95</v>
      </c>
      <c r="E21" s="30">
        <v>4.25</v>
      </c>
      <c r="F21" s="31">
        <f>SUM(E21/100)</f>
        <v>4.2500000000000003E-2</v>
      </c>
      <c r="G21" s="31">
        <v>683.05</v>
      </c>
      <c r="H21" s="32">
        <f t="shared" si="0"/>
        <v>2.9029625E-2</v>
      </c>
      <c r="I21" s="33">
        <v>0</v>
      </c>
      <c r="J21" s="33">
        <v>0</v>
      </c>
      <c r="K21" s="33">
        <v>0</v>
      </c>
      <c r="L21" s="33">
        <v>0</v>
      </c>
      <c r="M21" s="33">
        <f t="shared" si="2"/>
        <v>29.029624999999999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f t="shared" si="1"/>
        <v>0</v>
      </c>
    </row>
    <row r="22" spans="1:21" s="19" customFormat="1">
      <c r="A22" s="129"/>
      <c r="B22" s="20" t="s">
        <v>27</v>
      </c>
      <c r="C22" s="36"/>
      <c r="D22" s="20"/>
      <c r="E22" s="37"/>
      <c r="F22" s="38"/>
      <c r="G22" s="38"/>
      <c r="H22" s="39">
        <f>SUM(H11:H21)</f>
        <v>81.654936025000012</v>
      </c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>
        <f>SUM(U11:U21)</f>
        <v>40108.398199999996</v>
      </c>
    </row>
    <row r="23" spans="1:21">
      <c r="A23" s="128"/>
      <c r="B23" s="12" t="s">
        <v>28</v>
      </c>
      <c r="C23" s="23"/>
      <c r="D23" s="10"/>
      <c r="E23" s="30"/>
      <c r="F23" s="31"/>
      <c r="G23" s="31"/>
      <c r="H23" s="32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</row>
    <row r="24" spans="1:21" ht="25.5" customHeight="1">
      <c r="A24" s="128" t="s">
        <v>149</v>
      </c>
      <c r="B24" s="10" t="s">
        <v>128</v>
      </c>
      <c r="C24" s="23" t="s">
        <v>30</v>
      </c>
      <c r="D24" s="10" t="s">
        <v>29</v>
      </c>
      <c r="E24" s="31">
        <v>331.9</v>
      </c>
      <c r="F24" s="31">
        <f>SUM(E24*52/1000)</f>
        <v>17.258800000000001</v>
      </c>
      <c r="G24" s="31">
        <v>204.44</v>
      </c>
      <c r="H24" s="32">
        <f t="shared" ref="H24:H32" si="3">SUM(F24*G24/1000)</f>
        <v>3.528389072</v>
      </c>
      <c r="I24" s="33">
        <v>0</v>
      </c>
      <c r="J24" s="33">
        <v>0</v>
      </c>
      <c r="K24" s="33">
        <v>0</v>
      </c>
      <c r="L24" s="33">
        <v>0</v>
      </c>
      <c r="M24" s="33">
        <f>F24/6*G24</f>
        <v>588.06484533333344</v>
      </c>
      <c r="N24" s="33">
        <f>F24/6*G24</f>
        <v>588.06484533333344</v>
      </c>
      <c r="O24" s="33">
        <f>F24/6*G24</f>
        <v>588.06484533333344</v>
      </c>
      <c r="P24" s="33">
        <f>F24/6*G24</f>
        <v>588.06484533333344</v>
      </c>
      <c r="Q24" s="33">
        <f>F24/6*G24</f>
        <v>588.06484533333344</v>
      </c>
      <c r="R24" s="33">
        <f>F24/6*G24</f>
        <v>588.06484533333344</v>
      </c>
      <c r="S24" s="33">
        <v>0</v>
      </c>
      <c r="T24" s="33">
        <v>0</v>
      </c>
      <c r="U24" s="33">
        <f t="shared" ref="U24:U32" si="4">SUM(O24:T24)</f>
        <v>2352.2593813333337</v>
      </c>
    </row>
    <row r="25" spans="1:21" ht="38.25" customHeight="1">
      <c r="A25" s="128" t="s">
        <v>150</v>
      </c>
      <c r="B25" s="10" t="s">
        <v>136</v>
      </c>
      <c r="C25" s="23" t="s">
        <v>30</v>
      </c>
      <c r="D25" s="10" t="s">
        <v>31</v>
      </c>
      <c r="E25" s="31">
        <v>108.9</v>
      </c>
      <c r="F25" s="31">
        <f>SUM(E25*78/1000)</f>
        <v>8.4942000000000011</v>
      </c>
      <c r="G25" s="31">
        <v>339.21</v>
      </c>
      <c r="H25" s="32">
        <f t="shared" si="3"/>
        <v>2.8813175820000003</v>
      </c>
      <c r="I25" s="33">
        <v>0</v>
      </c>
      <c r="J25" s="33">
        <v>0</v>
      </c>
      <c r="K25" s="33">
        <v>0</v>
      </c>
      <c r="L25" s="33">
        <v>0</v>
      </c>
      <c r="M25" s="33">
        <f>F25/6*G25</f>
        <v>480.21959700000002</v>
      </c>
      <c r="N25" s="33">
        <f>F25/6*G25</f>
        <v>480.21959700000002</v>
      </c>
      <c r="O25" s="33">
        <f>F25/6*G25</f>
        <v>480.21959700000002</v>
      </c>
      <c r="P25" s="33">
        <f>F25/6*G25</f>
        <v>480.21959700000002</v>
      </c>
      <c r="Q25" s="33">
        <f>F25/6*G25</f>
        <v>480.21959700000002</v>
      </c>
      <c r="R25" s="33">
        <f>F25/6*G25</f>
        <v>480.21959700000002</v>
      </c>
      <c r="S25" s="33">
        <v>0</v>
      </c>
      <c r="T25" s="33">
        <v>0</v>
      </c>
      <c r="U25" s="33">
        <f t="shared" si="4"/>
        <v>1920.8783880000001</v>
      </c>
    </row>
    <row r="26" spans="1:21">
      <c r="A26" s="128" t="s">
        <v>151</v>
      </c>
      <c r="B26" s="10" t="s">
        <v>32</v>
      </c>
      <c r="C26" s="23" t="s">
        <v>30</v>
      </c>
      <c r="D26" s="10" t="s">
        <v>33</v>
      </c>
      <c r="E26" s="31">
        <v>331.9</v>
      </c>
      <c r="F26" s="31">
        <f>SUM(E26/1000)</f>
        <v>0.33189999999999997</v>
      </c>
      <c r="G26" s="31">
        <v>3961.23</v>
      </c>
      <c r="H26" s="32">
        <f t="shared" si="3"/>
        <v>1.3147322369999999</v>
      </c>
      <c r="I26" s="33">
        <v>0</v>
      </c>
      <c r="J26" s="33">
        <v>0</v>
      </c>
      <c r="K26" s="33">
        <v>0</v>
      </c>
      <c r="L26" s="33">
        <v>0</v>
      </c>
      <c r="M26" s="33">
        <f>F26*G26</f>
        <v>1314.7322369999999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3">
        <f t="shared" si="4"/>
        <v>0</v>
      </c>
    </row>
    <row r="27" spans="1:21">
      <c r="A27" s="128" t="s">
        <v>152</v>
      </c>
      <c r="B27" s="10" t="s">
        <v>107</v>
      </c>
      <c r="C27" s="23" t="s">
        <v>59</v>
      </c>
      <c r="D27" s="10" t="s">
        <v>36</v>
      </c>
      <c r="E27" s="31">
        <v>2</v>
      </c>
      <c r="F27" s="31">
        <v>3.1</v>
      </c>
      <c r="G27" s="31">
        <v>1707.63</v>
      </c>
      <c r="H27" s="32">
        <f t="shared" si="3"/>
        <v>5.2936529999999999</v>
      </c>
      <c r="I27" s="33">
        <v>0</v>
      </c>
      <c r="J27" s="33">
        <v>0</v>
      </c>
      <c r="K27" s="33">
        <v>0</v>
      </c>
      <c r="L27" s="33">
        <v>0</v>
      </c>
      <c r="M27" s="33">
        <f>F27/6*G27</f>
        <v>882.27550000000019</v>
      </c>
      <c r="N27" s="33">
        <f>F27/6*G27</f>
        <v>882.27550000000019</v>
      </c>
      <c r="O27" s="33">
        <f>F27/6*G27</f>
        <v>882.27550000000019</v>
      </c>
      <c r="P27" s="33">
        <f>F27/6*G27</f>
        <v>882.27550000000019</v>
      </c>
      <c r="Q27" s="33">
        <f>F27/6*G27</f>
        <v>882.27550000000019</v>
      </c>
      <c r="R27" s="33">
        <f>F27/6*G27</f>
        <v>882.27550000000019</v>
      </c>
      <c r="S27" s="33">
        <v>0</v>
      </c>
      <c r="T27" s="33">
        <v>0</v>
      </c>
      <c r="U27" s="33">
        <f t="shared" si="4"/>
        <v>3529.1020000000008</v>
      </c>
    </row>
    <row r="28" spans="1:21">
      <c r="A28" s="128" t="s">
        <v>153</v>
      </c>
      <c r="B28" s="10" t="s">
        <v>34</v>
      </c>
      <c r="C28" s="23" t="s">
        <v>35</v>
      </c>
      <c r="D28" s="10" t="s">
        <v>36</v>
      </c>
      <c r="E28" s="42">
        <f>1/3</f>
        <v>0.33333333333333331</v>
      </c>
      <c r="F28" s="31">
        <f>155/3</f>
        <v>51.666666666666664</v>
      </c>
      <c r="G28" s="31">
        <v>74.349999999999994</v>
      </c>
      <c r="H28" s="32">
        <f t="shared" si="3"/>
        <v>3.841416666666666</v>
      </c>
      <c r="I28" s="33">
        <v>0</v>
      </c>
      <c r="J28" s="33">
        <v>0</v>
      </c>
      <c r="K28" s="33">
        <v>0</v>
      </c>
      <c r="L28" s="33">
        <v>0</v>
      </c>
      <c r="M28" s="33">
        <f>F28/6*G28</f>
        <v>640.23611111111109</v>
      </c>
      <c r="N28" s="33">
        <f>F28/6*G28</f>
        <v>640.23611111111109</v>
      </c>
      <c r="O28" s="33">
        <f>F28/6*G28</f>
        <v>640.23611111111109</v>
      </c>
      <c r="P28" s="33">
        <f>F28/6*G28</f>
        <v>640.23611111111109</v>
      </c>
      <c r="Q28" s="33">
        <f>F28/6*G28</f>
        <v>640.23611111111109</v>
      </c>
      <c r="R28" s="33">
        <f>F28/6*G28</f>
        <v>640.23611111111109</v>
      </c>
      <c r="S28" s="33">
        <v>0</v>
      </c>
      <c r="T28" s="33">
        <v>0</v>
      </c>
      <c r="U28" s="33">
        <f t="shared" si="4"/>
        <v>2560.9444444444443</v>
      </c>
    </row>
    <row r="29" spans="1:21" ht="12.75" customHeight="1">
      <c r="A29" s="128" t="s">
        <v>154</v>
      </c>
      <c r="B29" s="10" t="s">
        <v>37</v>
      </c>
      <c r="C29" s="23" t="s">
        <v>38</v>
      </c>
      <c r="D29" s="10" t="s">
        <v>192</v>
      </c>
      <c r="E29" s="43">
        <v>0.1</v>
      </c>
      <c r="F29" s="31">
        <f>SUM(E29*182)</f>
        <v>18.2</v>
      </c>
      <c r="G29" s="31">
        <v>264.85000000000002</v>
      </c>
      <c r="H29" s="32">
        <f t="shared" si="3"/>
        <v>4.8202700000000007</v>
      </c>
      <c r="I29" s="33">
        <f>F29/12*G29</f>
        <v>401.68916666666667</v>
      </c>
      <c r="J29" s="33">
        <f>F29/12*G29</f>
        <v>401.68916666666667</v>
      </c>
      <c r="K29" s="33">
        <f>F29/12*G29</f>
        <v>401.68916666666667</v>
      </c>
      <c r="L29" s="33">
        <f>F29/12*G29</f>
        <v>401.68916666666667</v>
      </c>
      <c r="M29" s="33">
        <f>F29/12*G29</f>
        <v>401.68916666666667</v>
      </c>
      <c r="N29" s="33">
        <f>F29/12*G29</f>
        <v>401.68916666666667</v>
      </c>
      <c r="O29" s="33">
        <f>F29/12*G29</f>
        <v>401.68916666666667</v>
      </c>
      <c r="P29" s="33">
        <f>F29/12*G29</f>
        <v>401.68916666666667</v>
      </c>
      <c r="Q29" s="33">
        <f>F29/12*G29</f>
        <v>401.68916666666667</v>
      </c>
      <c r="R29" s="33">
        <f>F29/12*G29</f>
        <v>401.68916666666667</v>
      </c>
      <c r="S29" s="33">
        <f>F29/12*G29</f>
        <v>401.68916666666667</v>
      </c>
      <c r="T29" s="33">
        <f>F29/12*G29</f>
        <v>401.68916666666667</v>
      </c>
      <c r="U29" s="33">
        <f t="shared" si="4"/>
        <v>2410.1349999999998</v>
      </c>
    </row>
    <row r="30" spans="1:21" ht="12.75" customHeight="1">
      <c r="A30" s="128" t="s">
        <v>155</v>
      </c>
      <c r="B30" s="10" t="s">
        <v>129</v>
      </c>
      <c r="C30" s="23" t="s">
        <v>38</v>
      </c>
      <c r="D30" s="10" t="s">
        <v>39</v>
      </c>
      <c r="E30" s="30"/>
      <c r="F30" s="31">
        <v>2</v>
      </c>
      <c r="G30" s="31">
        <v>250.92</v>
      </c>
      <c r="H30" s="32">
        <f t="shared" si="3"/>
        <v>0.50183999999999995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f t="shared" si="4"/>
        <v>0</v>
      </c>
    </row>
    <row r="31" spans="1:21" ht="12.75" customHeight="1">
      <c r="A31" s="128" t="s">
        <v>126</v>
      </c>
      <c r="B31" s="10" t="s">
        <v>137</v>
      </c>
      <c r="C31" s="23" t="s">
        <v>40</v>
      </c>
      <c r="D31" s="10" t="s">
        <v>39</v>
      </c>
      <c r="E31" s="30"/>
      <c r="F31" s="31">
        <v>1</v>
      </c>
      <c r="G31" s="31">
        <v>1490.31</v>
      </c>
      <c r="H31" s="32">
        <f t="shared" si="3"/>
        <v>1.49031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0</v>
      </c>
      <c r="S31" s="33">
        <v>0</v>
      </c>
      <c r="T31" s="33">
        <v>0</v>
      </c>
      <c r="U31" s="33">
        <f t="shared" si="4"/>
        <v>0</v>
      </c>
    </row>
    <row r="32" spans="1:21">
      <c r="A32" s="128"/>
      <c r="B32" s="44" t="s">
        <v>41</v>
      </c>
      <c r="C32" s="23" t="s">
        <v>42</v>
      </c>
      <c r="D32" s="44" t="s">
        <v>43</v>
      </c>
      <c r="E32" s="30">
        <v>2135.1999999999998</v>
      </c>
      <c r="F32" s="31">
        <f>SUM(E32*12)</f>
        <v>25622.399999999998</v>
      </c>
      <c r="G32" s="31">
        <v>3.58</v>
      </c>
      <c r="H32" s="32">
        <f t="shared" si="3"/>
        <v>91.728191999999993</v>
      </c>
      <c r="I32" s="33">
        <f>F32/12*G32</f>
        <v>7644.0159999999996</v>
      </c>
      <c r="J32" s="33">
        <f>F32/12*G32</f>
        <v>7644.0159999999996</v>
      </c>
      <c r="K32" s="33">
        <f>F32/12*G32</f>
        <v>7644.0159999999996</v>
      </c>
      <c r="L32" s="33">
        <f>F32/12*G32</f>
        <v>7644.0159999999996</v>
      </c>
      <c r="M32" s="33">
        <f>F32/12*G32</f>
        <v>7644.0159999999996</v>
      </c>
      <c r="N32" s="33">
        <f>F32/12*G32</f>
        <v>7644.0159999999996</v>
      </c>
      <c r="O32" s="33">
        <f>F32/12*G32</f>
        <v>7644.0159999999996</v>
      </c>
      <c r="P32" s="33">
        <f>F32/12*G32</f>
        <v>7644.0159999999996</v>
      </c>
      <c r="Q32" s="33">
        <f>F32/12*G32</f>
        <v>7644.0159999999996</v>
      </c>
      <c r="R32" s="33">
        <f>F32/12*G32</f>
        <v>7644.0159999999996</v>
      </c>
      <c r="S32" s="33">
        <f>F32/12*G32</f>
        <v>7644.0159999999996</v>
      </c>
      <c r="T32" s="33">
        <f>F32/12*G32</f>
        <v>7644.0159999999996</v>
      </c>
      <c r="U32" s="33">
        <f t="shared" si="4"/>
        <v>45864.096000000005</v>
      </c>
    </row>
    <row r="33" spans="1:21" s="19" customFormat="1">
      <c r="A33" s="129"/>
      <c r="B33" s="20" t="s">
        <v>27</v>
      </c>
      <c r="C33" s="36"/>
      <c r="D33" s="20"/>
      <c r="E33" s="37"/>
      <c r="F33" s="38"/>
      <c r="G33" s="38"/>
      <c r="H33" s="45">
        <f>SUM(H24:H32)</f>
        <v>115.40012055766667</v>
      </c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>
        <f>SUM(U24:U32)</f>
        <v>58637.415213777786</v>
      </c>
    </row>
    <row r="34" spans="1:21">
      <c r="A34" s="128"/>
      <c r="B34" s="12" t="s">
        <v>44</v>
      </c>
      <c r="C34" s="23"/>
      <c r="D34" s="10"/>
      <c r="E34" s="30"/>
      <c r="F34" s="31"/>
      <c r="G34" s="31"/>
      <c r="H34" s="32" t="s">
        <v>43</v>
      </c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</row>
    <row r="35" spans="1:21" ht="12.75" customHeight="1">
      <c r="A35" s="128" t="s">
        <v>126</v>
      </c>
      <c r="B35" s="13" t="s">
        <v>45</v>
      </c>
      <c r="C35" s="23" t="s">
        <v>40</v>
      </c>
      <c r="D35" s="10"/>
      <c r="E35" s="30"/>
      <c r="F35" s="31">
        <v>4</v>
      </c>
      <c r="G35" s="31">
        <v>2003</v>
      </c>
      <c r="H35" s="32">
        <f t="shared" ref="H35:H41" si="5">SUM(F35*G35/1000)</f>
        <v>8.0120000000000005</v>
      </c>
      <c r="I35" s="33">
        <f t="shared" ref="I35:I41" si="6">F35/6*G35</f>
        <v>1335.3333333333333</v>
      </c>
      <c r="J35" s="33">
        <f t="shared" ref="J35:J41" si="7">F35/6*G35</f>
        <v>1335.3333333333333</v>
      </c>
      <c r="K35" s="33">
        <f t="shared" ref="K35:K41" si="8">F35/6*G35</f>
        <v>1335.3333333333333</v>
      </c>
      <c r="L35" s="33">
        <f t="shared" ref="L35:L41" si="9">F35/6*G35</f>
        <v>1335.3333333333333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f t="shared" ref="S35:S41" si="10">F35/6*G35</f>
        <v>1335.3333333333333</v>
      </c>
      <c r="T35" s="33">
        <f t="shared" ref="T35:T41" si="11">F35/6*G35</f>
        <v>1335.3333333333333</v>
      </c>
      <c r="U35" s="33">
        <f t="shared" ref="U35:U41" si="12">SUM(O35:T35)</f>
        <v>2670.6666666666665</v>
      </c>
    </row>
    <row r="36" spans="1:21">
      <c r="A36" s="130" t="s">
        <v>156</v>
      </c>
      <c r="B36" s="13" t="s">
        <v>193</v>
      </c>
      <c r="C36" s="47" t="s">
        <v>46</v>
      </c>
      <c r="D36" s="10" t="s">
        <v>100</v>
      </c>
      <c r="E36" s="30">
        <v>108.9</v>
      </c>
      <c r="F36" s="46">
        <f>E36*30/1000</f>
        <v>3.2669999999999999</v>
      </c>
      <c r="G36" s="31">
        <v>2757.78</v>
      </c>
      <c r="H36" s="32">
        <f t="shared" si="5"/>
        <v>9.0096672600000005</v>
      </c>
      <c r="I36" s="33">
        <f t="shared" si="6"/>
        <v>1501.61121</v>
      </c>
      <c r="J36" s="33">
        <f t="shared" si="7"/>
        <v>1501.61121</v>
      </c>
      <c r="K36" s="33">
        <f t="shared" si="8"/>
        <v>1501.61121</v>
      </c>
      <c r="L36" s="33">
        <f t="shared" si="9"/>
        <v>1501.61121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3">
        <f t="shared" si="10"/>
        <v>1501.61121</v>
      </c>
      <c r="T36" s="33">
        <f t="shared" si="11"/>
        <v>1501.61121</v>
      </c>
      <c r="U36" s="33">
        <f t="shared" si="12"/>
        <v>3003.2224200000001</v>
      </c>
    </row>
    <row r="37" spans="1:21" ht="24.75" customHeight="1">
      <c r="A37" s="128" t="s">
        <v>157</v>
      </c>
      <c r="B37" s="10" t="s">
        <v>130</v>
      </c>
      <c r="C37" s="23" t="s">
        <v>46</v>
      </c>
      <c r="D37" s="10" t="s">
        <v>47</v>
      </c>
      <c r="E37" s="31">
        <v>108.9</v>
      </c>
      <c r="F37" s="46">
        <f>SUM(E37*155/1000)</f>
        <v>16.8795</v>
      </c>
      <c r="G37" s="31">
        <v>460.02</v>
      </c>
      <c r="H37" s="32">
        <f t="shared" si="5"/>
        <v>7.76490759</v>
      </c>
      <c r="I37" s="33">
        <f t="shared" si="6"/>
        <v>1294.151265</v>
      </c>
      <c r="J37" s="33">
        <f t="shared" si="7"/>
        <v>1294.151265</v>
      </c>
      <c r="K37" s="33">
        <f t="shared" si="8"/>
        <v>1294.151265</v>
      </c>
      <c r="L37" s="33">
        <f t="shared" si="9"/>
        <v>1294.151265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S37" s="33">
        <f t="shared" si="10"/>
        <v>1294.151265</v>
      </c>
      <c r="T37" s="33">
        <f t="shared" si="11"/>
        <v>1294.151265</v>
      </c>
      <c r="U37" s="33">
        <f t="shared" si="12"/>
        <v>2588.3025299999999</v>
      </c>
    </row>
    <row r="38" spans="1:21" ht="12.75" customHeight="1">
      <c r="A38" s="128" t="s">
        <v>126</v>
      </c>
      <c r="B38" s="10" t="s">
        <v>194</v>
      </c>
      <c r="C38" s="23" t="s">
        <v>195</v>
      </c>
      <c r="D38" s="10" t="s">
        <v>39</v>
      </c>
      <c r="E38" s="30"/>
      <c r="F38" s="46">
        <v>39</v>
      </c>
      <c r="G38" s="31">
        <v>314</v>
      </c>
      <c r="H38" s="32">
        <f t="shared" si="5"/>
        <v>12.246</v>
      </c>
      <c r="I38" s="33"/>
      <c r="J38" s="33"/>
      <c r="K38" s="33"/>
      <c r="L38" s="33"/>
      <c r="M38" s="33"/>
      <c r="N38" s="33"/>
      <c r="O38" s="33">
        <v>0</v>
      </c>
      <c r="P38" s="33">
        <v>0</v>
      </c>
      <c r="Q38" s="33"/>
      <c r="R38" s="33"/>
      <c r="S38" s="33"/>
      <c r="T38" s="33"/>
      <c r="U38" s="33">
        <f t="shared" si="12"/>
        <v>0</v>
      </c>
    </row>
    <row r="39" spans="1:21" ht="51" customHeight="1">
      <c r="A39" s="128" t="s">
        <v>158</v>
      </c>
      <c r="B39" s="10" t="s">
        <v>131</v>
      </c>
      <c r="C39" s="23" t="s">
        <v>30</v>
      </c>
      <c r="D39" s="10" t="s">
        <v>108</v>
      </c>
      <c r="E39" s="31">
        <v>40</v>
      </c>
      <c r="F39" s="46">
        <f>SUM(E39*35/1000)</f>
        <v>1.4</v>
      </c>
      <c r="G39" s="31">
        <v>7611.16</v>
      </c>
      <c r="H39" s="32">
        <f t="shared" si="5"/>
        <v>10.655624</v>
      </c>
      <c r="I39" s="33">
        <f t="shared" si="6"/>
        <v>1775.9373333333331</v>
      </c>
      <c r="J39" s="33">
        <f t="shared" si="7"/>
        <v>1775.9373333333331</v>
      </c>
      <c r="K39" s="33">
        <f t="shared" si="8"/>
        <v>1775.9373333333331</v>
      </c>
      <c r="L39" s="33">
        <f t="shared" si="9"/>
        <v>1775.9373333333331</v>
      </c>
      <c r="M39" s="33">
        <v>0</v>
      </c>
      <c r="N39" s="33">
        <v>0</v>
      </c>
      <c r="O39" s="33">
        <v>0</v>
      </c>
      <c r="P39" s="33">
        <v>0</v>
      </c>
      <c r="Q39" s="33">
        <v>0</v>
      </c>
      <c r="R39" s="33">
        <v>0</v>
      </c>
      <c r="S39" s="33">
        <f t="shared" si="10"/>
        <v>1775.9373333333331</v>
      </c>
      <c r="T39" s="33">
        <f t="shared" si="11"/>
        <v>1775.9373333333331</v>
      </c>
      <c r="U39" s="33">
        <f t="shared" si="12"/>
        <v>3551.8746666666661</v>
      </c>
    </row>
    <row r="40" spans="1:21" ht="12.75" customHeight="1">
      <c r="A40" s="128" t="s">
        <v>159</v>
      </c>
      <c r="B40" s="10" t="s">
        <v>132</v>
      </c>
      <c r="C40" s="23" t="s">
        <v>30</v>
      </c>
      <c r="D40" s="10" t="s">
        <v>227</v>
      </c>
      <c r="E40" s="31">
        <v>108.9</v>
      </c>
      <c r="F40" s="46">
        <f>SUM(E40*15/1000)</f>
        <v>1.6335</v>
      </c>
      <c r="G40" s="31">
        <v>562.25</v>
      </c>
      <c r="H40" s="32">
        <f t="shared" si="5"/>
        <v>0.91843537500000005</v>
      </c>
      <c r="I40" s="33">
        <f t="shared" si="6"/>
        <v>153.0725625</v>
      </c>
      <c r="J40" s="33">
        <f t="shared" si="7"/>
        <v>153.0725625</v>
      </c>
      <c r="K40" s="33">
        <f t="shared" si="8"/>
        <v>153.0725625</v>
      </c>
      <c r="L40" s="33">
        <f t="shared" si="9"/>
        <v>153.0725625</v>
      </c>
      <c r="M40" s="33">
        <v>0</v>
      </c>
      <c r="N40" s="33">
        <v>0</v>
      </c>
      <c r="O40" s="33">
        <v>0</v>
      </c>
      <c r="P40" s="33">
        <v>0</v>
      </c>
      <c r="Q40" s="33">
        <v>0</v>
      </c>
      <c r="R40" s="33">
        <v>0</v>
      </c>
      <c r="S40" s="33">
        <v>0</v>
      </c>
      <c r="T40" s="33">
        <v>0</v>
      </c>
      <c r="U40" s="33">
        <f t="shared" si="12"/>
        <v>0</v>
      </c>
    </row>
    <row r="41" spans="1:21" s="1" customFormat="1">
      <c r="A41" s="130"/>
      <c r="B41" s="13" t="s">
        <v>133</v>
      </c>
      <c r="C41" s="47" t="s">
        <v>38</v>
      </c>
      <c r="D41" s="13"/>
      <c r="E41" s="43"/>
      <c r="F41" s="46">
        <v>0.5</v>
      </c>
      <c r="G41" s="46">
        <v>974.83</v>
      </c>
      <c r="H41" s="32">
        <f t="shared" si="5"/>
        <v>0.48741500000000004</v>
      </c>
      <c r="I41" s="48">
        <f t="shared" si="6"/>
        <v>81.235833333333332</v>
      </c>
      <c r="J41" s="48">
        <f t="shared" si="7"/>
        <v>81.235833333333332</v>
      </c>
      <c r="K41" s="48">
        <f t="shared" si="8"/>
        <v>81.235833333333332</v>
      </c>
      <c r="L41" s="48">
        <f t="shared" si="9"/>
        <v>81.235833333333332</v>
      </c>
      <c r="M41" s="48">
        <v>0</v>
      </c>
      <c r="N41" s="48">
        <v>0</v>
      </c>
      <c r="O41" s="48">
        <v>0</v>
      </c>
      <c r="P41" s="48">
        <v>0</v>
      </c>
      <c r="Q41" s="48">
        <v>0</v>
      </c>
      <c r="R41" s="48">
        <v>0</v>
      </c>
      <c r="S41" s="48">
        <f t="shared" si="10"/>
        <v>81.235833333333332</v>
      </c>
      <c r="T41" s="48">
        <f t="shared" si="11"/>
        <v>81.235833333333332</v>
      </c>
      <c r="U41" s="33">
        <f t="shared" si="12"/>
        <v>162.47166666666666</v>
      </c>
    </row>
    <row r="42" spans="1:21" s="19" customFormat="1">
      <c r="A42" s="129"/>
      <c r="B42" s="20" t="s">
        <v>27</v>
      </c>
      <c r="C42" s="36"/>
      <c r="D42" s="20"/>
      <c r="E42" s="37"/>
      <c r="F42" s="38" t="s">
        <v>43</v>
      </c>
      <c r="G42" s="38"/>
      <c r="H42" s="45">
        <f>SUM(H35:H41)</f>
        <v>49.094049225000006</v>
      </c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>
        <f>SUM(U35:U41)</f>
        <v>11976.53795</v>
      </c>
    </row>
    <row r="43" spans="1:21">
      <c r="A43" s="128"/>
      <c r="B43" s="14" t="s">
        <v>48</v>
      </c>
      <c r="C43" s="23"/>
      <c r="D43" s="10"/>
      <c r="E43" s="30"/>
      <c r="F43" s="31"/>
      <c r="G43" s="31"/>
      <c r="H43" s="32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</row>
    <row r="44" spans="1:21">
      <c r="A44" s="128" t="s">
        <v>160</v>
      </c>
      <c r="B44" s="10" t="s">
        <v>138</v>
      </c>
      <c r="C44" s="23" t="s">
        <v>30</v>
      </c>
      <c r="D44" s="10" t="s">
        <v>49</v>
      </c>
      <c r="E44" s="30">
        <v>838.88</v>
      </c>
      <c r="F44" s="31">
        <f>SUM(E44*2/1000)</f>
        <v>1.6777599999999999</v>
      </c>
      <c r="G44" s="49">
        <v>1062</v>
      </c>
      <c r="H44" s="32">
        <f t="shared" ref="H44:H53" si="13">SUM(F44*G44/1000)</f>
        <v>1.7817811199999998</v>
      </c>
      <c r="I44" s="33">
        <v>0</v>
      </c>
      <c r="J44" s="33">
        <v>0</v>
      </c>
      <c r="K44" s="33">
        <v>0</v>
      </c>
      <c r="L44" s="33">
        <v>0</v>
      </c>
      <c r="M44" s="33">
        <f>F44/2*G44</f>
        <v>890.89055999999994</v>
      </c>
      <c r="N44" s="33">
        <v>0</v>
      </c>
      <c r="O44" s="33">
        <v>0</v>
      </c>
      <c r="P44" s="33">
        <v>0</v>
      </c>
      <c r="Q44" s="33">
        <f>F44/2*G44</f>
        <v>890.89055999999994</v>
      </c>
      <c r="R44" s="33">
        <v>0</v>
      </c>
      <c r="S44" s="33">
        <v>0</v>
      </c>
      <c r="T44" s="33">
        <v>0</v>
      </c>
      <c r="U44" s="33">
        <f t="shared" ref="U44:U53" si="14">SUM(O44:T44)</f>
        <v>890.89055999999994</v>
      </c>
    </row>
    <row r="45" spans="1:21">
      <c r="A45" s="128" t="s">
        <v>161</v>
      </c>
      <c r="B45" s="10" t="s">
        <v>50</v>
      </c>
      <c r="C45" s="23" t="s">
        <v>30</v>
      </c>
      <c r="D45" s="10" t="s">
        <v>49</v>
      </c>
      <c r="E45" s="30">
        <v>26</v>
      </c>
      <c r="F45" s="31">
        <f>E45*2/1000</f>
        <v>5.1999999999999998E-2</v>
      </c>
      <c r="G45" s="49">
        <v>759.98</v>
      </c>
      <c r="H45" s="32">
        <f t="shared" si="13"/>
        <v>3.9518959999999999E-2</v>
      </c>
      <c r="I45" s="33">
        <v>0</v>
      </c>
      <c r="J45" s="33">
        <v>0</v>
      </c>
      <c r="K45" s="33">
        <v>0</v>
      </c>
      <c r="L45" s="33">
        <v>0</v>
      </c>
      <c r="M45" s="33">
        <f t="shared" ref="M45:M48" si="15">F45/2*G45</f>
        <v>19.75948</v>
      </c>
      <c r="N45" s="33">
        <v>0</v>
      </c>
      <c r="O45" s="33">
        <v>0</v>
      </c>
      <c r="P45" s="33">
        <v>0</v>
      </c>
      <c r="Q45" s="33">
        <f>F45/2*G45</f>
        <v>19.75948</v>
      </c>
      <c r="R45" s="33">
        <v>0</v>
      </c>
      <c r="S45" s="33">
        <v>0</v>
      </c>
      <c r="T45" s="33">
        <v>0</v>
      </c>
      <c r="U45" s="33">
        <f t="shared" si="14"/>
        <v>19.75948</v>
      </c>
    </row>
    <row r="46" spans="1:21" ht="12.75" customHeight="1">
      <c r="A46" s="128" t="s">
        <v>162</v>
      </c>
      <c r="B46" s="10" t="s">
        <v>51</v>
      </c>
      <c r="C46" s="23" t="s">
        <v>30</v>
      </c>
      <c r="D46" s="10" t="s">
        <v>49</v>
      </c>
      <c r="E46" s="30">
        <v>879</v>
      </c>
      <c r="F46" s="31">
        <f>SUM(E46*2/1000)</f>
        <v>1.758</v>
      </c>
      <c r="G46" s="49">
        <v>759.98</v>
      </c>
      <c r="H46" s="32">
        <f t="shared" si="13"/>
        <v>1.33604484</v>
      </c>
      <c r="I46" s="33">
        <v>0</v>
      </c>
      <c r="J46" s="33">
        <v>0</v>
      </c>
      <c r="K46" s="33">
        <v>0</v>
      </c>
      <c r="L46" s="33">
        <v>0</v>
      </c>
      <c r="M46" s="33">
        <f t="shared" si="15"/>
        <v>668.02242000000001</v>
      </c>
      <c r="N46" s="33">
        <v>0</v>
      </c>
      <c r="O46" s="33">
        <v>0</v>
      </c>
      <c r="P46" s="33">
        <v>0</v>
      </c>
      <c r="Q46" s="33">
        <f>F46/2*G46</f>
        <v>668.02242000000001</v>
      </c>
      <c r="R46" s="33">
        <v>0</v>
      </c>
      <c r="S46" s="33">
        <v>0</v>
      </c>
      <c r="T46" s="33">
        <v>0</v>
      </c>
      <c r="U46" s="33">
        <f t="shared" si="14"/>
        <v>668.02242000000001</v>
      </c>
    </row>
    <row r="47" spans="1:21">
      <c r="A47" s="128" t="s">
        <v>163</v>
      </c>
      <c r="B47" s="10" t="s">
        <v>52</v>
      </c>
      <c r="C47" s="23" t="s">
        <v>30</v>
      </c>
      <c r="D47" s="10" t="s">
        <v>49</v>
      </c>
      <c r="E47" s="30">
        <v>1490.75</v>
      </c>
      <c r="F47" s="31">
        <f>SUM(E47*2/1000)</f>
        <v>2.9815</v>
      </c>
      <c r="G47" s="49">
        <v>795.82</v>
      </c>
      <c r="H47" s="32">
        <f t="shared" si="13"/>
        <v>2.3727373300000005</v>
      </c>
      <c r="I47" s="33">
        <v>0</v>
      </c>
      <c r="J47" s="33">
        <v>0</v>
      </c>
      <c r="K47" s="33">
        <v>0</v>
      </c>
      <c r="L47" s="33">
        <v>0</v>
      </c>
      <c r="M47" s="33">
        <f t="shared" si="15"/>
        <v>1186.3686650000002</v>
      </c>
      <c r="N47" s="33">
        <v>0</v>
      </c>
      <c r="O47" s="33">
        <v>0</v>
      </c>
      <c r="P47" s="33">
        <v>0</v>
      </c>
      <c r="Q47" s="33">
        <f>F47/2*G47</f>
        <v>1186.3686650000002</v>
      </c>
      <c r="R47" s="33">
        <v>0</v>
      </c>
      <c r="S47" s="33">
        <v>0</v>
      </c>
      <c r="T47" s="33">
        <v>0</v>
      </c>
      <c r="U47" s="33">
        <f t="shared" si="14"/>
        <v>1186.3686650000002</v>
      </c>
    </row>
    <row r="48" spans="1:21">
      <c r="A48" s="128" t="s">
        <v>164</v>
      </c>
      <c r="B48" s="10" t="s">
        <v>104</v>
      </c>
      <c r="C48" s="23" t="s">
        <v>105</v>
      </c>
      <c r="D48" s="10" t="s">
        <v>49</v>
      </c>
      <c r="E48" s="30">
        <v>61.04</v>
      </c>
      <c r="F48" s="31">
        <f>SUM(E48*2/100)</f>
        <v>1.2207999999999999</v>
      </c>
      <c r="G48" s="49">
        <v>95.49</v>
      </c>
      <c r="H48" s="32">
        <f t="shared" si="13"/>
        <v>0.11657419199999998</v>
      </c>
      <c r="I48" s="33">
        <v>0</v>
      </c>
      <c r="J48" s="33">
        <v>0</v>
      </c>
      <c r="K48" s="33">
        <v>0</v>
      </c>
      <c r="L48" s="33">
        <v>0</v>
      </c>
      <c r="M48" s="33">
        <f t="shared" si="15"/>
        <v>58.287095999999991</v>
      </c>
      <c r="N48" s="33">
        <v>0</v>
      </c>
      <c r="O48" s="33">
        <v>0</v>
      </c>
      <c r="P48" s="33">
        <v>0</v>
      </c>
      <c r="Q48" s="33">
        <f>F48/2*G48</f>
        <v>58.287095999999991</v>
      </c>
      <c r="R48" s="33">
        <v>0</v>
      </c>
      <c r="S48" s="33">
        <v>0</v>
      </c>
      <c r="T48" s="33">
        <v>0</v>
      </c>
      <c r="U48" s="33">
        <f t="shared" si="14"/>
        <v>58.287095999999991</v>
      </c>
    </row>
    <row r="49" spans="1:21" ht="25.5">
      <c r="A49" s="128" t="s">
        <v>165</v>
      </c>
      <c r="B49" s="10" t="s">
        <v>53</v>
      </c>
      <c r="C49" s="23" t="s">
        <v>30</v>
      </c>
      <c r="D49" s="10" t="s">
        <v>54</v>
      </c>
      <c r="E49" s="30">
        <v>2135.1999999999998</v>
      </c>
      <c r="F49" s="31">
        <f>SUM(E49*5/1000)</f>
        <v>10.676</v>
      </c>
      <c r="G49" s="49">
        <v>1591.6</v>
      </c>
      <c r="H49" s="32">
        <f t="shared" si="13"/>
        <v>16.991921599999998</v>
      </c>
      <c r="I49" s="33">
        <f>F49/5*G49</f>
        <v>3398.3843200000001</v>
      </c>
      <c r="J49" s="33">
        <f>F49/5*G49</f>
        <v>3398.3843200000001</v>
      </c>
      <c r="K49" s="33">
        <v>0</v>
      </c>
      <c r="L49" s="33">
        <v>0</v>
      </c>
      <c r="M49" s="33">
        <f>F49/5*G49</f>
        <v>3398.3843200000001</v>
      </c>
      <c r="N49" s="33">
        <v>0</v>
      </c>
      <c r="O49" s="33">
        <v>0</v>
      </c>
      <c r="P49" s="33">
        <v>0</v>
      </c>
      <c r="Q49" s="33">
        <f>F49/5*G49</f>
        <v>3398.3843200000001</v>
      </c>
      <c r="R49" s="33">
        <v>0</v>
      </c>
      <c r="S49" s="33">
        <v>0</v>
      </c>
      <c r="T49" s="33">
        <f>F49/5*G49</f>
        <v>3398.3843200000001</v>
      </c>
      <c r="U49" s="33">
        <f t="shared" si="14"/>
        <v>6796.7686400000002</v>
      </c>
    </row>
    <row r="50" spans="1:21" ht="38.25" customHeight="1">
      <c r="A50" s="128" t="s">
        <v>166</v>
      </c>
      <c r="B50" s="10" t="s">
        <v>55</v>
      </c>
      <c r="C50" s="23" t="s">
        <v>30</v>
      </c>
      <c r="D50" s="10" t="s">
        <v>49</v>
      </c>
      <c r="E50" s="30">
        <v>2135.1999999999998</v>
      </c>
      <c r="F50" s="31">
        <f>SUM(E50*2/1000)</f>
        <v>4.2703999999999995</v>
      </c>
      <c r="G50" s="49">
        <v>1591.6</v>
      </c>
      <c r="H50" s="32">
        <f t="shared" si="13"/>
        <v>6.796768639999998</v>
      </c>
      <c r="I50" s="33">
        <v>0</v>
      </c>
      <c r="J50" s="33">
        <v>0</v>
      </c>
      <c r="K50" s="33">
        <v>0</v>
      </c>
      <c r="L50" s="33">
        <v>0</v>
      </c>
      <c r="M50" s="33">
        <f>F50/2*G50</f>
        <v>3398.3843199999992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f>F50/2*G50</f>
        <v>3398.3843199999992</v>
      </c>
      <c r="T50" s="33">
        <v>0</v>
      </c>
      <c r="U50" s="33">
        <f t="shared" si="14"/>
        <v>3398.3843199999992</v>
      </c>
    </row>
    <row r="51" spans="1:21" ht="25.5" customHeight="1">
      <c r="A51" s="128" t="s">
        <v>167</v>
      </c>
      <c r="B51" s="10" t="s">
        <v>56</v>
      </c>
      <c r="C51" s="23" t="s">
        <v>57</v>
      </c>
      <c r="D51" s="10" t="s">
        <v>49</v>
      </c>
      <c r="E51" s="30">
        <v>10</v>
      </c>
      <c r="F51" s="31">
        <f>SUM(E51*2/100)</f>
        <v>0.2</v>
      </c>
      <c r="G51" s="49">
        <v>3581.13</v>
      </c>
      <c r="H51" s="32">
        <f t="shared" si="13"/>
        <v>0.71622600000000014</v>
      </c>
      <c r="I51" s="33">
        <v>0</v>
      </c>
      <c r="J51" s="33">
        <v>0</v>
      </c>
      <c r="K51" s="33">
        <v>0</v>
      </c>
      <c r="L51" s="33">
        <v>0</v>
      </c>
      <c r="M51" s="33">
        <f>F51/2*G51</f>
        <v>358.11300000000006</v>
      </c>
      <c r="N51" s="33">
        <v>0</v>
      </c>
      <c r="O51" s="33">
        <v>0</v>
      </c>
      <c r="P51" s="33">
        <v>0</v>
      </c>
      <c r="Q51" s="33">
        <v>0</v>
      </c>
      <c r="R51" s="33">
        <v>0</v>
      </c>
      <c r="S51" s="33">
        <f>F51/2*G51</f>
        <v>358.11300000000006</v>
      </c>
      <c r="T51" s="33">
        <v>0</v>
      </c>
      <c r="U51" s="33">
        <f t="shared" si="14"/>
        <v>358.11300000000006</v>
      </c>
    </row>
    <row r="52" spans="1:21">
      <c r="A52" s="128" t="s">
        <v>168</v>
      </c>
      <c r="B52" s="10" t="s">
        <v>58</v>
      </c>
      <c r="C52" s="23" t="s">
        <v>59</v>
      </c>
      <c r="D52" s="10" t="s">
        <v>49</v>
      </c>
      <c r="E52" s="30">
        <v>1</v>
      </c>
      <c r="F52" s="31">
        <v>0.02</v>
      </c>
      <c r="G52" s="49">
        <v>7412.92</v>
      </c>
      <c r="H52" s="32">
        <f t="shared" si="13"/>
        <v>0.14825839999999998</v>
      </c>
      <c r="I52" s="33">
        <v>0</v>
      </c>
      <c r="J52" s="33">
        <v>0</v>
      </c>
      <c r="K52" s="33">
        <v>0</v>
      </c>
      <c r="L52" s="33">
        <f>F52/2*G52</f>
        <v>74.129199999999997</v>
      </c>
      <c r="M52" s="139">
        <v>0</v>
      </c>
      <c r="N52" s="33">
        <v>0</v>
      </c>
      <c r="O52" s="33">
        <v>0</v>
      </c>
      <c r="P52" s="33">
        <v>0</v>
      </c>
      <c r="Q52" s="33">
        <v>0</v>
      </c>
      <c r="R52" s="33">
        <v>0</v>
      </c>
      <c r="S52" s="33">
        <f>F52/2*G52</f>
        <v>74.129199999999997</v>
      </c>
      <c r="T52" s="33">
        <v>0</v>
      </c>
      <c r="U52" s="33">
        <f t="shared" si="14"/>
        <v>74.129199999999997</v>
      </c>
    </row>
    <row r="53" spans="1:21" ht="13.5" customHeight="1">
      <c r="A53" s="128" t="s">
        <v>61</v>
      </c>
      <c r="B53" s="10" t="s">
        <v>62</v>
      </c>
      <c r="C53" s="23" t="s">
        <v>60</v>
      </c>
      <c r="D53" s="10" t="s">
        <v>98</v>
      </c>
      <c r="E53" s="30">
        <v>80</v>
      </c>
      <c r="F53" s="31">
        <f>SUM(E53)*3</f>
        <v>240</v>
      </c>
      <c r="G53" s="50">
        <v>86.15</v>
      </c>
      <c r="H53" s="32">
        <f t="shared" si="13"/>
        <v>20.675999999999998</v>
      </c>
      <c r="I53" s="33">
        <f>E53*G53</f>
        <v>6892</v>
      </c>
      <c r="J53" s="33">
        <v>0</v>
      </c>
      <c r="K53" s="33">
        <v>0</v>
      </c>
      <c r="L53" s="33">
        <v>0</v>
      </c>
      <c r="M53" s="33">
        <f>E53*G53</f>
        <v>6892</v>
      </c>
      <c r="N53" s="33">
        <v>0</v>
      </c>
      <c r="O53" s="33">
        <f>0</f>
        <v>0</v>
      </c>
      <c r="P53" s="33">
        <v>0</v>
      </c>
      <c r="Q53" s="33">
        <f>E53*G53</f>
        <v>6892</v>
      </c>
      <c r="R53" s="33">
        <v>0</v>
      </c>
      <c r="S53" s="33">
        <v>0</v>
      </c>
      <c r="T53" s="33">
        <v>0</v>
      </c>
      <c r="U53" s="33">
        <f t="shared" si="14"/>
        <v>6892</v>
      </c>
    </row>
    <row r="54" spans="1:21" s="21" customFormat="1">
      <c r="A54" s="129"/>
      <c r="B54" s="20" t="s">
        <v>27</v>
      </c>
      <c r="C54" s="51"/>
      <c r="D54" s="20"/>
      <c r="E54" s="52"/>
      <c r="F54" s="53"/>
      <c r="G54" s="53"/>
      <c r="H54" s="45">
        <f>SUM(H44:H53)</f>
        <v>50.975831081999992</v>
      </c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>
        <f>SUM(U44:U53)</f>
        <v>20342.723380999996</v>
      </c>
    </row>
    <row r="55" spans="1:21">
      <c r="A55" s="128"/>
      <c r="B55" s="12" t="s">
        <v>63</v>
      </c>
      <c r="C55" s="23"/>
      <c r="D55" s="10"/>
      <c r="E55" s="30"/>
      <c r="F55" s="31"/>
      <c r="G55" s="31"/>
      <c r="H55" s="32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</row>
    <row r="56" spans="1:21" ht="38.25" customHeight="1">
      <c r="A56" s="128" t="s">
        <v>169</v>
      </c>
      <c r="B56" s="10" t="s">
        <v>134</v>
      </c>
      <c r="C56" s="23" t="s">
        <v>13</v>
      </c>
      <c r="D56" s="10" t="s">
        <v>64</v>
      </c>
      <c r="E56" s="30">
        <v>45.9</v>
      </c>
      <c r="F56" s="31">
        <f>SUM(E56*6/100)</f>
        <v>2.7539999999999996</v>
      </c>
      <c r="G56" s="49">
        <v>2431.1799999999998</v>
      </c>
      <c r="H56" s="32">
        <f>SUM(F56*G56/1000)</f>
        <v>6.6954697199999984</v>
      </c>
      <c r="I56" s="33">
        <f>F56/6*G56</f>
        <v>1115.9116199999996</v>
      </c>
      <c r="J56" s="33">
        <f>F56/6*G56</f>
        <v>1115.9116199999996</v>
      </c>
      <c r="K56" s="33">
        <f>F56/6*G56</f>
        <v>1115.9116199999996</v>
      </c>
      <c r="L56" s="33">
        <f>F56/6*G56</f>
        <v>1115.9116199999996</v>
      </c>
      <c r="M56" s="33">
        <v>0</v>
      </c>
      <c r="N56" s="33">
        <v>0</v>
      </c>
      <c r="O56" s="33">
        <v>0</v>
      </c>
      <c r="P56" s="33">
        <v>0</v>
      </c>
      <c r="Q56" s="33">
        <v>0</v>
      </c>
      <c r="R56" s="33">
        <v>0</v>
      </c>
      <c r="S56" s="33">
        <f>F56/6*G56</f>
        <v>1115.9116199999996</v>
      </c>
      <c r="T56" s="33">
        <f>F56/6*G56</f>
        <v>1115.9116199999996</v>
      </c>
      <c r="U56" s="33">
        <f t="shared" ref="U56:U84" si="16">SUM(O56:T56)</f>
        <v>2231.8232399999993</v>
      </c>
    </row>
    <row r="57" spans="1:21" ht="12.75" customHeight="1">
      <c r="A57" s="128" t="s">
        <v>126</v>
      </c>
      <c r="B57" s="10" t="s">
        <v>196</v>
      </c>
      <c r="C57" s="23" t="s">
        <v>197</v>
      </c>
      <c r="D57" s="10" t="s">
        <v>39</v>
      </c>
      <c r="E57" s="30"/>
      <c r="F57" s="31">
        <v>2</v>
      </c>
      <c r="G57" s="32">
        <v>1582.05</v>
      </c>
      <c r="H57" s="32">
        <f>SUM(F57*G57/1000)</f>
        <v>3.1640999999999999</v>
      </c>
      <c r="I57" s="33"/>
      <c r="J57" s="33"/>
      <c r="K57" s="33"/>
      <c r="L57" s="33"/>
      <c r="M57" s="33"/>
      <c r="N57" s="33"/>
      <c r="O57" s="33">
        <v>0</v>
      </c>
      <c r="P57" s="33">
        <v>0</v>
      </c>
      <c r="Q57" s="33">
        <v>0</v>
      </c>
      <c r="R57" s="33">
        <v>0</v>
      </c>
      <c r="S57" s="33">
        <v>0</v>
      </c>
      <c r="T57" s="33">
        <v>0</v>
      </c>
      <c r="U57" s="33">
        <f t="shared" si="16"/>
        <v>0</v>
      </c>
    </row>
    <row r="58" spans="1:21">
      <c r="A58" s="128"/>
      <c r="B58" s="11" t="s">
        <v>65</v>
      </c>
      <c r="C58" s="23"/>
      <c r="D58" s="10"/>
      <c r="E58" s="30"/>
      <c r="F58" s="31"/>
      <c r="G58" s="32"/>
      <c r="H58" s="32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</row>
    <row r="59" spans="1:21">
      <c r="A59" s="128" t="s">
        <v>170</v>
      </c>
      <c r="B59" s="10" t="s">
        <v>99</v>
      </c>
      <c r="C59" s="23" t="s">
        <v>13</v>
      </c>
      <c r="D59" s="10" t="s">
        <v>33</v>
      </c>
      <c r="E59" s="30">
        <v>168</v>
      </c>
      <c r="F59" s="32">
        <f>E59/100</f>
        <v>1.68</v>
      </c>
      <c r="G59" s="49">
        <v>1040.8399999999999</v>
      </c>
      <c r="H59" s="56">
        <f>F59*G59/1000</f>
        <v>1.7486111999999998</v>
      </c>
      <c r="I59" s="33">
        <v>0</v>
      </c>
      <c r="J59" s="33">
        <v>0</v>
      </c>
      <c r="K59" s="33">
        <v>0</v>
      </c>
      <c r="L59" s="33">
        <v>0</v>
      </c>
      <c r="M59" s="33">
        <v>0</v>
      </c>
      <c r="N59" s="33">
        <v>0</v>
      </c>
      <c r="O59" s="33">
        <v>0</v>
      </c>
      <c r="P59" s="33">
        <v>0</v>
      </c>
      <c r="Q59" s="33">
        <v>0</v>
      </c>
      <c r="R59" s="33">
        <v>0</v>
      </c>
      <c r="S59" s="33">
        <v>0</v>
      </c>
      <c r="T59" s="33">
        <v>0</v>
      </c>
      <c r="U59" s="33">
        <f t="shared" si="16"/>
        <v>0</v>
      </c>
    </row>
    <row r="60" spans="1:21">
      <c r="A60" s="131" t="s">
        <v>124</v>
      </c>
      <c r="B60" s="58" t="s">
        <v>198</v>
      </c>
      <c r="C60" s="57" t="s">
        <v>199</v>
      </c>
      <c r="D60" s="58" t="s">
        <v>200</v>
      </c>
      <c r="E60" s="59">
        <v>134.19999999999999</v>
      </c>
      <c r="F60" s="32">
        <f>E60*12</f>
        <v>1610.3999999999999</v>
      </c>
      <c r="G60" s="60">
        <v>2.8</v>
      </c>
      <c r="H60" s="56">
        <f>F60*G60/1000</f>
        <v>4.5091199999999994</v>
      </c>
      <c r="I60" s="33"/>
      <c r="J60" s="33"/>
      <c r="K60" s="33"/>
      <c r="L60" s="33"/>
      <c r="M60" s="33"/>
      <c r="N60" s="33"/>
      <c r="O60" s="33">
        <f>F60/12*G60</f>
        <v>375.75999999999993</v>
      </c>
      <c r="P60" s="33">
        <f>F60/12*G60</f>
        <v>375.75999999999993</v>
      </c>
      <c r="Q60" s="33">
        <f>F60/12*G60</f>
        <v>375.75999999999993</v>
      </c>
      <c r="R60" s="33">
        <f>F60/12*G60</f>
        <v>375.75999999999993</v>
      </c>
      <c r="S60" s="33">
        <f>F60/12*G60</f>
        <v>375.75999999999993</v>
      </c>
      <c r="T60" s="33">
        <f>F60/12*G60</f>
        <v>375.75999999999993</v>
      </c>
      <c r="U60" s="33">
        <f t="shared" si="16"/>
        <v>2254.5599999999995</v>
      </c>
    </row>
    <row r="61" spans="1:21">
      <c r="A61" s="131"/>
      <c r="B61" s="15" t="s">
        <v>66</v>
      </c>
      <c r="C61" s="57"/>
      <c r="D61" s="58"/>
      <c r="E61" s="59"/>
      <c r="F61" s="60"/>
      <c r="G61" s="60"/>
      <c r="H61" s="61" t="s">
        <v>43</v>
      </c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</row>
    <row r="62" spans="1:21" ht="12.75" customHeight="1">
      <c r="A62" s="62" t="s">
        <v>171</v>
      </c>
      <c r="B62" s="16" t="s">
        <v>67</v>
      </c>
      <c r="C62" s="62" t="s">
        <v>60</v>
      </c>
      <c r="D62" s="8" t="s">
        <v>39</v>
      </c>
      <c r="E62" s="63">
        <v>5</v>
      </c>
      <c r="F62" s="31">
        <f>E62</f>
        <v>5</v>
      </c>
      <c r="G62" s="49">
        <v>291.68</v>
      </c>
      <c r="H62" s="64">
        <f t="shared" ref="H62:H79" si="17">SUM(F62*G62/1000)</f>
        <v>1.4584000000000001</v>
      </c>
      <c r="I62" s="33">
        <v>0</v>
      </c>
      <c r="J62" s="33">
        <v>0</v>
      </c>
      <c r="K62" s="33">
        <v>0</v>
      </c>
      <c r="L62" s="33">
        <v>0</v>
      </c>
      <c r="M62" s="33">
        <v>0</v>
      </c>
      <c r="N62" s="33">
        <f>G62</f>
        <v>291.68</v>
      </c>
      <c r="O62" s="33">
        <f>G62*6</f>
        <v>1750.08</v>
      </c>
      <c r="P62" s="33">
        <f>G62</f>
        <v>291.68</v>
      </c>
      <c r="Q62" s="33">
        <f>G62*4</f>
        <v>1166.72</v>
      </c>
      <c r="R62" s="33">
        <f>G62*2</f>
        <v>583.36</v>
      </c>
      <c r="S62" s="33">
        <v>0</v>
      </c>
      <c r="T62" s="33">
        <v>0</v>
      </c>
      <c r="U62" s="33">
        <f t="shared" si="16"/>
        <v>3791.84</v>
      </c>
    </row>
    <row r="63" spans="1:21" ht="12.75" customHeight="1">
      <c r="A63" s="62" t="s">
        <v>172</v>
      </c>
      <c r="B63" s="16" t="s">
        <v>68</v>
      </c>
      <c r="C63" s="62" t="s">
        <v>60</v>
      </c>
      <c r="D63" s="8" t="s">
        <v>39</v>
      </c>
      <c r="E63" s="63">
        <v>5</v>
      </c>
      <c r="F63" s="31">
        <f>E63</f>
        <v>5</v>
      </c>
      <c r="G63" s="49">
        <v>100.01</v>
      </c>
      <c r="H63" s="64">
        <f t="shared" si="17"/>
        <v>0.50004999999999999</v>
      </c>
      <c r="I63" s="33">
        <v>0</v>
      </c>
      <c r="J63" s="33">
        <v>0</v>
      </c>
      <c r="K63" s="33">
        <v>0</v>
      </c>
      <c r="L63" s="33">
        <v>0</v>
      </c>
      <c r="M63" s="33">
        <v>0</v>
      </c>
      <c r="N63" s="33">
        <v>0</v>
      </c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f t="shared" si="16"/>
        <v>0</v>
      </c>
    </row>
    <row r="64" spans="1:21" s="1" customFormat="1">
      <c r="A64" s="65" t="s">
        <v>173</v>
      </c>
      <c r="B64" s="16" t="s">
        <v>69</v>
      </c>
      <c r="C64" s="65" t="s">
        <v>70</v>
      </c>
      <c r="D64" s="8" t="s">
        <v>33</v>
      </c>
      <c r="E64" s="30">
        <v>10348</v>
      </c>
      <c r="F64" s="50">
        <f>SUM(E64/100)</f>
        <v>103.48</v>
      </c>
      <c r="G64" s="49">
        <v>278.24</v>
      </c>
      <c r="H64" s="64">
        <f t="shared" si="17"/>
        <v>28.792275200000002</v>
      </c>
      <c r="I64" s="48">
        <v>0</v>
      </c>
      <c r="J64" s="48">
        <v>0</v>
      </c>
      <c r="K64" s="48">
        <v>0</v>
      </c>
      <c r="L64" s="48">
        <v>0</v>
      </c>
      <c r="M64" s="48">
        <f>F64*G64</f>
        <v>28792.275200000004</v>
      </c>
      <c r="N64" s="48">
        <v>0</v>
      </c>
      <c r="O64" s="48">
        <v>0</v>
      </c>
      <c r="P64" s="48">
        <v>0</v>
      </c>
      <c r="Q64" s="48">
        <v>0</v>
      </c>
      <c r="R64" s="48">
        <v>0</v>
      </c>
      <c r="S64" s="48">
        <v>0</v>
      </c>
      <c r="T64" s="48">
        <v>0</v>
      </c>
      <c r="U64" s="33">
        <f t="shared" si="16"/>
        <v>0</v>
      </c>
    </row>
    <row r="65" spans="1:21" ht="12.75" customHeight="1">
      <c r="A65" s="62" t="s">
        <v>174</v>
      </c>
      <c r="B65" s="16" t="s">
        <v>71</v>
      </c>
      <c r="C65" s="62" t="s">
        <v>72</v>
      </c>
      <c r="D65" s="8" t="s">
        <v>33</v>
      </c>
      <c r="E65" s="30">
        <v>10348</v>
      </c>
      <c r="F65" s="49">
        <f>SUM(E65/1000)</f>
        <v>10.348000000000001</v>
      </c>
      <c r="G65" s="49">
        <v>216.68</v>
      </c>
      <c r="H65" s="64">
        <f t="shared" si="17"/>
        <v>2.2422046400000002</v>
      </c>
      <c r="I65" s="33">
        <v>0</v>
      </c>
      <c r="J65" s="33">
        <v>0</v>
      </c>
      <c r="K65" s="33">
        <v>0</v>
      </c>
      <c r="L65" s="33">
        <v>0</v>
      </c>
      <c r="M65" s="33">
        <f>F65*G65</f>
        <v>2242.2046400000004</v>
      </c>
      <c r="N65" s="33">
        <v>0</v>
      </c>
      <c r="O65" s="33">
        <v>0</v>
      </c>
      <c r="P65" s="33">
        <v>0</v>
      </c>
      <c r="Q65" s="33">
        <v>0</v>
      </c>
      <c r="R65" s="33">
        <v>0</v>
      </c>
      <c r="S65" s="33">
        <v>0</v>
      </c>
      <c r="T65" s="33">
        <v>0</v>
      </c>
      <c r="U65" s="33">
        <f t="shared" si="16"/>
        <v>0</v>
      </c>
    </row>
    <row r="66" spans="1:21">
      <c r="A66" s="62" t="s">
        <v>175</v>
      </c>
      <c r="B66" s="16" t="s">
        <v>73</v>
      </c>
      <c r="C66" s="62" t="s">
        <v>74</v>
      </c>
      <c r="D66" s="8" t="s">
        <v>33</v>
      </c>
      <c r="E66" s="30">
        <v>1645</v>
      </c>
      <c r="F66" s="49">
        <f>SUM(E66/100)</f>
        <v>16.45</v>
      </c>
      <c r="G66" s="49">
        <v>2720.94</v>
      </c>
      <c r="H66" s="64">
        <f t="shared" si="17"/>
        <v>44.759462999999997</v>
      </c>
      <c r="I66" s="33">
        <v>0</v>
      </c>
      <c r="J66" s="33">
        <v>0</v>
      </c>
      <c r="K66" s="33">
        <v>0</v>
      </c>
      <c r="L66" s="33">
        <v>0</v>
      </c>
      <c r="M66" s="33">
        <f>F66*G66</f>
        <v>44759.462999999996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f t="shared" si="16"/>
        <v>0</v>
      </c>
    </row>
    <row r="67" spans="1:21">
      <c r="A67" s="62"/>
      <c r="B67" s="17" t="s">
        <v>101</v>
      </c>
      <c r="C67" s="62" t="s">
        <v>38</v>
      </c>
      <c r="D67" s="8"/>
      <c r="E67" s="30">
        <v>9</v>
      </c>
      <c r="F67" s="49">
        <f>E67</f>
        <v>9</v>
      </c>
      <c r="G67" s="49">
        <v>42.61</v>
      </c>
      <c r="H67" s="64">
        <f t="shared" si="17"/>
        <v>0.38349</v>
      </c>
      <c r="I67" s="33">
        <v>0</v>
      </c>
      <c r="J67" s="33">
        <v>0</v>
      </c>
      <c r="K67" s="33">
        <v>0</v>
      </c>
      <c r="L67" s="33">
        <v>0</v>
      </c>
      <c r="M67" s="33">
        <f>F67*G67</f>
        <v>383.49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f t="shared" si="16"/>
        <v>0</v>
      </c>
    </row>
    <row r="68" spans="1:21" ht="12.75" customHeight="1">
      <c r="A68" s="132"/>
      <c r="B68" s="17" t="s">
        <v>102</v>
      </c>
      <c r="C68" s="62" t="s">
        <v>38</v>
      </c>
      <c r="D68" s="8"/>
      <c r="E68" s="30">
        <v>9</v>
      </c>
      <c r="F68" s="49">
        <f t="shared" ref="F68:F69" si="18">E68</f>
        <v>9</v>
      </c>
      <c r="G68" s="49">
        <v>46.04</v>
      </c>
      <c r="H68" s="64">
        <f t="shared" si="17"/>
        <v>0.41436000000000001</v>
      </c>
      <c r="I68" s="33">
        <v>0</v>
      </c>
      <c r="J68" s="33">
        <v>0</v>
      </c>
      <c r="K68" s="33">
        <v>0</v>
      </c>
      <c r="L68" s="33">
        <v>0</v>
      </c>
      <c r="M68" s="33">
        <f>F68*G68</f>
        <v>414.36</v>
      </c>
      <c r="N68" s="33">
        <v>0</v>
      </c>
      <c r="O68" s="33">
        <v>0</v>
      </c>
      <c r="P68" s="33">
        <v>0</v>
      </c>
      <c r="Q68" s="33">
        <v>0</v>
      </c>
      <c r="R68" s="33">
        <v>0</v>
      </c>
      <c r="S68" s="33">
        <v>0</v>
      </c>
      <c r="T68" s="33">
        <v>0</v>
      </c>
      <c r="U68" s="33">
        <f t="shared" si="16"/>
        <v>0</v>
      </c>
    </row>
    <row r="69" spans="1:21">
      <c r="A69" s="62" t="s">
        <v>176</v>
      </c>
      <c r="B69" s="8" t="s">
        <v>75</v>
      </c>
      <c r="C69" s="62" t="s">
        <v>76</v>
      </c>
      <c r="D69" s="8" t="s">
        <v>33</v>
      </c>
      <c r="E69" s="63">
        <v>2</v>
      </c>
      <c r="F69" s="49">
        <f t="shared" si="18"/>
        <v>2</v>
      </c>
      <c r="G69" s="49">
        <v>65.42</v>
      </c>
      <c r="H69" s="64">
        <f t="shared" si="17"/>
        <v>0.13084000000000001</v>
      </c>
      <c r="I69" s="33">
        <v>0</v>
      </c>
      <c r="J69" s="33">
        <v>0</v>
      </c>
      <c r="K69" s="33">
        <v>0</v>
      </c>
      <c r="L69" s="33">
        <v>0</v>
      </c>
      <c r="M69" s="33">
        <v>0</v>
      </c>
      <c r="N69" s="33">
        <v>0</v>
      </c>
      <c r="O69" s="33">
        <v>0</v>
      </c>
      <c r="P69" s="33">
        <v>0</v>
      </c>
      <c r="Q69" s="33">
        <f>F69*G69</f>
        <v>130.84</v>
      </c>
      <c r="R69" s="33">
        <v>0</v>
      </c>
      <c r="S69" s="33">
        <v>0</v>
      </c>
      <c r="T69" s="33">
        <v>0</v>
      </c>
      <c r="U69" s="33">
        <f t="shared" si="16"/>
        <v>130.84</v>
      </c>
    </row>
    <row r="70" spans="1:21">
      <c r="A70" s="132"/>
      <c r="B70" s="18" t="s">
        <v>77</v>
      </c>
      <c r="C70" s="62"/>
      <c r="D70" s="8"/>
      <c r="E70" s="63"/>
      <c r="F70" s="49"/>
      <c r="G70" s="49"/>
      <c r="H70" s="64" t="s">
        <v>43</v>
      </c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</row>
    <row r="71" spans="1:21">
      <c r="A71" s="62" t="s">
        <v>201</v>
      </c>
      <c r="B71" s="8" t="s">
        <v>202</v>
      </c>
      <c r="C71" s="62" t="s">
        <v>203</v>
      </c>
      <c r="D71" s="8" t="s">
        <v>39</v>
      </c>
      <c r="E71" s="63">
        <v>1</v>
      </c>
      <c r="F71" s="49">
        <f>E71</f>
        <v>1</v>
      </c>
      <c r="G71" s="49">
        <v>1029.1199999999999</v>
      </c>
      <c r="H71" s="64">
        <f t="shared" ref="H71:H72" si="19">SUM(F71*G71/1000)</f>
        <v>1.0291199999999998</v>
      </c>
      <c r="I71" s="33">
        <v>0</v>
      </c>
      <c r="J71" s="33">
        <v>0</v>
      </c>
      <c r="K71" s="33">
        <v>0</v>
      </c>
      <c r="L71" s="33">
        <v>0</v>
      </c>
      <c r="M71" s="33">
        <v>0</v>
      </c>
      <c r="N71" s="33">
        <v>0</v>
      </c>
      <c r="O71" s="33">
        <v>0</v>
      </c>
      <c r="P71" s="33">
        <v>0</v>
      </c>
      <c r="Q71" s="33">
        <v>0</v>
      </c>
      <c r="R71" s="33">
        <v>0</v>
      </c>
      <c r="S71" s="33">
        <v>0</v>
      </c>
      <c r="T71" s="33">
        <v>0</v>
      </c>
      <c r="U71" s="33">
        <f t="shared" si="16"/>
        <v>0</v>
      </c>
    </row>
    <row r="72" spans="1:21">
      <c r="A72" s="62" t="s">
        <v>204</v>
      </c>
      <c r="B72" s="8" t="s">
        <v>205</v>
      </c>
      <c r="C72" s="62" t="s">
        <v>206</v>
      </c>
      <c r="E72" s="63">
        <v>1</v>
      </c>
      <c r="F72" s="49">
        <v>1</v>
      </c>
      <c r="G72" s="49">
        <v>735</v>
      </c>
      <c r="H72" s="64">
        <f t="shared" si="19"/>
        <v>0.73499999999999999</v>
      </c>
      <c r="I72" s="33">
        <v>0</v>
      </c>
      <c r="J72" s="33">
        <v>0</v>
      </c>
      <c r="K72" s="33">
        <v>0</v>
      </c>
      <c r="L72" s="33">
        <v>0</v>
      </c>
      <c r="M72" s="33">
        <v>0</v>
      </c>
      <c r="N72" s="33">
        <v>0</v>
      </c>
      <c r="O72" s="33">
        <v>0</v>
      </c>
      <c r="P72" s="33">
        <v>0</v>
      </c>
      <c r="Q72" s="33">
        <v>0</v>
      </c>
      <c r="R72" s="33">
        <v>0</v>
      </c>
      <c r="S72" s="33">
        <v>0</v>
      </c>
      <c r="T72" s="33">
        <v>0</v>
      </c>
      <c r="U72" s="33">
        <f t="shared" si="16"/>
        <v>0</v>
      </c>
    </row>
    <row r="73" spans="1:21">
      <c r="A73" s="62" t="s">
        <v>177</v>
      </c>
      <c r="B73" s="8" t="s">
        <v>78</v>
      </c>
      <c r="C73" s="62" t="s">
        <v>79</v>
      </c>
      <c r="D73" s="8" t="s">
        <v>39</v>
      </c>
      <c r="E73" s="63">
        <v>2</v>
      </c>
      <c r="F73" s="31">
        <f>SUM(E73/10)</f>
        <v>0.2</v>
      </c>
      <c r="G73" s="49">
        <v>657.87</v>
      </c>
      <c r="H73" s="64">
        <f>SUM(F73*G73/1000)</f>
        <v>0.13157400000000002</v>
      </c>
      <c r="I73" s="33">
        <v>0</v>
      </c>
      <c r="J73" s="33">
        <f>G73*0.7</f>
        <v>460.50899999999996</v>
      </c>
      <c r="K73" s="33">
        <f>G73*0.3</f>
        <v>197.36099999999999</v>
      </c>
      <c r="L73" s="33">
        <v>0</v>
      </c>
      <c r="M73" s="33">
        <v>0</v>
      </c>
      <c r="N73" s="33">
        <v>0</v>
      </c>
      <c r="O73" s="33">
        <v>0</v>
      </c>
      <c r="P73" s="33">
        <v>0</v>
      </c>
      <c r="Q73" s="33">
        <v>0</v>
      </c>
      <c r="R73" s="33">
        <v>0</v>
      </c>
      <c r="S73" s="33">
        <v>0</v>
      </c>
      <c r="T73" s="33">
        <v>0</v>
      </c>
      <c r="U73" s="33">
        <f t="shared" si="16"/>
        <v>0</v>
      </c>
    </row>
    <row r="74" spans="1:21">
      <c r="A74" s="62" t="s">
        <v>178</v>
      </c>
      <c r="B74" s="8" t="s">
        <v>207</v>
      </c>
      <c r="C74" s="62" t="s">
        <v>60</v>
      </c>
      <c r="D74" s="8" t="s">
        <v>39</v>
      </c>
      <c r="E74" s="63">
        <v>2</v>
      </c>
      <c r="F74" s="49">
        <f>E74</f>
        <v>2</v>
      </c>
      <c r="G74" s="49">
        <v>1118.72</v>
      </c>
      <c r="H74" s="64">
        <f>SUM(F74*G74/1000)</f>
        <v>2.2374399999999999</v>
      </c>
      <c r="I74" s="33">
        <v>0</v>
      </c>
      <c r="J74" s="33">
        <v>0</v>
      </c>
      <c r="K74" s="33">
        <v>0</v>
      </c>
      <c r="L74" s="33">
        <v>0</v>
      </c>
      <c r="M74" s="33">
        <v>0</v>
      </c>
      <c r="N74" s="33">
        <v>0</v>
      </c>
      <c r="O74" s="33">
        <v>0</v>
      </c>
      <c r="P74" s="33">
        <v>0</v>
      </c>
      <c r="Q74" s="33">
        <v>0</v>
      </c>
      <c r="R74" s="33">
        <v>0</v>
      </c>
      <c r="S74" s="33">
        <v>0</v>
      </c>
      <c r="T74" s="33">
        <v>0</v>
      </c>
      <c r="U74" s="33">
        <f t="shared" si="16"/>
        <v>0</v>
      </c>
    </row>
    <row r="75" spans="1:21">
      <c r="A75" s="114" t="s">
        <v>212</v>
      </c>
      <c r="B75" s="141" t="s">
        <v>211</v>
      </c>
      <c r="C75" s="114" t="s">
        <v>60</v>
      </c>
      <c r="D75" s="8" t="s">
        <v>39</v>
      </c>
      <c r="E75" s="63">
        <v>1</v>
      </c>
      <c r="F75" s="55">
        <v>1</v>
      </c>
      <c r="G75" s="49">
        <v>1605.83</v>
      </c>
      <c r="H75" s="64">
        <f>SUM(F75*G75/1000)</f>
        <v>1.6058299999999999</v>
      </c>
      <c r="I75" s="33">
        <v>0</v>
      </c>
      <c r="J75" s="33">
        <v>0</v>
      </c>
      <c r="K75" s="33">
        <v>0</v>
      </c>
      <c r="L75" s="33">
        <v>0</v>
      </c>
      <c r="M75" s="33">
        <v>0</v>
      </c>
      <c r="N75" s="33">
        <v>0</v>
      </c>
      <c r="O75" s="33">
        <v>0</v>
      </c>
      <c r="P75" s="33">
        <v>0</v>
      </c>
      <c r="Q75" s="33">
        <v>0</v>
      </c>
      <c r="R75" s="33">
        <v>0</v>
      </c>
      <c r="S75" s="33">
        <v>0</v>
      </c>
      <c r="T75" s="33">
        <v>0</v>
      </c>
      <c r="U75" s="33">
        <f t="shared" si="16"/>
        <v>0</v>
      </c>
    </row>
    <row r="76" spans="1:21" ht="25.5">
      <c r="A76" s="114" t="s">
        <v>208</v>
      </c>
      <c r="B76" s="141" t="s">
        <v>209</v>
      </c>
      <c r="C76" s="114" t="s">
        <v>60</v>
      </c>
      <c r="D76" s="8" t="s">
        <v>106</v>
      </c>
      <c r="E76" s="63">
        <v>2</v>
      </c>
      <c r="F76" s="31">
        <f>E76*12</f>
        <v>24</v>
      </c>
      <c r="G76" s="49">
        <v>53.42</v>
      </c>
      <c r="H76" s="64">
        <f t="shared" ref="H76:H77" si="20">SUM(F76*G76/1000)</f>
        <v>1.2820799999999999</v>
      </c>
      <c r="I76" s="33">
        <v>0</v>
      </c>
      <c r="J76" s="33">
        <v>0</v>
      </c>
      <c r="K76" s="33">
        <v>0</v>
      </c>
      <c r="L76" s="33">
        <v>0</v>
      </c>
      <c r="M76" s="33">
        <v>0</v>
      </c>
      <c r="N76" s="33">
        <v>0</v>
      </c>
      <c r="O76" s="33">
        <f>G76*2</f>
        <v>106.84</v>
      </c>
      <c r="P76" s="33">
        <f>G76*2</f>
        <v>106.84</v>
      </c>
      <c r="Q76" s="33">
        <f>G76*2</f>
        <v>106.84</v>
      </c>
      <c r="R76" s="33">
        <f>G76*2</f>
        <v>106.84</v>
      </c>
      <c r="S76" s="33">
        <f>G76*2</f>
        <v>106.84</v>
      </c>
      <c r="T76" s="33">
        <f>G76*2</f>
        <v>106.84</v>
      </c>
      <c r="U76" s="33">
        <f t="shared" si="16"/>
        <v>641.04000000000008</v>
      </c>
    </row>
    <row r="77" spans="1:21" ht="25.5">
      <c r="A77" s="114"/>
      <c r="B77" s="141" t="s">
        <v>210</v>
      </c>
      <c r="C77" s="114" t="s">
        <v>60</v>
      </c>
      <c r="D77" s="8" t="s">
        <v>106</v>
      </c>
      <c r="E77" s="63">
        <v>1</v>
      </c>
      <c r="F77" s="31">
        <f>E77*12</f>
        <v>12</v>
      </c>
      <c r="G77" s="49">
        <v>1194</v>
      </c>
      <c r="H77" s="64">
        <f t="shared" si="20"/>
        <v>14.327999999999999</v>
      </c>
      <c r="I77" s="33">
        <v>0</v>
      </c>
      <c r="J77" s="33">
        <v>0</v>
      </c>
      <c r="K77" s="33">
        <v>0</v>
      </c>
      <c r="L77" s="33">
        <v>0</v>
      </c>
      <c r="M77" s="33">
        <v>0</v>
      </c>
      <c r="N77" s="33">
        <v>0</v>
      </c>
      <c r="O77" s="33">
        <f>G77</f>
        <v>1194</v>
      </c>
      <c r="P77" s="33">
        <f>G77</f>
        <v>1194</v>
      </c>
      <c r="Q77" s="33">
        <f>G77</f>
        <v>1194</v>
      </c>
      <c r="R77" s="33">
        <f>G77</f>
        <v>1194</v>
      </c>
      <c r="S77" s="33">
        <f>G77</f>
        <v>1194</v>
      </c>
      <c r="T77" s="33">
        <f>G77</f>
        <v>1194</v>
      </c>
      <c r="U77" s="33">
        <f t="shared" si="16"/>
        <v>7164</v>
      </c>
    </row>
    <row r="78" spans="1:21">
      <c r="A78" s="132"/>
      <c r="B78" s="67" t="s">
        <v>80</v>
      </c>
      <c r="C78" s="62"/>
      <c r="D78" s="8"/>
      <c r="E78" s="63"/>
      <c r="F78" s="49"/>
      <c r="G78" s="49" t="s">
        <v>43</v>
      </c>
      <c r="H78" s="64" t="s">
        <v>43</v>
      </c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</row>
    <row r="79" spans="1:21" s="1" customFormat="1">
      <c r="A79" s="65" t="s">
        <v>81</v>
      </c>
      <c r="B79" s="68" t="s">
        <v>82</v>
      </c>
      <c r="C79" s="65" t="s">
        <v>74</v>
      </c>
      <c r="D79" s="16"/>
      <c r="E79" s="69"/>
      <c r="F79" s="50">
        <v>0.6</v>
      </c>
      <c r="G79" s="50">
        <v>3619.09</v>
      </c>
      <c r="H79" s="64">
        <f t="shared" si="17"/>
        <v>2.1714540000000002</v>
      </c>
      <c r="I79" s="48">
        <v>0</v>
      </c>
      <c r="J79" s="48">
        <v>0</v>
      </c>
      <c r="K79" s="48">
        <v>0</v>
      </c>
      <c r="L79" s="48">
        <v>0</v>
      </c>
      <c r="M79" s="48">
        <v>0</v>
      </c>
      <c r="N79" s="48">
        <v>0</v>
      </c>
      <c r="O79" s="48">
        <v>0</v>
      </c>
      <c r="P79" s="48">
        <v>0</v>
      </c>
      <c r="Q79" s="48">
        <v>0</v>
      </c>
      <c r="R79" s="48">
        <v>0</v>
      </c>
      <c r="S79" s="48">
        <v>0</v>
      </c>
      <c r="T79" s="48">
        <v>0</v>
      </c>
      <c r="U79" s="33">
        <f t="shared" si="16"/>
        <v>0</v>
      </c>
    </row>
    <row r="80" spans="1:21" s="21" customFormat="1">
      <c r="A80" s="145"/>
      <c r="B80" s="82" t="s">
        <v>27</v>
      </c>
      <c r="C80" s="70"/>
      <c r="D80" s="71"/>
      <c r="E80" s="72"/>
      <c r="F80" s="54"/>
      <c r="G80" s="54"/>
      <c r="H80" s="73">
        <f>SUM(H56:H79)</f>
        <v>118.31888176</v>
      </c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>
        <f>SUM(U56:U79)</f>
        <v>16214.10324</v>
      </c>
    </row>
    <row r="81" spans="1:21">
      <c r="A81" s="62" t="s">
        <v>124</v>
      </c>
      <c r="B81" s="8" t="s">
        <v>125</v>
      </c>
      <c r="C81" s="74"/>
      <c r="D81" s="75"/>
      <c r="E81" s="120"/>
      <c r="F81" s="76">
        <v>1</v>
      </c>
      <c r="G81" s="77">
        <v>7005.5</v>
      </c>
      <c r="H81" s="64">
        <f>G81*F81/1000</f>
        <v>7.0054999999999996</v>
      </c>
      <c r="I81" s="33">
        <f>G81</f>
        <v>7005.5</v>
      </c>
      <c r="J81" s="33">
        <v>0</v>
      </c>
      <c r="K81" s="33">
        <v>0</v>
      </c>
      <c r="L81" s="33">
        <v>0</v>
      </c>
      <c r="M81" s="34">
        <v>0</v>
      </c>
      <c r="N81" s="33">
        <v>0</v>
      </c>
      <c r="O81" s="33">
        <v>0</v>
      </c>
      <c r="P81" s="33">
        <v>0</v>
      </c>
      <c r="Q81" s="33">
        <v>0</v>
      </c>
      <c r="R81" s="33">
        <v>0</v>
      </c>
      <c r="S81" s="33">
        <v>0</v>
      </c>
      <c r="T81" s="33">
        <v>0</v>
      </c>
      <c r="U81" s="33">
        <f t="shared" si="16"/>
        <v>0</v>
      </c>
    </row>
    <row r="82" spans="1:21" ht="12.75" customHeight="1">
      <c r="A82" s="143"/>
      <c r="B82" s="144" t="s">
        <v>83</v>
      </c>
      <c r="C82" s="62" t="s">
        <v>84</v>
      </c>
      <c r="D82" s="78"/>
      <c r="E82" s="49">
        <v>2135.1999999999998</v>
      </c>
      <c r="F82" s="49">
        <f>SUM(E82*12)</f>
        <v>25622.399999999998</v>
      </c>
      <c r="G82" s="79">
        <v>3.1</v>
      </c>
      <c r="H82" s="64">
        <f>SUM(F82*G82/1000)</f>
        <v>79.42944</v>
      </c>
      <c r="I82" s="33">
        <f>F82/12*G82</f>
        <v>6619.12</v>
      </c>
      <c r="J82" s="33">
        <f>F82/12*G82</f>
        <v>6619.12</v>
      </c>
      <c r="K82" s="33">
        <f>F82/12*G82</f>
        <v>6619.12</v>
      </c>
      <c r="L82" s="33">
        <f>F82/12*G82</f>
        <v>6619.12</v>
      </c>
      <c r="M82" s="33">
        <f>F82/12*G82</f>
        <v>6619.12</v>
      </c>
      <c r="N82" s="33">
        <f>F82/12*G82</f>
        <v>6619.12</v>
      </c>
      <c r="O82" s="33">
        <f>F82/12*G82</f>
        <v>6619.12</v>
      </c>
      <c r="P82" s="33">
        <f>F82/12*G82</f>
        <v>6619.12</v>
      </c>
      <c r="Q82" s="33">
        <f>F82/12*G82</f>
        <v>6619.12</v>
      </c>
      <c r="R82" s="33">
        <f>F82/12*G82</f>
        <v>6619.12</v>
      </c>
      <c r="S82" s="33">
        <f>F82/12*G82</f>
        <v>6619.12</v>
      </c>
      <c r="T82" s="33">
        <f>F82/12*G82</f>
        <v>6619.12</v>
      </c>
      <c r="U82" s="33">
        <f t="shared" si="16"/>
        <v>39714.720000000001</v>
      </c>
    </row>
    <row r="83" spans="1:21" s="19" customFormat="1">
      <c r="A83" s="80"/>
      <c r="B83" s="20" t="s">
        <v>27</v>
      </c>
      <c r="C83" s="81"/>
      <c r="D83" s="82"/>
      <c r="E83" s="83"/>
      <c r="F83" s="40"/>
      <c r="G83" s="84"/>
      <c r="H83" s="41">
        <f>SUM(H81:H82)</f>
        <v>86.434939999999997</v>
      </c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>
        <f>SUM(U81:U82)</f>
        <v>39714.720000000001</v>
      </c>
    </row>
    <row r="84" spans="1:21" ht="25.5" customHeight="1">
      <c r="A84" s="132"/>
      <c r="B84" s="8" t="s">
        <v>85</v>
      </c>
      <c r="C84" s="62"/>
      <c r="D84" s="85"/>
      <c r="E84" s="30">
        <f>E82</f>
        <v>2135.1999999999998</v>
      </c>
      <c r="F84" s="49">
        <f>E84*12</f>
        <v>25622.399999999998</v>
      </c>
      <c r="G84" s="49">
        <v>3.5</v>
      </c>
      <c r="H84" s="64">
        <f>F84*G84/1000</f>
        <v>89.678399999999996</v>
      </c>
      <c r="I84" s="33">
        <f>F84/12*G84</f>
        <v>7473.1999999999989</v>
      </c>
      <c r="J84" s="33">
        <f>F84/12*G84</f>
        <v>7473.1999999999989</v>
      </c>
      <c r="K84" s="33">
        <f>F84/12*G84</f>
        <v>7473.1999999999989</v>
      </c>
      <c r="L84" s="33">
        <f>F84/12*G84</f>
        <v>7473.1999999999989</v>
      </c>
      <c r="M84" s="33">
        <f>F84/12*G84</f>
        <v>7473.1999999999989</v>
      </c>
      <c r="N84" s="33">
        <f>F84/12*G84</f>
        <v>7473.1999999999989</v>
      </c>
      <c r="O84" s="33">
        <f>F84/12*G84</f>
        <v>7473.1999999999989</v>
      </c>
      <c r="P84" s="33">
        <f>F84/12*G84</f>
        <v>7473.1999999999989</v>
      </c>
      <c r="Q84" s="33">
        <f>F84/12*G84</f>
        <v>7473.1999999999989</v>
      </c>
      <c r="R84" s="33">
        <f>F84/12*G84</f>
        <v>7473.1999999999989</v>
      </c>
      <c r="S84" s="33">
        <f>F84/12*G84</f>
        <v>7473.1999999999989</v>
      </c>
      <c r="T84" s="33">
        <f>F84/12*G84</f>
        <v>7473.1999999999989</v>
      </c>
      <c r="U84" s="33">
        <f t="shared" si="16"/>
        <v>44839.19999999999</v>
      </c>
    </row>
    <row r="85" spans="1:21" s="19" customFormat="1">
      <c r="A85" s="80"/>
      <c r="B85" s="86" t="s">
        <v>86</v>
      </c>
      <c r="C85" s="87"/>
      <c r="D85" s="86"/>
      <c r="E85" s="40"/>
      <c r="F85" s="40"/>
      <c r="G85" s="40"/>
      <c r="H85" s="73">
        <f>H84</f>
        <v>89.678399999999996</v>
      </c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116">
        <f>U84</f>
        <v>44839.19999999999</v>
      </c>
    </row>
    <row r="86" spans="1:21" s="19" customFormat="1">
      <c r="A86" s="80"/>
      <c r="B86" s="86" t="s">
        <v>87</v>
      </c>
      <c r="C86" s="88"/>
      <c r="D86" s="89"/>
      <c r="E86" s="90"/>
      <c r="F86" s="90"/>
      <c r="G86" s="90"/>
      <c r="H86" s="73">
        <f>SUM(H85+H83+H80+H54+H42+H33+H22)</f>
        <v>591.55715864966669</v>
      </c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116">
        <f>SUM(U85+U83+U80+U54+U42+U33+U22)</f>
        <v>231833.09798477776</v>
      </c>
    </row>
    <row r="87" spans="1:21">
      <c r="A87" s="132"/>
      <c r="B87" s="85" t="s">
        <v>88</v>
      </c>
      <c r="C87" s="62"/>
      <c r="D87" s="85"/>
      <c r="E87" s="49"/>
      <c r="F87" s="49"/>
      <c r="G87" s="49" t="s">
        <v>89</v>
      </c>
      <c r="H87" s="91">
        <f>E84</f>
        <v>2135.1999999999998</v>
      </c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</row>
    <row r="88" spans="1:21" s="19" customFormat="1">
      <c r="A88" s="80"/>
      <c r="B88" s="89" t="s">
        <v>90</v>
      </c>
      <c r="C88" s="88"/>
      <c r="D88" s="89"/>
      <c r="E88" s="90"/>
      <c r="F88" s="90"/>
      <c r="G88" s="90"/>
      <c r="H88" s="92">
        <f>SUM(H86/H87/12*1000)</f>
        <v>23.087499947298721</v>
      </c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117"/>
    </row>
    <row r="89" spans="1:21">
      <c r="A89" s="93"/>
      <c r="B89" s="85"/>
      <c r="C89" s="62"/>
      <c r="D89" s="85"/>
      <c r="E89" s="49"/>
      <c r="F89" s="49"/>
      <c r="G89" s="49"/>
      <c r="H89" s="94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118"/>
    </row>
    <row r="90" spans="1:21">
      <c r="A90" s="132"/>
      <c r="B90" s="67" t="s">
        <v>91</v>
      </c>
      <c r="C90" s="62"/>
      <c r="D90" s="85"/>
      <c r="E90" s="49"/>
      <c r="F90" s="49"/>
      <c r="G90" s="49"/>
      <c r="H90" s="49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</row>
    <row r="91" spans="1:21" ht="25.5" customHeight="1">
      <c r="A91" s="122" t="s">
        <v>180</v>
      </c>
      <c r="B91" s="123" t="s">
        <v>135</v>
      </c>
      <c r="C91" s="122" t="s">
        <v>60</v>
      </c>
      <c r="D91" s="85"/>
      <c r="E91" s="49"/>
      <c r="F91" s="49">
        <v>1</v>
      </c>
      <c r="G91" s="49">
        <v>189.88</v>
      </c>
      <c r="H91" s="64">
        <f>G91*F91/1000</f>
        <v>0.18987999999999999</v>
      </c>
      <c r="I91" s="33">
        <v>0</v>
      </c>
      <c r="J91" s="33">
        <v>0</v>
      </c>
      <c r="K91" s="33">
        <v>0</v>
      </c>
      <c r="L91" s="33">
        <v>0</v>
      </c>
      <c r="M91" s="33">
        <v>0</v>
      </c>
      <c r="N91" s="33">
        <f>G91</f>
        <v>189.88</v>
      </c>
      <c r="O91" s="33">
        <f>G91</f>
        <v>189.88</v>
      </c>
      <c r="P91" s="33">
        <v>0</v>
      </c>
      <c r="Q91" s="33">
        <v>0</v>
      </c>
      <c r="R91" s="33">
        <v>0</v>
      </c>
      <c r="S91" s="33">
        <v>0</v>
      </c>
      <c r="T91" s="33">
        <v>0</v>
      </c>
      <c r="U91" s="33">
        <f t="shared" ref="U91:U94" si="21">SUM(O91:T91)</f>
        <v>189.88</v>
      </c>
    </row>
    <row r="92" spans="1:21" ht="25.5" customHeight="1">
      <c r="A92" s="122" t="s">
        <v>179</v>
      </c>
      <c r="B92" s="123" t="s">
        <v>121</v>
      </c>
      <c r="C92" s="114" t="s">
        <v>60</v>
      </c>
      <c r="D92" s="85"/>
      <c r="E92" s="49"/>
      <c r="F92" s="49">
        <v>240</v>
      </c>
      <c r="G92" s="49">
        <v>53.42</v>
      </c>
      <c r="H92" s="64">
        <f>G92*F92/1000</f>
        <v>12.820800000000002</v>
      </c>
      <c r="I92" s="33">
        <f>G92*41</f>
        <v>2190.2200000000003</v>
      </c>
      <c r="J92" s="33">
        <f>G92*41</f>
        <v>2190.2200000000003</v>
      </c>
      <c r="K92" s="33">
        <f>G92*41</f>
        <v>2190.2200000000003</v>
      </c>
      <c r="L92" s="33">
        <f>G92*41</f>
        <v>2190.2200000000003</v>
      </c>
      <c r="M92" s="33">
        <f>G92*41</f>
        <v>2190.2200000000003</v>
      </c>
      <c r="N92" s="33">
        <v>0</v>
      </c>
      <c r="O92" s="33">
        <f>G92*40</f>
        <v>2136.8000000000002</v>
      </c>
      <c r="P92" s="33">
        <f>G92*40</f>
        <v>2136.8000000000002</v>
      </c>
      <c r="Q92" s="33">
        <f>G92*40</f>
        <v>2136.8000000000002</v>
      </c>
      <c r="R92" s="33">
        <f>G92*40</f>
        <v>2136.8000000000002</v>
      </c>
      <c r="S92" s="33">
        <f>G92*40</f>
        <v>2136.8000000000002</v>
      </c>
      <c r="T92" s="33">
        <f>G92*40</f>
        <v>2136.8000000000002</v>
      </c>
      <c r="U92" s="33">
        <f t="shared" si="21"/>
        <v>12820.8</v>
      </c>
    </row>
    <row r="93" spans="1:21" s="142" customFormat="1" ht="25.5">
      <c r="A93" s="122" t="s">
        <v>213</v>
      </c>
      <c r="B93" s="123" t="s">
        <v>214</v>
      </c>
      <c r="C93" s="122" t="s">
        <v>215</v>
      </c>
      <c r="D93" s="85"/>
      <c r="E93" s="49"/>
      <c r="F93" s="49">
        <f>8/10</f>
        <v>0.8</v>
      </c>
      <c r="G93" s="49">
        <v>2064.25</v>
      </c>
      <c r="H93" s="136">
        <f t="shared" ref="H93" si="22">G93*F93/1000</f>
        <v>1.6514000000000002</v>
      </c>
      <c r="I93" s="33">
        <v>0</v>
      </c>
      <c r="J93" s="33">
        <v>0</v>
      </c>
      <c r="K93" s="33">
        <v>0</v>
      </c>
      <c r="L93" s="33">
        <v>0</v>
      </c>
      <c r="M93" s="33">
        <v>0</v>
      </c>
      <c r="N93" s="33">
        <v>0</v>
      </c>
      <c r="O93" s="33">
        <f>G93*0.8</f>
        <v>1651.4</v>
      </c>
      <c r="P93" s="33">
        <v>0</v>
      </c>
      <c r="Q93" s="33">
        <v>0</v>
      </c>
      <c r="R93" s="33">
        <v>0</v>
      </c>
      <c r="S93" s="33">
        <v>0</v>
      </c>
      <c r="T93" s="33">
        <v>0</v>
      </c>
      <c r="U93" s="33">
        <f t="shared" si="21"/>
        <v>1651.4</v>
      </c>
    </row>
    <row r="94" spans="1:21" s="19" customFormat="1" ht="25.5">
      <c r="A94" s="122" t="s">
        <v>184</v>
      </c>
      <c r="B94" s="123" t="s">
        <v>183</v>
      </c>
      <c r="C94" s="122" t="s">
        <v>182</v>
      </c>
      <c r="D94" s="134"/>
      <c r="E94" s="135"/>
      <c r="F94" s="135">
        <v>2</v>
      </c>
      <c r="G94" s="135">
        <v>206.54</v>
      </c>
      <c r="H94" s="136">
        <f t="shared" ref="H94:H99" si="23">G94*F94/1000</f>
        <v>0.41308</v>
      </c>
      <c r="I94" s="33">
        <v>0</v>
      </c>
      <c r="J94" s="33">
        <v>0</v>
      </c>
      <c r="K94" s="33">
        <v>0</v>
      </c>
      <c r="L94" s="33">
        <v>0</v>
      </c>
      <c r="M94" s="33">
        <v>0</v>
      </c>
      <c r="N94" s="33">
        <f>G94*2</f>
        <v>413.08</v>
      </c>
      <c r="O94" s="33">
        <v>0</v>
      </c>
      <c r="P94" s="33">
        <v>0</v>
      </c>
      <c r="Q94" s="33">
        <f>G94</f>
        <v>206.54</v>
      </c>
      <c r="R94" s="33">
        <f>G94</f>
        <v>206.54</v>
      </c>
      <c r="S94" s="33">
        <v>0</v>
      </c>
      <c r="T94" s="33">
        <v>0</v>
      </c>
      <c r="U94" s="33">
        <f t="shared" si="21"/>
        <v>413.08</v>
      </c>
    </row>
    <row r="95" spans="1:21" s="19" customFormat="1" ht="25.5">
      <c r="A95" s="140" t="s">
        <v>221</v>
      </c>
      <c r="B95" s="123" t="s">
        <v>220</v>
      </c>
      <c r="C95" s="122" t="s">
        <v>181</v>
      </c>
      <c r="D95" s="85"/>
      <c r="E95" s="49"/>
      <c r="F95" s="49">
        <v>1</v>
      </c>
      <c r="G95" s="49">
        <v>803.54</v>
      </c>
      <c r="H95" s="64">
        <f t="shared" si="23"/>
        <v>0.80353999999999992</v>
      </c>
      <c r="I95" s="33">
        <v>0</v>
      </c>
      <c r="J95" s="33">
        <v>0</v>
      </c>
      <c r="K95" s="33">
        <v>0</v>
      </c>
      <c r="L95" s="33">
        <v>0</v>
      </c>
      <c r="M95" s="33">
        <v>0</v>
      </c>
      <c r="N95" s="33">
        <f>G95*3</f>
        <v>2410.62</v>
      </c>
      <c r="O95" s="33">
        <v>0</v>
      </c>
      <c r="P95" s="33">
        <v>0</v>
      </c>
      <c r="Q95" s="33">
        <v>0</v>
      </c>
      <c r="R95" s="33">
        <f>G95</f>
        <v>803.54</v>
      </c>
      <c r="S95" s="33">
        <v>0</v>
      </c>
      <c r="T95" s="33">
        <v>0</v>
      </c>
      <c r="U95" s="33">
        <f t="shared" ref="U95:U100" si="24">SUM(O95:T95)</f>
        <v>803.54</v>
      </c>
    </row>
    <row r="96" spans="1:21" s="19" customFormat="1" ht="25.5">
      <c r="A96" s="140" t="s">
        <v>186</v>
      </c>
      <c r="B96" s="123" t="s">
        <v>185</v>
      </c>
      <c r="C96" s="122" t="s">
        <v>181</v>
      </c>
      <c r="D96" s="85"/>
      <c r="E96" s="49"/>
      <c r="F96" s="49">
        <v>2</v>
      </c>
      <c r="G96" s="49">
        <v>589.84</v>
      </c>
      <c r="H96" s="64">
        <f t="shared" si="23"/>
        <v>1.1796800000000001</v>
      </c>
      <c r="I96" s="33">
        <v>0</v>
      </c>
      <c r="J96" s="33">
        <v>0</v>
      </c>
      <c r="K96" s="33">
        <v>0</v>
      </c>
      <c r="L96" s="33">
        <v>0</v>
      </c>
      <c r="M96" s="33">
        <v>0</v>
      </c>
      <c r="N96" s="33">
        <f>G96*3</f>
        <v>1769.52</v>
      </c>
      <c r="O96" s="33">
        <v>0</v>
      </c>
      <c r="P96" s="33">
        <v>0</v>
      </c>
      <c r="Q96" s="33">
        <v>0</v>
      </c>
      <c r="R96" s="33">
        <f>G96</f>
        <v>589.84</v>
      </c>
      <c r="S96" s="33">
        <v>0</v>
      </c>
      <c r="T96" s="33">
        <f>G96</f>
        <v>589.84</v>
      </c>
      <c r="U96" s="33">
        <f t="shared" si="24"/>
        <v>1179.68</v>
      </c>
    </row>
    <row r="97" spans="1:21" s="19" customFormat="1" ht="25.5" customHeight="1">
      <c r="A97" s="114" t="s">
        <v>166</v>
      </c>
      <c r="B97" s="141" t="s">
        <v>222</v>
      </c>
      <c r="C97" s="114" t="s">
        <v>46</v>
      </c>
      <c r="D97" s="85"/>
      <c r="E97" s="49"/>
      <c r="F97" s="146">
        <f>0.001</f>
        <v>1E-3</v>
      </c>
      <c r="G97" s="49">
        <v>1591.6</v>
      </c>
      <c r="H97" s="147">
        <f t="shared" si="23"/>
        <v>1.5915999999999999E-3</v>
      </c>
      <c r="I97" s="33"/>
      <c r="J97" s="33"/>
      <c r="K97" s="33"/>
      <c r="L97" s="33"/>
      <c r="M97" s="33"/>
      <c r="N97" s="33"/>
      <c r="O97" s="33">
        <v>0</v>
      </c>
      <c r="P97" s="33">
        <v>0</v>
      </c>
      <c r="Q97" s="33">
        <v>0</v>
      </c>
      <c r="R97" s="33">
        <v>0</v>
      </c>
      <c r="S97" s="33">
        <f>G97*0.001</f>
        <v>1.5915999999999999</v>
      </c>
      <c r="T97" s="33">
        <v>0</v>
      </c>
      <c r="U97" s="33">
        <f t="shared" si="24"/>
        <v>1.5915999999999999</v>
      </c>
    </row>
    <row r="98" spans="1:21" s="19" customFormat="1" ht="12.75" customHeight="1">
      <c r="A98" s="114" t="s">
        <v>226</v>
      </c>
      <c r="B98" s="123" t="s">
        <v>223</v>
      </c>
      <c r="C98" s="114" t="s">
        <v>206</v>
      </c>
      <c r="D98" s="85"/>
      <c r="E98" s="49"/>
      <c r="F98" s="49">
        <v>1</v>
      </c>
      <c r="G98" s="135">
        <v>122000</v>
      </c>
      <c r="H98" s="135">
        <f t="shared" si="23"/>
        <v>122</v>
      </c>
      <c r="I98" s="33"/>
      <c r="J98" s="33"/>
      <c r="K98" s="33"/>
      <c r="L98" s="33"/>
      <c r="M98" s="33"/>
      <c r="N98" s="33"/>
      <c r="O98" s="33">
        <v>0</v>
      </c>
      <c r="P98" s="33">
        <v>0</v>
      </c>
      <c r="Q98" s="33">
        <v>0</v>
      </c>
      <c r="R98" s="33">
        <v>0</v>
      </c>
      <c r="S98" s="33">
        <f>G98</f>
        <v>122000</v>
      </c>
      <c r="T98" s="33">
        <v>0</v>
      </c>
      <c r="U98" s="33">
        <f t="shared" si="24"/>
        <v>122000</v>
      </c>
    </row>
    <row r="99" spans="1:21" ht="25.5" customHeight="1">
      <c r="A99" s="137" t="s">
        <v>188</v>
      </c>
      <c r="B99" s="123" t="s">
        <v>189</v>
      </c>
      <c r="C99" s="137" t="s">
        <v>35</v>
      </c>
      <c r="D99" s="134"/>
      <c r="E99" s="135"/>
      <c r="F99" s="135">
        <v>1</v>
      </c>
      <c r="G99" s="135">
        <v>83.36</v>
      </c>
      <c r="H99" s="135">
        <f t="shared" si="23"/>
        <v>8.3360000000000004E-2</v>
      </c>
      <c r="I99" s="33">
        <f>G99</f>
        <v>83.36</v>
      </c>
      <c r="J99" s="33">
        <v>0</v>
      </c>
      <c r="K99" s="33">
        <v>0</v>
      </c>
      <c r="L99" s="33">
        <v>0</v>
      </c>
      <c r="M99" s="33">
        <v>0</v>
      </c>
      <c r="N99" s="33">
        <v>0</v>
      </c>
      <c r="O99" s="33">
        <v>0</v>
      </c>
      <c r="P99" s="33">
        <v>0</v>
      </c>
      <c r="Q99" s="33">
        <v>0</v>
      </c>
      <c r="R99" s="33">
        <v>0</v>
      </c>
      <c r="S99" s="33">
        <f>G99</f>
        <v>83.36</v>
      </c>
      <c r="T99" s="33">
        <v>0</v>
      </c>
      <c r="U99" s="33">
        <f t="shared" si="24"/>
        <v>83.36</v>
      </c>
    </row>
    <row r="100" spans="1:21" ht="25.5" customHeight="1">
      <c r="A100" s="122" t="s">
        <v>167</v>
      </c>
      <c r="B100" s="123" t="s">
        <v>127</v>
      </c>
      <c r="C100" s="114" t="s">
        <v>57</v>
      </c>
      <c r="D100" s="85"/>
      <c r="E100" s="49"/>
      <c r="F100" s="49">
        <v>0.01</v>
      </c>
      <c r="G100" s="49">
        <v>3581.13</v>
      </c>
      <c r="H100" s="64">
        <f t="shared" ref="H100" si="25">G100*F100/1000</f>
        <v>3.5811300000000004E-2</v>
      </c>
      <c r="I100" s="33">
        <f>G100*0.02</f>
        <v>71.622600000000006</v>
      </c>
      <c r="J100" s="33">
        <v>0</v>
      </c>
      <c r="K100" s="33">
        <v>0</v>
      </c>
      <c r="L100" s="33">
        <v>0</v>
      </c>
      <c r="M100" s="33">
        <v>0</v>
      </c>
      <c r="N100" s="33">
        <v>0</v>
      </c>
      <c r="O100" s="33">
        <v>0</v>
      </c>
      <c r="P100" s="33">
        <v>0</v>
      </c>
      <c r="Q100" s="33">
        <v>0</v>
      </c>
      <c r="R100" s="33">
        <v>0</v>
      </c>
      <c r="S100" s="33">
        <f>G100*0.01</f>
        <v>35.811300000000003</v>
      </c>
      <c r="T100" s="33">
        <v>0</v>
      </c>
      <c r="U100" s="33">
        <f t="shared" si="24"/>
        <v>35.811300000000003</v>
      </c>
    </row>
    <row r="101" spans="1:21" s="19" customFormat="1">
      <c r="A101" s="95"/>
      <c r="B101" s="96" t="s">
        <v>92</v>
      </c>
      <c r="C101" s="95"/>
      <c r="D101" s="95"/>
      <c r="E101" s="90"/>
      <c r="F101" s="90"/>
      <c r="G101" s="90"/>
      <c r="H101" s="41">
        <f>SUM(H90:H100)</f>
        <v>139.17914290000002</v>
      </c>
      <c r="I101" s="90"/>
      <c r="J101" s="90"/>
      <c r="K101" s="90"/>
      <c r="L101" s="90"/>
      <c r="M101" s="90"/>
      <c r="N101" s="90"/>
      <c r="O101" s="90"/>
      <c r="P101" s="90"/>
      <c r="Q101" s="90"/>
      <c r="R101" s="90"/>
      <c r="S101" s="90"/>
      <c r="T101" s="90"/>
      <c r="U101" s="40">
        <f>SUM(U90:U100)</f>
        <v>139179.14289999998</v>
      </c>
    </row>
    <row r="102" spans="1:21">
      <c r="A102" s="93"/>
      <c r="B102" s="97"/>
      <c r="C102" s="98"/>
      <c r="D102" s="98"/>
      <c r="E102" s="49"/>
      <c r="F102" s="49"/>
      <c r="G102" s="49"/>
      <c r="H102" s="99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119"/>
    </row>
    <row r="103" spans="1:21" ht="12" customHeight="1">
      <c r="A103" s="132"/>
      <c r="B103" s="18" t="s">
        <v>93</v>
      </c>
      <c r="C103" s="62"/>
      <c r="D103" s="85"/>
      <c r="E103" s="49"/>
      <c r="F103" s="49"/>
      <c r="G103" s="49"/>
      <c r="H103" s="100">
        <f>H101/E104/12*1000</f>
        <v>5.4319323287435992</v>
      </c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119"/>
    </row>
    <row r="104" spans="1:21" s="19" customFormat="1">
      <c r="A104" s="80"/>
      <c r="B104" s="101" t="s">
        <v>94</v>
      </c>
      <c r="C104" s="102"/>
      <c r="D104" s="101"/>
      <c r="E104" s="133">
        <v>2135.1999999999998</v>
      </c>
      <c r="F104" s="103">
        <f>SUM(E104*12)</f>
        <v>25622.399999999998</v>
      </c>
      <c r="G104" s="104">
        <f>H88+H103</f>
        <v>28.51943227604232</v>
      </c>
      <c r="H104" s="105">
        <f>SUM(F104*G104/1000)</f>
        <v>730.73630154966668</v>
      </c>
      <c r="I104" s="90">
        <f>SUM(I11:I103)</f>
        <v>55722.373757500005</v>
      </c>
      <c r="J104" s="90">
        <f>SUM(J11:J103)</f>
        <v>42127.8491975</v>
      </c>
      <c r="K104" s="90">
        <f>SUM(K11:K103)</f>
        <v>38468.867837499994</v>
      </c>
      <c r="L104" s="90">
        <f>SUM(L11:L103)</f>
        <v>38343.0850775</v>
      </c>
      <c r="M104" s="90">
        <f>SUM(M11:M103)</f>
        <v>129619.07129644444</v>
      </c>
      <c r="N104" s="90">
        <f t="shared" ref="N104:T104" si="26">SUM(N11:N103)</f>
        <v>36487.058773444442</v>
      </c>
      <c r="O104" s="90">
        <f t="shared" si="26"/>
        <v>38817.038773444438</v>
      </c>
      <c r="P104" s="90">
        <f t="shared" si="26"/>
        <v>35517.358773444445</v>
      </c>
      <c r="Q104" s="90">
        <f t="shared" si="26"/>
        <v>49851.144194444452</v>
      </c>
      <c r="R104" s="90">
        <f t="shared" si="26"/>
        <v>37408.958773444443</v>
      </c>
      <c r="S104" s="90">
        <f t="shared" si="26"/>
        <v>165690.452735</v>
      </c>
      <c r="T104" s="90">
        <f t="shared" si="26"/>
        <v>43727.287634999993</v>
      </c>
      <c r="U104" s="40">
        <f>U86+U101</f>
        <v>371012.24088477774</v>
      </c>
    </row>
    <row r="105" spans="1:21">
      <c r="A105" s="66"/>
      <c r="B105" s="66"/>
      <c r="C105" s="66"/>
      <c r="D105" s="66"/>
      <c r="E105" s="106"/>
      <c r="F105" s="106"/>
      <c r="G105" s="106"/>
      <c r="H105" s="106"/>
      <c r="I105" s="106"/>
      <c r="J105" s="106"/>
      <c r="K105" s="106"/>
      <c r="L105" s="106"/>
      <c r="M105" s="66"/>
      <c r="N105" s="106"/>
      <c r="O105" s="66"/>
      <c r="P105" s="66"/>
      <c r="Q105" s="66"/>
      <c r="R105" s="66"/>
      <c r="S105" s="66"/>
      <c r="T105" s="66"/>
      <c r="U105" s="66"/>
    </row>
    <row r="106" spans="1:21">
      <c r="A106" s="66"/>
      <c r="B106" s="66"/>
      <c r="C106" s="66"/>
      <c r="D106" s="66"/>
      <c r="E106" s="106"/>
      <c r="F106" s="106"/>
      <c r="G106" s="106"/>
      <c r="H106" s="106"/>
      <c r="I106" s="106"/>
      <c r="J106" s="107"/>
      <c r="K106" s="108"/>
      <c r="L106" s="107"/>
      <c r="M106" s="106"/>
      <c r="N106" s="66"/>
      <c r="O106" s="66"/>
      <c r="P106" s="66"/>
      <c r="Q106" s="66"/>
      <c r="R106" s="66"/>
      <c r="S106" s="66"/>
      <c r="T106" s="66"/>
      <c r="U106" s="66"/>
    </row>
    <row r="107" spans="1:21" ht="45">
      <c r="A107" s="66"/>
      <c r="B107" s="113" t="s">
        <v>187</v>
      </c>
      <c r="C107" s="151">
        <v>-132103.94</v>
      </c>
      <c r="D107" s="152"/>
      <c r="E107" s="152"/>
      <c r="F107" s="153"/>
      <c r="G107" s="106"/>
      <c r="H107" s="106"/>
      <c r="I107" s="106"/>
      <c r="J107" s="107"/>
      <c r="K107" s="108"/>
      <c r="L107" s="107"/>
      <c r="M107" s="106"/>
      <c r="N107" s="66"/>
      <c r="O107" s="66"/>
      <c r="P107" s="66"/>
      <c r="Q107" s="66"/>
      <c r="R107" s="66"/>
      <c r="S107" s="66"/>
      <c r="T107" s="66"/>
      <c r="U107" s="66"/>
    </row>
    <row r="108" spans="1:21" ht="30">
      <c r="A108" s="66"/>
      <c r="B108" s="113" t="s">
        <v>216</v>
      </c>
      <c r="C108" s="151">
        <f>(47597.12*6)+(95727.93*3)+(55067.52*3)</f>
        <v>737969.07000000007</v>
      </c>
      <c r="D108" s="152"/>
      <c r="E108" s="152"/>
      <c r="F108" s="153"/>
      <c r="G108" s="106"/>
      <c r="H108" s="106"/>
      <c r="I108" s="106"/>
      <c r="J108" s="107"/>
      <c r="K108" s="108"/>
      <c r="L108" s="107"/>
      <c r="M108" s="106"/>
      <c r="N108" s="66"/>
      <c r="O108" s="66"/>
      <c r="P108" s="66"/>
      <c r="Q108" s="66"/>
      <c r="R108" s="66"/>
      <c r="S108" s="66"/>
      <c r="T108" s="66"/>
      <c r="U108" s="66"/>
    </row>
    <row r="109" spans="1:21" ht="30">
      <c r="A109" s="66"/>
      <c r="B109" s="113" t="s">
        <v>217</v>
      </c>
      <c r="C109" s="151">
        <f>SUM(U104-U101)+293564.24</f>
        <v>525397.33798477775</v>
      </c>
      <c r="D109" s="152"/>
      <c r="E109" s="152"/>
      <c r="F109" s="153"/>
      <c r="G109" s="106"/>
      <c r="H109" s="106"/>
      <c r="I109" s="106"/>
      <c r="J109" s="107"/>
      <c r="K109" s="108"/>
      <c r="L109" s="107"/>
      <c r="M109" s="106"/>
      <c r="N109" s="66"/>
      <c r="O109" s="66"/>
      <c r="P109" s="66"/>
      <c r="Q109" s="66"/>
      <c r="R109" s="66"/>
      <c r="S109" s="66"/>
      <c r="T109" s="66"/>
      <c r="U109" s="66"/>
    </row>
    <row r="110" spans="1:21" ht="30">
      <c r="A110" s="66"/>
      <c r="B110" s="113" t="s">
        <v>218</v>
      </c>
      <c r="C110" s="151">
        <f>SUM(U101)+20612.69</f>
        <v>159791.83289999998</v>
      </c>
      <c r="D110" s="152"/>
      <c r="E110" s="152"/>
      <c r="F110" s="153"/>
      <c r="G110" s="106"/>
      <c r="H110" s="106"/>
      <c r="I110" s="106"/>
      <c r="J110" s="107"/>
      <c r="K110" s="108"/>
      <c r="L110" s="107"/>
      <c r="M110" s="106"/>
      <c r="N110" s="66"/>
      <c r="O110" s="66"/>
      <c r="P110" s="66"/>
      <c r="Q110" s="66"/>
      <c r="R110" s="66"/>
      <c r="S110" s="66"/>
      <c r="T110" s="66"/>
      <c r="U110" s="66"/>
    </row>
    <row r="111" spans="1:21" ht="18">
      <c r="A111" s="66"/>
      <c r="B111" s="115" t="s">
        <v>219</v>
      </c>
      <c r="C111" s="151">
        <f>(46607.4+44733.75+47297.55+41344.2+55934.58+38080.1)+55082.03+87940.19+78477.52+97603.71+46234.86+54165.11</f>
        <v>693501</v>
      </c>
      <c r="D111" s="152"/>
      <c r="E111" s="152"/>
      <c r="F111" s="153"/>
      <c r="G111" s="66"/>
      <c r="H111" s="109" t="s">
        <v>103</v>
      </c>
      <c r="J111" s="110"/>
      <c r="K111" s="111"/>
      <c r="L111" s="112"/>
      <c r="M111" s="109"/>
      <c r="N111" s="109"/>
      <c r="O111" s="66"/>
      <c r="P111" s="66"/>
      <c r="Q111" s="66"/>
      <c r="R111" s="66"/>
      <c r="S111" s="66"/>
      <c r="T111" s="66"/>
      <c r="U111" s="66"/>
    </row>
    <row r="112" spans="1:21" ht="78.75">
      <c r="A112" s="66"/>
      <c r="B112" s="138" t="s">
        <v>224</v>
      </c>
      <c r="C112" s="157">
        <v>130520.76</v>
      </c>
      <c r="D112" s="158"/>
      <c r="E112" s="158"/>
      <c r="F112" s="159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</row>
    <row r="113" spans="1:21" ht="45">
      <c r="A113" s="66"/>
      <c r="B113" s="113" t="s">
        <v>225</v>
      </c>
      <c r="C113" s="154">
        <f>SUM(C109+C110-C108)+C107</f>
        <v>-184883.83911522228</v>
      </c>
      <c r="D113" s="155"/>
      <c r="E113" s="155"/>
      <c r="F113" s="15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</row>
    <row r="115" spans="1:21">
      <c r="J115" s="3"/>
      <c r="K115" s="4"/>
      <c r="L115" s="4"/>
      <c r="M115" s="2"/>
    </row>
    <row r="116" spans="1:21">
      <c r="G116" s="5"/>
      <c r="H116" s="5"/>
    </row>
    <row r="117" spans="1:21">
      <c r="G117" s="6"/>
    </row>
  </sheetData>
  <mergeCells count="11">
    <mergeCell ref="C113:F113"/>
    <mergeCell ref="C108:F108"/>
    <mergeCell ref="C109:F109"/>
    <mergeCell ref="C110:F110"/>
    <mergeCell ref="C111:F111"/>
    <mergeCell ref="C112:F112"/>
    <mergeCell ref="B3:L3"/>
    <mergeCell ref="B4:L4"/>
    <mergeCell ref="B5:L5"/>
    <mergeCell ref="B6:L6"/>
    <mergeCell ref="C107:F107"/>
  </mergeCells>
  <pageMargins left="0.51181102362204722" right="0.11811023622047245" top="0" bottom="0" header="0.15748031496062992" footer="0.15748031496062992"/>
  <pageSetup paperSize="9" scale="4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Окт.,53</vt:lpstr>
      <vt:lpstr>'Окт.,53'!Область_печати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Партнёр</dc:creator>
  <cp:lastModifiedBy>user</cp:lastModifiedBy>
  <cp:lastPrinted>2018-03-21T05:32:56Z</cp:lastPrinted>
  <dcterms:created xsi:type="dcterms:W3CDTF">2014-02-05T12:20:20Z</dcterms:created>
  <dcterms:modified xsi:type="dcterms:W3CDTF">2018-03-30T07:07:32Z</dcterms:modified>
</cp:coreProperties>
</file>