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5480" windowHeight="8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'01.20'!$I$12:$I$62</definedName>
    <definedName name="_xlnm._FilterDatabase" localSheetId="1" hidden="1">'02.20'!$I$12:$I$62</definedName>
    <definedName name="_xlnm._FilterDatabase" localSheetId="2" hidden="1">'03.20'!$I$12:$I$56</definedName>
    <definedName name="_xlnm.Print_Area" localSheetId="0">'01.20'!$A$1:$I$145</definedName>
    <definedName name="_xlnm.Print_Area" localSheetId="1">'02.20'!$A$1:$I$127</definedName>
    <definedName name="_xlnm.Print_Area" localSheetId="2">'03.20'!$A$1:$I$122</definedName>
  </definedNames>
  <calcPr calcId="124519"/>
</workbook>
</file>

<file path=xl/calcChain.xml><?xml version="1.0" encoding="utf-8"?>
<calcChain xmlns="http://schemas.openxmlformats.org/spreadsheetml/2006/main">
  <c r="I97" i="23"/>
  <c r="I104" i="18"/>
  <c r="I91"/>
  <c r="I92" i="17"/>
  <c r="I91" i="28"/>
  <c r="I112"/>
  <c r="I107"/>
  <c r="I106"/>
  <c r="I105"/>
  <c r="I104"/>
  <c r="I103"/>
  <c r="I102"/>
  <c r="I101"/>
  <c r="I100"/>
  <c r="I99"/>
  <c r="I98"/>
  <c r="I96"/>
  <c r="I93"/>
  <c r="I87"/>
  <c r="I38"/>
  <c r="I91" i="27"/>
  <c r="I97"/>
  <c r="I96"/>
  <c r="I95"/>
  <c r="I94"/>
  <c r="I93"/>
  <c r="I66"/>
  <c r="I44"/>
  <c r="I89" i="26" l="1"/>
  <c r="I55"/>
  <c r="I88"/>
  <c r="I80" l="1"/>
  <c r="I86"/>
  <c r="I85"/>
  <c r="I84"/>
  <c r="I83"/>
  <c r="I64" i="24" l="1"/>
  <c r="I64" i="23" l="1"/>
  <c r="I89" i="24"/>
  <c r="I89" i="25"/>
  <c r="I102"/>
  <c r="I99"/>
  <c r="I59"/>
  <c r="I95"/>
  <c r="I94"/>
  <c r="I93"/>
  <c r="I92"/>
  <c r="I91"/>
  <c r="I64"/>
  <c r="I96" i="24" l="1"/>
  <c r="I95"/>
  <c r="I94"/>
  <c r="I98" i="23"/>
  <c r="I95"/>
  <c r="I114" i="22"/>
  <c r="I91"/>
  <c r="I64" l="1"/>
  <c r="I89" i="23" l="1"/>
  <c r="I94"/>
  <c r="I93"/>
  <c r="I91"/>
  <c r="I79"/>
  <c r="I89" i="22" l="1"/>
  <c r="I115"/>
  <c r="I113"/>
  <c r="I112"/>
  <c r="I111"/>
  <c r="I110"/>
  <c r="I109"/>
  <c r="I108"/>
  <c r="I107"/>
  <c r="I106"/>
  <c r="I105"/>
  <c r="I104"/>
  <c r="I103"/>
  <c r="I102"/>
  <c r="I101"/>
  <c r="I100"/>
  <c r="I99"/>
  <c r="I98"/>
  <c r="I96"/>
  <c r="I93"/>
  <c r="I92"/>
  <c r="I100" i="21"/>
  <c r="I91"/>
  <c r="I99"/>
  <c r="I98"/>
  <c r="I97"/>
  <c r="I96"/>
  <c r="I89" l="1"/>
  <c r="I92"/>
  <c r="I90" i="20" l="1"/>
  <c r="I92"/>
  <c r="I43" i="19" l="1"/>
  <c r="I42"/>
  <c r="I90" l="1"/>
  <c r="I99"/>
  <c r="I98"/>
  <c r="I97"/>
  <c r="I96" l="1"/>
  <c r="I95"/>
  <c r="I94"/>
  <c r="I93"/>
  <c r="I92"/>
  <c r="I37"/>
  <c r="I90" i="17" l="1"/>
  <c r="I59"/>
  <c r="I102" i="18"/>
  <c r="I101"/>
  <c r="I89" l="1"/>
  <c r="I99"/>
  <c r="I98"/>
  <c r="I97"/>
  <c r="I95"/>
  <c r="I94"/>
  <c r="I45"/>
  <c r="I39"/>
  <c r="I122" i="17" l="1"/>
  <c r="I93"/>
  <c r="I66"/>
  <c r="I39"/>
  <c r="I66" i="28" l="1"/>
  <c r="F45"/>
  <c r="H45" s="1"/>
  <c r="I44"/>
  <c r="H44"/>
  <c r="F43"/>
  <c r="I43" s="1"/>
  <c r="F42"/>
  <c r="H42" s="1"/>
  <c r="H41"/>
  <c r="F40"/>
  <c r="H40" s="1"/>
  <c r="F39"/>
  <c r="I39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I18" s="1"/>
  <c r="F17"/>
  <c r="I17" s="1"/>
  <c r="F16"/>
  <c r="I16" s="1"/>
  <c r="I38" i="27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I16" s="1"/>
  <c r="H39" i="28" l="1"/>
  <c r="H20"/>
  <c r="H43"/>
  <c r="I40"/>
  <c r="I42"/>
  <c r="I45"/>
  <c r="H16"/>
  <c r="H18"/>
  <c r="H21"/>
  <c r="I26"/>
  <c r="H16" i="27"/>
  <c r="H21"/>
  <c r="I18"/>
  <c r="H18"/>
  <c r="I20"/>
  <c r="I26"/>
  <c r="I76" i="26" l="1"/>
  <c r="E90" i="28" l="1"/>
  <c r="H89"/>
  <c r="F89"/>
  <c r="H87"/>
  <c r="H85"/>
  <c r="F83"/>
  <c r="H82"/>
  <c r="F81"/>
  <c r="H80"/>
  <c r="F79"/>
  <c r="F77"/>
  <c r="H77" s="1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H66"/>
  <c r="F66"/>
  <c r="H64"/>
  <c r="F64"/>
  <c r="F63"/>
  <c r="I61"/>
  <c r="H61"/>
  <c r="I60"/>
  <c r="H59"/>
  <c r="F59"/>
  <c r="I58"/>
  <c r="H58" s="1"/>
  <c r="F58"/>
  <c r="F55"/>
  <c r="H55" s="1"/>
  <c r="I54"/>
  <c r="H54"/>
  <c r="F53"/>
  <c r="H53" s="1"/>
  <c r="F52"/>
  <c r="H52" s="1"/>
  <c r="F51"/>
  <c r="H51" s="1"/>
  <c r="H50"/>
  <c r="F50"/>
  <c r="H49"/>
  <c r="F49"/>
  <c r="H48"/>
  <c r="F48"/>
  <c r="H47"/>
  <c r="F47"/>
  <c r="I47" l="1"/>
  <c r="I48"/>
  <c r="I49"/>
  <c r="I50"/>
  <c r="I51"/>
  <c r="I52"/>
  <c r="I53"/>
  <c r="I55"/>
  <c r="I59"/>
  <c r="H63"/>
  <c r="I64"/>
  <c r="H68"/>
  <c r="H79"/>
  <c r="H81"/>
  <c r="H83"/>
  <c r="I89"/>
  <c r="I68"/>
  <c r="I69"/>
  <c r="I70"/>
  <c r="I71"/>
  <c r="I72"/>
  <c r="I73"/>
  <c r="I76"/>
  <c r="I77"/>
  <c r="H38"/>
  <c r="H36"/>
  <c r="H35"/>
  <c r="H34"/>
  <c r="F34"/>
  <c r="E34"/>
  <c r="F33"/>
  <c r="I32" s="1"/>
  <c r="F32"/>
  <c r="H32" s="1"/>
  <c r="F31"/>
  <c r="H31" s="1"/>
  <c r="F30"/>
  <c r="F27"/>
  <c r="H27" s="1"/>
  <c r="H86" l="1"/>
  <c r="I27"/>
  <c r="H30"/>
  <c r="H33"/>
  <c r="I34"/>
  <c r="I30"/>
  <c r="I31"/>
  <c r="I33"/>
  <c r="E90" i="27"/>
  <c r="F89"/>
  <c r="H89" s="1"/>
  <c r="H87"/>
  <c r="H85"/>
  <c r="F83"/>
  <c r="H82"/>
  <c r="F81"/>
  <c r="H80"/>
  <c r="H79" s="1"/>
  <c r="F79"/>
  <c r="H77"/>
  <c r="F77"/>
  <c r="F76"/>
  <c r="H76" s="1"/>
  <c r="I74"/>
  <c r="H74"/>
  <c r="F73"/>
  <c r="H73" s="1"/>
  <c r="F72"/>
  <c r="H72" s="1"/>
  <c r="F71"/>
  <c r="H71" s="1"/>
  <c r="F70"/>
  <c r="H70" s="1"/>
  <c r="F69"/>
  <c r="H69" s="1"/>
  <c r="F68"/>
  <c r="H67" s="1"/>
  <c r="F67"/>
  <c r="H66"/>
  <c r="F66"/>
  <c r="H64"/>
  <c r="F64"/>
  <c r="F63"/>
  <c r="I61"/>
  <c r="H61"/>
  <c r="I60"/>
  <c r="H59"/>
  <c r="F59"/>
  <c r="I58"/>
  <c r="H58" s="1"/>
  <c r="F58"/>
  <c r="H55"/>
  <c r="F55"/>
  <c r="I54"/>
  <c r="H54"/>
  <c r="H53"/>
  <c r="F53"/>
  <c r="H52"/>
  <c r="F52"/>
  <c r="H51"/>
  <c r="F51"/>
  <c r="H50"/>
  <c r="F50"/>
  <c r="H49"/>
  <c r="F49"/>
  <c r="H48"/>
  <c r="F48"/>
  <c r="H47"/>
  <c r="F47"/>
  <c r="H45"/>
  <c r="F45"/>
  <c r="H44"/>
  <c r="F43"/>
  <c r="I43" s="1"/>
  <c r="F42"/>
  <c r="H42" s="1"/>
  <c r="H41"/>
  <c r="F40"/>
  <c r="H40" s="1"/>
  <c r="F39"/>
  <c r="H39" s="1"/>
  <c r="H38"/>
  <c r="H36"/>
  <c r="H35"/>
  <c r="H34"/>
  <c r="F34"/>
  <c r="E34"/>
  <c r="F33"/>
  <c r="F32"/>
  <c r="H32" s="1"/>
  <c r="F31"/>
  <c r="F30"/>
  <c r="H30" s="1"/>
  <c r="F27"/>
  <c r="H27" s="1"/>
  <c r="H43" l="1"/>
  <c r="I30"/>
  <c r="I32"/>
  <c r="H31"/>
  <c r="H33"/>
  <c r="I34"/>
  <c r="I42"/>
  <c r="I45"/>
  <c r="I47"/>
  <c r="I48"/>
  <c r="I49"/>
  <c r="I50"/>
  <c r="I51"/>
  <c r="I52"/>
  <c r="I53"/>
  <c r="I55"/>
  <c r="I59"/>
  <c r="H63"/>
  <c r="H86" s="1"/>
  <c r="I64"/>
  <c r="H68"/>
  <c r="H81"/>
  <c r="H83"/>
  <c r="I89"/>
  <c r="I27"/>
  <c r="I31"/>
  <c r="I33"/>
  <c r="I39"/>
  <c r="I40"/>
  <c r="I68"/>
  <c r="I69"/>
  <c r="I70"/>
  <c r="I71"/>
  <c r="I72"/>
  <c r="I73"/>
  <c r="I76"/>
  <c r="I77"/>
  <c r="H82" i="26"/>
  <c r="E79" l="1"/>
  <c r="F78" l="1"/>
  <c r="I78" s="1"/>
  <c r="H76"/>
  <c r="H74"/>
  <c r="F72"/>
  <c r="H71"/>
  <c r="F70"/>
  <c r="H69"/>
  <c r="F68"/>
  <c r="F66"/>
  <c r="H66" s="1"/>
  <c r="F65"/>
  <c r="I65" s="1"/>
  <c r="H65" s="1"/>
  <c r="I63"/>
  <c r="H63"/>
  <c r="F62"/>
  <c r="H62" s="1"/>
  <c r="F61"/>
  <c r="I61" s="1"/>
  <c r="H61" s="1"/>
  <c r="F60"/>
  <c r="H60" s="1"/>
  <c r="F59"/>
  <c r="I59" s="1"/>
  <c r="H59" s="1"/>
  <c r="F58"/>
  <c r="H58" s="1"/>
  <c r="F57"/>
  <c r="I57" s="1"/>
  <c r="H57" s="1"/>
  <c r="F56"/>
  <c r="F55"/>
  <c r="H55" s="1"/>
  <c r="F53"/>
  <c r="I53" s="1"/>
  <c r="H53" s="1"/>
  <c r="F52"/>
  <c r="I50"/>
  <c r="H50"/>
  <c r="I49"/>
  <c r="F48"/>
  <c r="I48" s="1"/>
  <c r="H48" s="1"/>
  <c r="I47"/>
  <c r="F47"/>
  <c r="F44"/>
  <c r="I44" s="1"/>
  <c r="H44" s="1"/>
  <c r="I43"/>
  <c r="H43"/>
  <c r="F42"/>
  <c r="H42" s="1"/>
  <c r="F41"/>
  <c r="I41" s="1"/>
  <c r="H41" s="1"/>
  <c r="F40"/>
  <c r="H40" s="1"/>
  <c r="F39"/>
  <c r="I39" s="1"/>
  <c r="H39" s="1"/>
  <c r="F38"/>
  <c r="H38" s="1"/>
  <c r="F37"/>
  <c r="I37" s="1"/>
  <c r="H37" s="1"/>
  <c r="F36"/>
  <c r="H36" s="1"/>
  <c r="H34"/>
  <c r="H33"/>
  <c r="F32"/>
  <c r="F31"/>
  <c r="H31" s="1"/>
  <c r="F30"/>
  <c r="F29"/>
  <c r="H29" s="1"/>
  <c r="F26"/>
  <c r="F25"/>
  <c r="F24"/>
  <c r="F23"/>
  <c r="F22"/>
  <c r="F21"/>
  <c r="H21" s="1"/>
  <c r="F20"/>
  <c r="F19"/>
  <c r="E18"/>
  <c r="F17"/>
  <c r="I17" l="1"/>
  <c r="H19"/>
  <c r="H23"/>
  <c r="H25"/>
  <c r="I31"/>
  <c r="H47"/>
  <c r="H68"/>
  <c r="H70"/>
  <c r="H72"/>
  <c r="H78"/>
  <c r="I21"/>
  <c r="I29"/>
  <c r="I20"/>
  <c r="H20" s="1"/>
  <c r="H22"/>
  <c r="H24"/>
  <c r="I26"/>
  <c r="H26" s="1"/>
  <c r="I30"/>
  <c r="H30" s="1"/>
  <c r="I32"/>
  <c r="I36"/>
  <c r="I38"/>
  <c r="I40"/>
  <c r="I42"/>
  <c r="H52"/>
  <c r="H56"/>
  <c r="I58"/>
  <c r="I60"/>
  <c r="I62"/>
  <c r="I66"/>
  <c r="F16"/>
  <c r="I16" s="1"/>
  <c r="H91" i="25"/>
  <c r="E88"/>
  <c r="I87"/>
  <c r="H87" s="1"/>
  <c r="F87"/>
  <c r="H85"/>
  <c r="H83"/>
  <c r="H81" s="1"/>
  <c r="F81"/>
  <c r="H80"/>
  <c r="H79" s="1"/>
  <c r="F79"/>
  <c r="H78"/>
  <c r="H77" s="1"/>
  <c r="F77"/>
  <c r="I75"/>
  <c r="H75" s="1"/>
  <c r="F75"/>
  <c r="H74"/>
  <c r="F74"/>
  <c r="I72"/>
  <c r="H72"/>
  <c r="I71"/>
  <c r="H71" s="1"/>
  <c r="F71"/>
  <c r="H70"/>
  <c r="F70"/>
  <c r="I69"/>
  <c r="H69" s="1"/>
  <c r="F69"/>
  <c r="H68"/>
  <c r="F68"/>
  <c r="I67"/>
  <c r="H67" s="1"/>
  <c r="F67"/>
  <c r="H66"/>
  <c r="F66"/>
  <c r="F65"/>
  <c r="F64"/>
  <c r="H64" s="1"/>
  <c r="F62"/>
  <c r="H61" s="1"/>
  <c r="F61"/>
  <c r="H59"/>
  <c r="I58"/>
  <c r="F57"/>
  <c r="I57" s="1"/>
  <c r="H57" s="1"/>
  <c r="I56"/>
  <c r="F56"/>
  <c r="F53"/>
  <c r="I53" s="1"/>
  <c r="H53" s="1"/>
  <c r="I52"/>
  <c r="H52"/>
  <c r="F51"/>
  <c r="H51" s="1"/>
  <c r="F50"/>
  <c r="I50" s="1"/>
  <c r="H50" s="1"/>
  <c r="F49"/>
  <c r="H49" s="1"/>
  <c r="F48"/>
  <c r="I48" s="1"/>
  <c r="H48" s="1"/>
  <c r="F47"/>
  <c r="H47" s="1"/>
  <c r="F46"/>
  <c r="I46" s="1"/>
  <c r="H46" s="1"/>
  <c r="F45"/>
  <c r="H45" s="1"/>
  <c r="F43"/>
  <c r="I43" s="1"/>
  <c r="H43" s="1"/>
  <c r="I42"/>
  <c r="H42"/>
  <c r="F41"/>
  <c r="H41" s="1"/>
  <c r="F40"/>
  <c r="I40" s="1"/>
  <c r="H40" s="1"/>
  <c r="H39"/>
  <c r="I38"/>
  <c r="H38" s="1"/>
  <c r="F38"/>
  <c r="H37"/>
  <c r="F37"/>
  <c r="I36"/>
  <c r="H36"/>
  <c r="H34"/>
  <c r="H33"/>
  <c r="I32"/>
  <c r="H32" s="1"/>
  <c r="F32"/>
  <c r="H31"/>
  <c r="F31"/>
  <c r="I30"/>
  <c r="H30" s="1"/>
  <c r="F30"/>
  <c r="H29"/>
  <c r="F29"/>
  <c r="I26"/>
  <c r="H26" s="1"/>
  <c r="F26"/>
  <c r="I25"/>
  <c r="H25" s="1"/>
  <c r="F25"/>
  <c r="H24"/>
  <c r="F24"/>
  <c r="I23"/>
  <c r="H23" s="1"/>
  <c r="F23"/>
  <c r="H22"/>
  <c r="F22"/>
  <c r="I21"/>
  <c r="H21" s="1"/>
  <c r="F21"/>
  <c r="H20"/>
  <c r="F20"/>
  <c r="I19"/>
  <c r="H19" s="1"/>
  <c r="F19"/>
  <c r="E18"/>
  <c r="I17" s="1"/>
  <c r="F17"/>
  <c r="H16"/>
  <c r="F16"/>
  <c r="H75" i="26" l="1"/>
  <c r="I16" i="25"/>
  <c r="I20"/>
  <c r="I22"/>
  <c r="I24"/>
  <c r="I29"/>
  <c r="I31"/>
  <c r="I37"/>
  <c r="H56"/>
  <c r="H62"/>
  <c r="H65"/>
  <c r="I66"/>
  <c r="I68"/>
  <c r="I70"/>
  <c r="I74"/>
  <c r="I41"/>
  <c r="I45"/>
  <c r="I47"/>
  <c r="I49"/>
  <c r="I51"/>
  <c r="I62"/>
  <c r="H32" i="26"/>
  <c r="H16"/>
  <c r="H91" i="24"/>
  <c r="E88"/>
  <c r="F87"/>
  <c r="I87" s="1"/>
  <c r="H87" s="1"/>
  <c r="H85"/>
  <c r="H83"/>
  <c r="H81" s="1"/>
  <c r="F81"/>
  <c r="H80"/>
  <c r="H79" s="1"/>
  <c r="F79"/>
  <c r="H78"/>
  <c r="H77" s="1"/>
  <c r="F77"/>
  <c r="I75"/>
  <c r="H75" s="1"/>
  <c r="F75"/>
  <c r="H74"/>
  <c r="F74"/>
  <c r="I72"/>
  <c r="H72"/>
  <c r="F71"/>
  <c r="I71" s="1"/>
  <c r="H71" s="1"/>
  <c r="F70"/>
  <c r="H70" s="1"/>
  <c r="F69"/>
  <c r="I69" s="1"/>
  <c r="H69" s="1"/>
  <c r="F68"/>
  <c r="H68" s="1"/>
  <c r="F67"/>
  <c r="I67" s="1"/>
  <c r="H67" s="1"/>
  <c r="F66"/>
  <c r="H66" s="1"/>
  <c r="F65"/>
  <c r="F64"/>
  <c r="H84" i="25" l="1"/>
  <c r="H64" i="24"/>
  <c r="H65"/>
  <c r="I66"/>
  <c r="I68"/>
  <c r="I70"/>
  <c r="I74"/>
  <c r="F62"/>
  <c r="H61" s="1"/>
  <c r="F61"/>
  <c r="I59"/>
  <c r="H59"/>
  <c r="I58"/>
  <c r="F57"/>
  <c r="I57" s="1"/>
  <c r="H57" s="1"/>
  <c r="I56"/>
  <c r="F56"/>
  <c r="I53"/>
  <c r="H53" s="1"/>
  <c r="F53"/>
  <c r="I52"/>
  <c r="H52"/>
  <c r="H51"/>
  <c r="F51"/>
  <c r="I50"/>
  <c r="H50" s="1"/>
  <c r="F50"/>
  <c r="H49"/>
  <c r="F49"/>
  <c r="I48"/>
  <c r="H48" s="1"/>
  <c r="F48"/>
  <c r="H47"/>
  <c r="F47"/>
  <c r="I46"/>
  <c r="H46" s="1"/>
  <c r="F46"/>
  <c r="H45"/>
  <c r="F45"/>
  <c r="I43"/>
  <c r="H43" s="1"/>
  <c r="F43"/>
  <c r="I42"/>
  <c r="H42"/>
  <c r="H41"/>
  <c r="F41"/>
  <c r="I40"/>
  <c r="H40" s="1"/>
  <c r="F40"/>
  <c r="H39"/>
  <c r="F38"/>
  <c r="F37"/>
  <c r="H37" s="1"/>
  <c r="I36"/>
  <c r="H36"/>
  <c r="H34"/>
  <c r="H33"/>
  <c r="F32"/>
  <c r="F31"/>
  <c r="H31" s="1"/>
  <c r="F30"/>
  <c r="F29"/>
  <c r="H29" s="1"/>
  <c r="F26"/>
  <c r="F25"/>
  <c r="F24"/>
  <c r="F23"/>
  <c r="F22"/>
  <c r="F21"/>
  <c r="H21" s="1"/>
  <c r="F20"/>
  <c r="F19"/>
  <c r="E18"/>
  <c r="F17"/>
  <c r="F16"/>
  <c r="H16" s="1"/>
  <c r="I17" l="1"/>
  <c r="H19"/>
  <c r="H23"/>
  <c r="H25"/>
  <c r="I29"/>
  <c r="I31"/>
  <c r="I37"/>
  <c r="I62"/>
  <c r="I21"/>
  <c r="I16"/>
  <c r="I20"/>
  <c r="H20" s="1"/>
  <c r="H22"/>
  <c r="H24"/>
  <c r="I26"/>
  <c r="H26" s="1"/>
  <c r="I30"/>
  <c r="H30" s="1"/>
  <c r="I32"/>
  <c r="H32" s="1"/>
  <c r="I38"/>
  <c r="H38" s="1"/>
  <c r="I41"/>
  <c r="I45"/>
  <c r="I47"/>
  <c r="I49"/>
  <c r="I51"/>
  <c r="H62"/>
  <c r="H56"/>
  <c r="H91" i="23"/>
  <c r="H84" i="24" l="1"/>
  <c r="E88" i="23"/>
  <c r="F87"/>
  <c r="H87" s="1"/>
  <c r="H85"/>
  <c r="H83"/>
  <c r="F81"/>
  <c r="H80"/>
  <c r="H79"/>
  <c r="F79"/>
  <c r="H78"/>
  <c r="H77" s="1"/>
  <c r="F77"/>
  <c r="H75"/>
  <c r="F75"/>
  <c r="I74"/>
  <c r="H74" s="1"/>
  <c r="F74"/>
  <c r="I72"/>
  <c r="H72"/>
  <c r="H71"/>
  <c r="F71"/>
  <c r="I70"/>
  <c r="H70" s="1"/>
  <c r="F70"/>
  <c r="H69"/>
  <c r="F69"/>
  <c r="I68"/>
  <c r="H68" s="1"/>
  <c r="F68"/>
  <c r="H67"/>
  <c r="F67"/>
  <c r="F66"/>
  <c r="I66" s="1"/>
  <c r="F65"/>
  <c r="F64"/>
  <c r="F62"/>
  <c r="H61" s="1"/>
  <c r="F61"/>
  <c r="H59"/>
  <c r="I58"/>
  <c r="H57"/>
  <c r="F57"/>
  <c r="I56"/>
  <c r="H56" s="1"/>
  <c r="F56"/>
  <c r="H53"/>
  <c r="F53"/>
  <c r="I52"/>
  <c r="H52"/>
  <c r="I51"/>
  <c r="H51" s="1"/>
  <c r="F51"/>
  <c r="H50"/>
  <c r="F50"/>
  <c r="I49"/>
  <c r="H49" s="1"/>
  <c r="F49"/>
  <c r="H48"/>
  <c r="F48"/>
  <c r="I47"/>
  <c r="H47" s="1"/>
  <c r="F47"/>
  <c r="H46"/>
  <c r="F46"/>
  <c r="I45"/>
  <c r="H45" s="1"/>
  <c r="F45"/>
  <c r="H43"/>
  <c r="F43"/>
  <c r="I42"/>
  <c r="H42"/>
  <c r="I41"/>
  <c r="H41" s="1"/>
  <c r="F41"/>
  <c r="H40"/>
  <c r="F40"/>
  <c r="H39"/>
  <c r="F38"/>
  <c r="H38" s="1"/>
  <c r="F37"/>
  <c r="I37" s="1"/>
  <c r="H37" s="1"/>
  <c r="I36"/>
  <c r="H36"/>
  <c r="H34"/>
  <c r="H33"/>
  <c r="H66" l="1"/>
  <c r="I38"/>
  <c r="I40"/>
  <c r="I43"/>
  <c r="I46"/>
  <c r="I48"/>
  <c r="I50"/>
  <c r="I53"/>
  <c r="I57"/>
  <c r="I62"/>
  <c r="H62" s="1"/>
  <c r="H64"/>
  <c r="H65"/>
  <c r="I67"/>
  <c r="I69"/>
  <c r="I71"/>
  <c r="I75"/>
  <c r="H81"/>
  <c r="I32"/>
  <c r="I87"/>
  <c r="H32"/>
  <c r="F32"/>
  <c r="I31"/>
  <c r="H31" s="1"/>
  <c r="F31"/>
  <c r="H30"/>
  <c r="F30"/>
  <c r="I29"/>
  <c r="H29" s="1"/>
  <c r="F29"/>
  <c r="I26"/>
  <c r="H26" s="1"/>
  <c r="F26"/>
  <c r="F25"/>
  <c r="H24" s="1"/>
  <c r="F24"/>
  <c r="F23"/>
  <c r="H22" s="1"/>
  <c r="F22"/>
  <c r="H21"/>
  <c r="F21"/>
  <c r="I20"/>
  <c r="H20" s="1"/>
  <c r="F20"/>
  <c r="F19"/>
  <c r="E18"/>
  <c r="F17"/>
  <c r="H84" l="1"/>
  <c r="I17"/>
  <c r="H19"/>
  <c r="I21"/>
  <c r="H23"/>
  <c r="H25"/>
  <c r="I30"/>
  <c r="H16"/>
  <c r="F16"/>
  <c r="I16" s="1"/>
  <c r="H91" i="22" l="1"/>
  <c r="E88"/>
  <c r="F87"/>
  <c r="H87" s="1"/>
  <c r="H85"/>
  <c r="H83"/>
  <c r="F81"/>
  <c r="H80"/>
  <c r="F79"/>
  <c r="H78"/>
  <c r="H77" s="1"/>
  <c r="F77"/>
  <c r="H75"/>
  <c r="F75"/>
  <c r="F74"/>
  <c r="I74" s="1"/>
  <c r="H74" s="1"/>
  <c r="I72"/>
  <c r="H72"/>
  <c r="F71"/>
  <c r="H71" s="1"/>
  <c r="F70"/>
  <c r="I70" s="1"/>
  <c r="H70" s="1"/>
  <c r="F69"/>
  <c r="H69" s="1"/>
  <c r="F68"/>
  <c r="I68" s="1"/>
  <c r="H68" s="1"/>
  <c r="F67"/>
  <c r="H67" s="1"/>
  <c r="F66"/>
  <c r="F65"/>
  <c r="F64"/>
  <c r="H64" s="1"/>
  <c r="F62"/>
  <c r="F61"/>
  <c r="H59"/>
  <c r="I58"/>
  <c r="F57"/>
  <c r="H57" s="1"/>
  <c r="I56"/>
  <c r="F56"/>
  <c r="F53"/>
  <c r="H53" s="1"/>
  <c r="I52"/>
  <c r="H52"/>
  <c r="F51"/>
  <c r="I51" s="1"/>
  <c r="H51" s="1"/>
  <c r="F50"/>
  <c r="H50" s="1"/>
  <c r="F49"/>
  <c r="I49" s="1"/>
  <c r="H49" s="1"/>
  <c r="F48"/>
  <c r="H48" s="1"/>
  <c r="F47"/>
  <c r="I47" s="1"/>
  <c r="H47" s="1"/>
  <c r="F46"/>
  <c r="H46" s="1"/>
  <c r="F45"/>
  <c r="I45" s="1"/>
  <c r="H45" s="1"/>
  <c r="F43"/>
  <c r="H43" s="1"/>
  <c r="I42"/>
  <c r="H42"/>
  <c r="F41"/>
  <c r="I41" s="1"/>
  <c r="H41" s="1"/>
  <c r="F40"/>
  <c r="H40" s="1"/>
  <c r="H39"/>
  <c r="F38"/>
  <c r="H38" s="1"/>
  <c r="F37"/>
  <c r="I37" s="1"/>
  <c r="H37" s="1"/>
  <c r="I36"/>
  <c r="H36"/>
  <c r="H34"/>
  <c r="H33"/>
  <c r="F32"/>
  <c r="H32" s="1"/>
  <c r="F31"/>
  <c r="F30"/>
  <c r="H30" s="1"/>
  <c r="F29"/>
  <c r="I29" s="1"/>
  <c r="H29" s="1"/>
  <c r="F26"/>
  <c r="I26" s="1"/>
  <c r="F25"/>
  <c r="H25" s="1"/>
  <c r="F24"/>
  <c r="I24" s="1"/>
  <c r="H24" s="1"/>
  <c r="F23"/>
  <c r="H23" s="1"/>
  <c r="F22"/>
  <c r="F21"/>
  <c r="F20"/>
  <c r="I20" s="1"/>
  <c r="F19"/>
  <c r="H19" s="1"/>
  <c r="E18"/>
  <c r="F17"/>
  <c r="F16"/>
  <c r="I16" s="1"/>
  <c r="H16" s="1"/>
  <c r="H93" i="21"/>
  <c r="H92"/>
  <c r="H91"/>
  <c r="E88"/>
  <c r="F87"/>
  <c r="H87" s="1"/>
  <c r="H85"/>
  <c r="H83"/>
  <c r="H81" s="1"/>
  <c r="F81"/>
  <c r="H80"/>
  <c r="H79" s="1"/>
  <c r="F79"/>
  <c r="H78"/>
  <c r="H77" s="1"/>
  <c r="F77"/>
  <c r="H75"/>
  <c r="F75"/>
  <c r="H74"/>
  <c r="F74"/>
  <c r="I72"/>
  <c r="H72"/>
  <c r="H71"/>
  <c r="F71"/>
  <c r="H70"/>
  <c r="F70"/>
  <c r="H69"/>
  <c r="F69"/>
  <c r="H68"/>
  <c r="F68"/>
  <c r="H67"/>
  <c r="F67"/>
  <c r="I32" i="22" l="1"/>
  <c r="H56"/>
  <c r="H61"/>
  <c r="I30"/>
  <c r="I38"/>
  <c r="H79"/>
  <c r="H81"/>
  <c r="I87"/>
  <c r="H21"/>
  <c r="I21"/>
  <c r="I17"/>
  <c r="I31"/>
  <c r="H31" s="1"/>
  <c r="I40"/>
  <c r="I43"/>
  <c r="I46"/>
  <c r="I48"/>
  <c r="I50"/>
  <c r="I53"/>
  <c r="I57"/>
  <c r="I62"/>
  <c r="H62" s="1"/>
  <c r="I75"/>
  <c r="H65"/>
  <c r="I66"/>
  <c r="H66" s="1"/>
  <c r="I67"/>
  <c r="I69"/>
  <c r="I71"/>
  <c r="H26"/>
  <c r="I19"/>
  <c r="H20"/>
  <c r="I22"/>
  <c r="H22" s="1"/>
  <c r="I23"/>
  <c r="I25"/>
  <c r="I87" i="21"/>
  <c r="I66"/>
  <c r="I67"/>
  <c r="I68"/>
  <c r="I69"/>
  <c r="I70"/>
  <c r="I71"/>
  <c r="I74"/>
  <c r="I75"/>
  <c r="H66"/>
  <c r="F66"/>
  <c r="F65"/>
  <c r="I64"/>
  <c r="F64"/>
  <c r="F62"/>
  <c r="H61" s="1"/>
  <c r="F61"/>
  <c r="H59"/>
  <c r="I58"/>
  <c r="H57"/>
  <c r="F57"/>
  <c r="I56"/>
  <c r="H56" s="1"/>
  <c r="F56"/>
  <c r="H53"/>
  <c r="F53"/>
  <c r="I52"/>
  <c r="H52"/>
  <c r="I51"/>
  <c r="H51" s="1"/>
  <c r="F51"/>
  <c r="H50"/>
  <c r="F50"/>
  <c r="I49"/>
  <c r="H49" s="1"/>
  <c r="F49"/>
  <c r="H48"/>
  <c r="F48"/>
  <c r="I47"/>
  <c r="H47" s="1"/>
  <c r="F47"/>
  <c r="H46"/>
  <c r="F46"/>
  <c r="I45"/>
  <c r="H45" s="1"/>
  <c r="F45"/>
  <c r="H43"/>
  <c r="F43"/>
  <c r="I42"/>
  <c r="H42"/>
  <c r="H41"/>
  <c r="F41"/>
  <c r="H40"/>
  <c r="F40"/>
  <c r="H39"/>
  <c r="F38"/>
  <c r="H38" s="1"/>
  <c r="F37"/>
  <c r="H37" s="1"/>
  <c r="I36"/>
  <c r="H36"/>
  <c r="H34"/>
  <c r="H33"/>
  <c r="F32"/>
  <c r="H32" s="1"/>
  <c r="F31"/>
  <c r="H31" s="1"/>
  <c r="F30"/>
  <c r="H30" s="1"/>
  <c r="F29"/>
  <c r="H29" s="1"/>
  <c r="F26"/>
  <c r="I26" s="1"/>
  <c r="H26" s="1"/>
  <c r="F25"/>
  <c r="H25" s="1"/>
  <c r="F24"/>
  <c r="F23"/>
  <c r="H23" s="1"/>
  <c r="F22"/>
  <c r="F21"/>
  <c r="F20"/>
  <c r="I19" s="1"/>
  <c r="F19"/>
  <c r="H19" s="1"/>
  <c r="E18"/>
  <c r="I17" s="1"/>
  <c r="F17"/>
  <c r="I16"/>
  <c r="H16" s="1"/>
  <c r="F16"/>
  <c r="H84" i="22" l="1"/>
  <c r="I40" i="21"/>
  <c r="I41"/>
  <c r="I43"/>
  <c r="I46"/>
  <c r="I48"/>
  <c r="I50"/>
  <c r="I53"/>
  <c r="I57"/>
  <c r="H62"/>
  <c r="H65"/>
  <c r="I29"/>
  <c r="I30"/>
  <c r="I31"/>
  <c r="I32"/>
  <c r="I37"/>
  <c r="I38"/>
  <c r="I62"/>
  <c r="H64"/>
  <c r="H84" s="1"/>
  <c r="I20"/>
  <c r="I21"/>
  <c r="I23"/>
  <c r="I25"/>
  <c r="H20"/>
  <c r="H21"/>
  <c r="I22"/>
  <c r="H22" s="1"/>
  <c r="I24"/>
  <c r="H24" s="1"/>
  <c r="I93" i="20"/>
  <c r="H92"/>
  <c r="E89"/>
  <c r="F88"/>
  <c r="H88" s="1"/>
  <c r="H86"/>
  <c r="H84"/>
  <c r="H82" s="1"/>
  <c r="F82"/>
  <c r="H81"/>
  <c r="H80" s="1"/>
  <c r="F80"/>
  <c r="H79"/>
  <c r="I78"/>
  <c r="F78"/>
  <c r="F76"/>
  <c r="H76" s="1"/>
  <c r="F75"/>
  <c r="I75" s="1"/>
  <c r="H75" s="1"/>
  <c r="I73"/>
  <c r="H73"/>
  <c r="F72"/>
  <c r="H72" s="1"/>
  <c r="F71"/>
  <c r="I71" s="1"/>
  <c r="H71" s="1"/>
  <c r="F70"/>
  <c r="H70" s="1"/>
  <c r="F69"/>
  <c r="I69" s="1"/>
  <c r="H69" s="1"/>
  <c r="F68"/>
  <c r="H68" s="1"/>
  <c r="F67"/>
  <c r="H66" s="1"/>
  <c r="F66"/>
  <c r="I65"/>
  <c r="H65" s="1"/>
  <c r="F65"/>
  <c r="I63"/>
  <c r="H63" s="1"/>
  <c r="F63"/>
  <c r="F62"/>
  <c r="H60"/>
  <c r="I59"/>
  <c r="F58"/>
  <c r="H58" s="1"/>
  <c r="I57"/>
  <c r="F57"/>
  <c r="F54"/>
  <c r="H54" s="1"/>
  <c r="I53"/>
  <c r="H53"/>
  <c r="F52"/>
  <c r="I52" s="1"/>
  <c r="H52" s="1"/>
  <c r="F51"/>
  <c r="H51" s="1"/>
  <c r="F50"/>
  <c r="I50" s="1"/>
  <c r="H50" s="1"/>
  <c r="F49"/>
  <c r="H49" s="1"/>
  <c r="F48"/>
  <c r="I48" s="1"/>
  <c r="H48" s="1"/>
  <c r="F47"/>
  <c r="H47" s="1"/>
  <c r="F46"/>
  <c r="I44" s="1"/>
  <c r="F44"/>
  <c r="H44" s="1"/>
  <c r="I43"/>
  <c r="H43"/>
  <c r="F42"/>
  <c r="F41"/>
  <c r="H41" s="1"/>
  <c r="I40"/>
  <c r="H40"/>
  <c r="I41" l="1"/>
  <c r="I46"/>
  <c r="H46" s="1"/>
  <c r="H57"/>
  <c r="H62"/>
  <c r="I67"/>
  <c r="H67" s="1"/>
  <c r="H78"/>
  <c r="H85" s="1"/>
  <c r="I47"/>
  <c r="I49"/>
  <c r="I51"/>
  <c r="I54"/>
  <c r="I58"/>
  <c r="I68"/>
  <c r="I70"/>
  <c r="I72"/>
  <c r="I76"/>
  <c r="I88"/>
  <c r="I42"/>
  <c r="H42" s="1"/>
  <c r="H39"/>
  <c r="F39"/>
  <c r="I39" s="1"/>
  <c r="I38"/>
  <c r="H38" s="1"/>
  <c r="F38"/>
  <c r="I37"/>
  <c r="H37"/>
  <c r="H35"/>
  <c r="H34"/>
  <c r="H33"/>
  <c r="F33"/>
  <c r="E33"/>
  <c r="F32"/>
  <c r="H32" s="1"/>
  <c r="F31"/>
  <c r="F30"/>
  <c r="H30" s="1"/>
  <c r="F29"/>
  <c r="I29" s="1"/>
  <c r="H29" s="1"/>
  <c r="F26"/>
  <c r="F25"/>
  <c r="F24"/>
  <c r="F23"/>
  <c r="F22"/>
  <c r="F21"/>
  <c r="H21" s="1"/>
  <c r="F20"/>
  <c r="F19"/>
  <c r="E18"/>
  <c r="F17"/>
  <c r="F16"/>
  <c r="H16" s="1"/>
  <c r="I17" l="1"/>
  <c r="H19"/>
  <c r="H23"/>
  <c r="H25"/>
  <c r="I30"/>
  <c r="I32"/>
  <c r="I21"/>
  <c r="I16"/>
  <c r="I20"/>
  <c r="H20" s="1"/>
  <c r="H22"/>
  <c r="H24"/>
  <c r="I26"/>
  <c r="H26" s="1"/>
  <c r="I31"/>
  <c r="H31" s="1"/>
  <c r="I33"/>
  <c r="H98" i="19"/>
  <c r="H97"/>
  <c r="H96"/>
  <c r="H95"/>
  <c r="H94"/>
  <c r="H93"/>
  <c r="H92"/>
  <c r="I89" l="1"/>
  <c r="H89" l="1"/>
  <c r="E89"/>
  <c r="F88"/>
  <c r="H88" s="1"/>
  <c r="H86"/>
  <c r="H84"/>
  <c r="H82" s="1"/>
  <c r="F82"/>
  <c r="H81"/>
  <c r="H80" s="1"/>
  <c r="F80"/>
  <c r="H79"/>
  <c r="I78"/>
  <c r="F78"/>
  <c r="H76"/>
  <c r="F76"/>
  <c r="I76" s="1"/>
  <c r="F75"/>
  <c r="H75" s="1"/>
  <c r="I73"/>
  <c r="H73"/>
  <c r="H72"/>
  <c r="F72"/>
  <c r="I72" s="1"/>
  <c r="F71"/>
  <c r="H71" s="1"/>
  <c r="H70"/>
  <c r="F70"/>
  <c r="I70" s="1"/>
  <c r="F69"/>
  <c r="H69" s="1"/>
  <c r="H68"/>
  <c r="F68"/>
  <c r="I68" s="1"/>
  <c r="F67"/>
  <c r="H66" s="1"/>
  <c r="F66"/>
  <c r="I65"/>
  <c r="F65"/>
  <c r="H65" s="1"/>
  <c r="F63"/>
  <c r="H62" s="1"/>
  <c r="F62"/>
  <c r="H60"/>
  <c r="I59"/>
  <c r="F58"/>
  <c r="H58" s="1"/>
  <c r="F57"/>
  <c r="I57" s="1"/>
  <c r="H54"/>
  <c r="F54"/>
  <c r="I54" s="1"/>
  <c r="I53"/>
  <c r="H53"/>
  <c r="F52"/>
  <c r="H52" s="1"/>
  <c r="H51"/>
  <c r="F51"/>
  <c r="I51" s="1"/>
  <c r="F50"/>
  <c r="H50" s="1"/>
  <c r="H49"/>
  <c r="F49"/>
  <c r="I49" s="1"/>
  <c r="F48"/>
  <c r="H48" s="1"/>
  <c r="H47"/>
  <c r="F47"/>
  <c r="I47" s="1"/>
  <c r="F46"/>
  <c r="H46" s="1"/>
  <c r="F44"/>
  <c r="I44" s="1"/>
  <c r="H44" s="1"/>
  <c r="I46" l="1"/>
  <c r="I50"/>
  <c r="I52"/>
  <c r="I63"/>
  <c r="I67"/>
  <c r="I69"/>
  <c r="I71"/>
  <c r="I75"/>
  <c r="I88"/>
  <c r="I48"/>
  <c r="H57"/>
  <c r="H63"/>
  <c r="H67"/>
  <c r="H78"/>
  <c r="H85"/>
  <c r="I58"/>
  <c r="H43"/>
  <c r="F42" l="1"/>
  <c r="H41"/>
  <c r="F41"/>
  <c r="I41" s="1"/>
  <c r="H40"/>
  <c r="H39"/>
  <c r="F39"/>
  <c r="I39" s="1"/>
  <c r="F38"/>
  <c r="H38" s="1"/>
  <c r="H37"/>
  <c r="H35"/>
  <c r="H34"/>
  <c r="H33"/>
  <c r="F33"/>
  <c r="E33"/>
  <c r="F32"/>
  <c r="I32" s="1"/>
  <c r="H32" s="1"/>
  <c r="F31"/>
  <c r="I31" s="1"/>
  <c r="H31" s="1"/>
  <c r="F30"/>
  <c r="I30" s="1"/>
  <c r="H30" s="1"/>
  <c r="F29"/>
  <c r="I29" s="1"/>
  <c r="H29" s="1"/>
  <c r="F26"/>
  <c r="H25" s="1"/>
  <c r="F25"/>
  <c r="F24"/>
  <c r="H23" s="1"/>
  <c r="F23"/>
  <c r="F22"/>
  <c r="F21"/>
  <c r="I21" s="1"/>
  <c r="H21" s="1"/>
  <c r="I38" l="1"/>
  <c r="H22"/>
  <c r="H24"/>
  <c r="I26"/>
  <c r="H26" s="1"/>
  <c r="I33"/>
  <c r="H42"/>
  <c r="F20"/>
  <c r="H19" s="1"/>
  <c r="F19"/>
  <c r="E18"/>
  <c r="I17" s="1"/>
  <c r="F17"/>
  <c r="H16"/>
  <c r="F16"/>
  <c r="I16" l="1"/>
  <c r="I20"/>
  <c r="H20" s="1"/>
  <c r="H95" i="18"/>
  <c r="H94"/>
  <c r="H93"/>
  <c r="H92" l="1"/>
  <c r="H91"/>
  <c r="I88" l="1"/>
  <c r="H88"/>
  <c r="E88"/>
  <c r="H87"/>
  <c r="F87"/>
  <c r="I87" s="1"/>
  <c r="H85"/>
  <c r="H83"/>
  <c r="I81"/>
  <c r="F81"/>
  <c r="H80"/>
  <c r="H79" s="1"/>
  <c r="F79"/>
  <c r="I78"/>
  <c r="F78"/>
  <c r="F76"/>
  <c r="I74"/>
  <c r="F73"/>
  <c r="H73" s="1"/>
  <c r="F72"/>
  <c r="I72" s="1"/>
  <c r="H72" s="1"/>
  <c r="F71"/>
  <c r="H71" s="1"/>
  <c r="F70"/>
  <c r="I70" s="1"/>
  <c r="H70" s="1"/>
  <c r="F69"/>
  <c r="H69" s="1"/>
  <c r="F68"/>
  <c r="I68" s="1"/>
  <c r="H68" s="1"/>
  <c r="H67"/>
  <c r="I66"/>
  <c r="F66"/>
  <c r="H66" s="1"/>
  <c r="F64"/>
  <c r="H63" s="1"/>
  <c r="F63"/>
  <c r="I60"/>
  <c r="F60"/>
  <c r="H60" s="1"/>
  <c r="F59"/>
  <c r="H59" s="1"/>
  <c r="I56"/>
  <c r="H56" s="1"/>
  <c r="F56"/>
  <c r="H55"/>
  <c r="H54" s="1"/>
  <c r="F54"/>
  <c r="F53"/>
  <c r="I53" s="1"/>
  <c r="H52"/>
  <c r="F52"/>
  <c r="F51"/>
  <c r="H50" s="1"/>
  <c r="F50"/>
  <c r="F49"/>
  <c r="H48" s="1"/>
  <c r="F48"/>
  <c r="I46"/>
  <c r="F46"/>
  <c r="H45"/>
  <c r="H49" l="1"/>
  <c r="H51"/>
  <c r="I52"/>
  <c r="H53"/>
  <c r="H64"/>
  <c r="I64"/>
  <c r="I69"/>
  <c r="I71"/>
  <c r="I73"/>
  <c r="I76"/>
  <c r="I59"/>
  <c r="F44"/>
  <c r="I44" s="1"/>
  <c r="H43"/>
  <c r="F43"/>
  <c r="I43" s="1"/>
  <c r="F42"/>
  <c r="H42" s="1"/>
  <c r="F41"/>
  <c r="H41" s="1"/>
  <c r="H40"/>
  <c r="F40"/>
  <c r="I40" s="1"/>
  <c r="H39"/>
  <c r="H37" s="1"/>
  <c r="F37"/>
  <c r="H36"/>
  <c r="H35"/>
  <c r="H34"/>
  <c r="F34"/>
  <c r="I33"/>
  <c r="H33" s="1"/>
  <c r="F33"/>
  <c r="H32"/>
  <c r="F32"/>
  <c r="I31"/>
  <c r="H31" s="1"/>
  <c r="F31"/>
  <c r="H30"/>
  <c r="F30"/>
  <c r="I27"/>
  <c r="H27" s="1"/>
  <c r="F27"/>
  <c r="F26"/>
  <c r="H25" s="1"/>
  <c r="F25"/>
  <c r="F24"/>
  <c r="H23" s="1"/>
  <c r="F23"/>
  <c r="F22"/>
  <c r="F21"/>
  <c r="H21" s="1"/>
  <c r="F20"/>
  <c r="H19" s="1"/>
  <c r="F19"/>
  <c r="E18"/>
  <c r="I17" s="1"/>
  <c r="F17"/>
  <c r="H16"/>
  <c r="F16"/>
  <c r="I42" l="1"/>
  <c r="I21"/>
  <c r="I16"/>
  <c r="I20"/>
  <c r="H20" s="1"/>
  <c r="H22"/>
  <c r="H24"/>
  <c r="H26"/>
  <c r="I30"/>
  <c r="I32"/>
  <c r="I34"/>
  <c r="H44"/>
  <c r="F121" i="17"/>
  <c r="H121" s="1"/>
  <c r="H119"/>
  <c r="H118" s="1"/>
  <c r="F118"/>
  <c r="H117"/>
  <c r="H116"/>
  <c r="H115"/>
  <c r="H114"/>
  <c r="H113"/>
  <c r="H112"/>
  <c r="H111"/>
  <c r="H110"/>
  <c r="H109"/>
  <c r="H108"/>
  <c r="H107"/>
  <c r="H106"/>
  <c r="F105"/>
  <c r="H104"/>
  <c r="H103" s="1"/>
  <c r="F103"/>
  <c r="H102"/>
  <c r="H101"/>
  <c r="G100"/>
  <c r="H99" s="1"/>
  <c r="F99"/>
  <c r="F98"/>
  <c r="H97" s="1"/>
  <c r="F97"/>
  <c r="H96"/>
  <c r="H95"/>
  <c r="H94"/>
  <c r="H93"/>
  <c r="H92"/>
  <c r="I89"/>
  <c r="H89"/>
  <c r="E89"/>
  <c r="F88"/>
  <c r="H88" s="1"/>
  <c r="I86"/>
  <c r="F86"/>
  <c r="F84"/>
  <c r="I84" s="1"/>
  <c r="H82"/>
  <c r="H80"/>
  <c r="H78"/>
  <c r="I88" l="1"/>
  <c r="H105"/>
  <c r="H98"/>
  <c r="H100"/>
  <c r="I77"/>
  <c r="F77"/>
  <c r="I74"/>
  <c r="F73"/>
  <c r="I73" s="1"/>
  <c r="H73" s="1"/>
  <c r="F72"/>
  <c r="I72" s="1"/>
  <c r="H72" s="1"/>
  <c r="F71"/>
  <c r="I71" s="1"/>
  <c r="H71" s="1"/>
  <c r="F70"/>
  <c r="I70" s="1"/>
  <c r="H70" s="1"/>
  <c r="F69"/>
  <c r="I69" s="1"/>
  <c r="H69" s="1"/>
  <c r="F68"/>
  <c r="I68" s="1"/>
  <c r="H68" s="1"/>
  <c r="H67"/>
  <c r="H66"/>
  <c r="I64"/>
  <c r="H64" s="1"/>
  <c r="F64"/>
  <c r="F63"/>
  <c r="F60"/>
  <c r="I60" s="1"/>
  <c r="F59"/>
  <c r="I56"/>
  <c r="F56"/>
  <c r="H56" s="1"/>
  <c r="H55"/>
  <c r="F54"/>
  <c r="H53" s="1"/>
  <c r="F53"/>
  <c r="F52"/>
  <c r="H51" s="1"/>
  <c r="F51"/>
  <c r="F50"/>
  <c r="H49" s="1"/>
  <c r="F49"/>
  <c r="F48"/>
  <c r="F46"/>
  <c r="I46" s="1"/>
  <c r="H60" l="1"/>
  <c r="H48"/>
  <c r="H50"/>
  <c r="H52"/>
  <c r="H54"/>
  <c r="H59"/>
  <c r="H63"/>
  <c r="H77"/>
  <c r="I52"/>
  <c r="I45"/>
  <c r="H45"/>
  <c r="F44"/>
  <c r="I44" s="1"/>
  <c r="H43"/>
  <c r="F43"/>
  <c r="I43" s="1"/>
  <c r="I42"/>
  <c r="H42"/>
  <c r="F41"/>
  <c r="I41" s="1"/>
  <c r="H40"/>
  <c r="F40"/>
  <c r="I40" s="1"/>
  <c r="H39"/>
  <c r="H37" s="1"/>
  <c r="F37"/>
  <c r="H36"/>
  <c r="H35"/>
  <c r="H34"/>
  <c r="F34"/>
  <c r="I33"/>
  <c r="H33" s="1"/>
  <c r="F33"/>
  <c r="I32"/>
  <c r="H32" s="1"/>
  <c r="F32"/>
  <c r="I31"/>
  <c r="H31" s="1"/>
  <c r="F31"/>
  <c r="I30"/>
  <c r="H30" s="1"/>
  <c r="F30"/>
  <c r="F27"/>
  <c r="H26" s="1"/>
  <c r="F26"/>
  <c r="F25"/>
  <c r="H24" s="1"/>
  <c r="F24"/>
  <c r="F23"/>
  <c r="H22" s="1"/>
  <c r="F22"/>
  <c r="F21"/>
  <c r="H21" s="1"/>
  <c r="H20"/>
  <c r="F20"/>
  <c r="F19"/>
  <c r="E18"/>
  <c r="I17"/>
  <c r="F17"/>
  <c r="F16"/>
  <c r="H16" s="1"/>
  <c r="I16" l="1"/>
  <c r="I21"/>
  <c r="H19"/>
  <c r="I20"/>
  <c r="H23"/>
  <c r="H25"/>
  <c r="H27"/>
  <c r="I34"/>
  <c r="H41"/>
  <c r="H44"/>
  <c r="I27"/>
  <c r="F18" i="26"/>
  <c r="I18" s="1"/>
  <c r="F79"/>
  <c r="I79"/>
  <c r="H79"/>
  <c r="I91" l="1"/>
  <c r="H18"/>
  <c r="F90" i="27"/>
  <c r="I90"/>
  <c r="I99" s="1"/>
  <c r="H90"/>
  <c r="F90" i="28" l="1"/>
  <c r="I90"/>
  <c r="I114"/>
  <c r="H90"/>
  <c r="F18" i="17" l="1"/>
  <c r="I18"/>
  <c r="I124"/>
  <c r="H18"/>
  <c r="F18" i="18" l="1"/>
  <c r="I18"/>
  <c r="I106"/>
  <c r="H18"/>
  <c r="F18" i="19" l="1"/>
  <c r="I18"/>
  <c r="I101"/>
  <c r="H18"/>
  <c r="F89" i="20" l="1"/>
  <c r="I89"/>
  <c r="I95" s="1"/>
  <c r="F18"/>
  <c r="I18"/>
  <c r="H18"/>
  <c r="H89"/>
  <c r="F88" i="21" l="1"/>
  <c r="I88"/>
  <c r="F18"/>
  <c r="I18"/>
  <c r="I102"/>
  <c r="H18"/>
  <c r="H88"/>
  <c r="F18" i="22" l="1"/>
  <c r="I18" s="1"/>
  <c r="H18"/>
  <c r="F88"/>
  <c r="I88" s="1"/>
  <c r="H88" l="1"/>
  <c r="I117"/>
  <c r="F18" i="23" l="1"/>
  <c r="H18"/>
  <c r="I18"/>
  <c r="F88"/>
  <c r="I88"/>
  <c r="I100"/>
  <c r="H88"/>
  <c r="F88" i="24" l="1"/>
  <c r="I88" s="1"/>
  <c r="I98" s="1"/>
  <c r="F18"/>
  <c r="I18" s="1"/>
  <c r="H18"/>
  <c r="H88"/>
  <c r="F18" i="25" l="1"/>
  <c r="H18"/>
  <c r="I18"/>
  <c r="F88"/>
  <c r="I88"/>
  <c r="H88"/>
  <c r="I104"/>
</calcChain>
</file>

<file path=xl/sharedStrings.xml><?xml version="1.0" encoding="utf-8"?>
<sst xmlns="http://schemas.openxmlformats.org/spreadsheetml/2006/main" count="3023" uniqueCount="376">
  <si>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</si>
  <si>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</si>
  <si>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</si>
  <si>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</si>
  <si>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</si>
  <si>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</si>
  <si>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</si>
  <si>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</si>
  <si>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</si>
  <si>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</si>
  <si>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</si>
  <si>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</si>
  <si>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</si>
  <si>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</si>
  <si>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</si>
  <si>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</si>
  <si>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</si>
  <si>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</si>
  <si>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</si>
  <si>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</si>
  <si>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</si>
  <si>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</si>
  <si>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</si>
  <si>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</si>
  <si>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</si>
  <si>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</si>
  <si>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</si>
  <si>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</si>
  <si>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</si>
  <si>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</si>
  <si>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</si>
  <si>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</si>
  <si>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</si>
  <si>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</si>
  <si>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</si>
  <si>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</si>
  <si>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</si>
  <si>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</si>
  <si>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</si>
  <si>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</si>
  <si>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</si>
  <si>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</si>
  <si>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</si>
  <si>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</si>
  <si>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</si>
  <si>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</si>
  <si>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</si>
  <si>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</si>
  <si>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</si>
  <si>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</si>
  <si>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</si>
  <si>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</si>
  <si>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</si>
  <si>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</si>
  <si>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</si>
  <si>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</si>
  <si>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</si>
  <si>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</si>
  <si>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</si>
  <si>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</si>
  <si>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</si>
  <si>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</si>
  <si>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</si>
  <si>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</si>
  <si>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</si>
  <si>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</si>
  <si>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</si>
  <si>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</si>
  <si>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</si>
  <si>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</si>
  <si>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</si>
  <si>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</si>
  <si>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</si>
  <si>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</si>
  <si>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</si>
  <si>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</si>
  <si>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</si>
  <si>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</si>
  <si>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</si>
  <si>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</si>
  <si>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</si>
  <si>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</si>
  <si>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</si>
  <si>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</si>
  <si>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</si>
  <si>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</si>
  <si>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</si>
  <si>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</si>
  <si>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</si>
  <si>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Прочистка засоров ГВС, XВC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</si>
  <si>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</si>
  <si>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</si>
  <si>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</si>
  <si>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</si>
  <si>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</si>
  <si>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</si>
  <si>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</si>
  <si>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</si>
  <si>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</si>
  <si>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</si>
  <si>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</si>
  <si>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</si>
  <si>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</si>
  <si>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 соединение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</si>
  <si>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</si>
  <si>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</si>
  <si>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</si>
  <si>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</si>
  <si>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</si>
  <si>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</si>
  <si>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Влажная протирка шкафов для щитов и слаботочн.устройств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</si>
  <si>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</si>
  <si>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</si>
  <si>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</si>
  <si>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</si>
  <si>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</si>
  <si>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</si>
  <si>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</si>
  <si>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</si>
  <si>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</si>
  <si>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</si>
  <si>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</si>
  <si>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</si>
  <si>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</si>
  <si>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</si>
  <si>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</si>
  <si>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</si>
  <si>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</si>
  <si>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</si>
  <si>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</si>
  <si>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</si>
  <si>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</si>
  <si>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ул.Нефтяников пгт.Ярега
</t>
  </si>
  <si>
    <t>1м3</t>
  </si>
  <si>
    <t>35 раз за сезон</t>
  </si>
  <si>
    <t>Спуск воды после промывки СО в канализацию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</si>
  <si>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</si>
  <si>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</si>
  <si>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</si>
  <si>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</si>
  <si>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Очистка урн от мусора</t>
  </si>
  <si>
    <t>155 раз в год</t>
  </si>
  <si>
    <t>Дополнительная подборка мусора</t>
  </si>
  <si>
    <t>Замена чугунного тройника Dy-100</t>
  </si>
  <si>
    <t>Ремонт дверных полотен со сменой брусков обвязки горизонтальных на 2 сопряжения верхних (+ 3 листа железа и уголок 30*30 20м)</t>
  </si>
  <si>
    <t>брусок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</si>
  <si>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</si>
  <si>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</si>
  <si>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</si>
  <si>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</si>
  <si>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>Установка хомута диаметром до 50 мм</t>
  </si>
  <si>
    <t>Ремонт металлической двери</t>
  </si>
  <si>
    <t>Смена полиэтиленовых канализационных труб 110×1000 мм</t>
  </si>
  <si>
    <t>Патрубок компенсационный Ду 100</t>
  </si>
  <si>
    <t>Ревизия 110</t>
  </si>
  <si>
    <t>Тройник 100</t>
  </si>
  <si>
    <t>Смена трубопроводов на полипропиленовые трубы PN25 диаметром 20мм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</si>
  <si>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</si>
  <si>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Работы автовышки</t>
  </si>
  <si>
    <t>маш-час</t>
  </si>
  <si>
    <t xml:space="preserve">Уплотнение сгонов с применением льняной пряди или асбестового шнура (без разборки сгонов) </t>
  </si>
  <si>
    <t>Смена стекол в деревянных переплетах при площади стекла до 1,0 м2</t>
  </si>
  <si>
    <t>Переход чугун-пластик 119×110</t>
  </si>
  <si>
    <t>Переход 100×50</t>
  </si>
  <si>
    <t>Крестовина 100×50 (левая)</t>
  </si>
  <si>
    <t xml:space="preserve">ПРЭМ Ду-65 ГФ Кл. D расходомер электромагнитный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</si>
  <si>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</si>
  <si>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</si>
  <si>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</si>
  <si>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</si>
  <si>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</si>
  <si>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</si>
  <si>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д.10</t>
    </r>
  </si>
  <si>
    <t>Итого затраты за месяц</t>
  </si>
  <si>
    <t>Очистка канализационной сети внутренней</t>
  </si>
  <si>
    <t xml:space="preserve">155 раз </t>
  </si>
  <si>
    <t>по мере необходимости</t>
  </si>
  <si>
    <t>Очистка вручную от снега и наледи люков каналиационных и водопроводных колодцев</t>
  </si>
  <si>
    <t>2 раза в месяц</t>
  </si>
  <si>
    <t>Очистка водостоков от наледи</t>
  </si>
  <si>
    <t>Работа автовышки</t>
  </si>
  <si>
    <t>Обслуживание общедомового прибора учета тепловой энергии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</si>
  <si>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</si>
  <si>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</si>
  <si>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</si>
  <si>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</si>
  <si>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 (со стоимостью светильника)</t>
  </si>
  <si>
    <t>Смена выключателей</t>
  </si>
  <si>
    <t>10 шт</t>
  </si>
  <si>
    <t>Смена светильника РКУ</t>
  </si>
  <si>
    <t>III. Плановые осмотры</t>
  </si>
  <si>
    <t>Внеплановая проверка вентканалов</t>
  </si>
  <si>
    <t>1шт</t>
  </si>
  <si>
    <t>м</t>
  </si>
  <si>
    <t>АКТ №4</t>
  </si>
  <si>
    <t>АКТ №5</t>
  </si>
  <si>
    <t>АКТ №6</t>
  </si>
  <si>
    <t>ООО «Движение»</t>
  </si>
  <si>
    <t>АКТ №7</t>
  </si>
  <si>
    <t>АКТ №8</t>
  </si>
  <si>
    <t>АКТ №9</t>
  </si>
  <si>
    <t>Смена арматуры - вентилей и клапанов обратных муфтовых диаметром до 20 мм</t>
  </si>
  <si>
    <t>АКТ №10</t>
  </si>
  <si>
    <t>АКТ №11</t>
  </si>
  <si>
    <t>АКТ №12</t>
  </si>
  <si>
    <t>Закрыли продухи</t>
  </si>
  <si>
    <t>Смена внутренних трубопроводов на полипропиленовые трубы PN 25 Dу 25</t>
  </si>
  <si>
    <t>Отключение балка штукатуров</t>
  </si>
  <si>
    <t>10 м.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</si>
  <si>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27.02.2018г.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</si>
  <si>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Осмотр электросетей, армазуры и электрооборудования на лестничных клетках</t>
  </si>
  <si>
    <t>Организация и содержание мест накопления ТКО</t>
  </si>
  <si>
    <t>13 раз</t>
  </si>
  <si>
    <t>8 раз</t>
  </si>
  <si>
    <t>2 раз</t>
  </si>
  <si>
    <t>21 раз</t>
  </si>
  <si>
    <t>5 раз</t>
  </si>
  <si>
    <t>25 раз</t>
  </si>
  <si>
    <t>6 раз</t>
  </si>
  <si>
    <t>7 раз</t>
  </si>
  <si>
    <t xml:space="preserve">2 раза </t>
  </si>
  <si>
    <t>1 раз</t>
  </si>
  <si>
    <t xml:space="preserve">1 раз </t>
  </si>
  <si>
    <t>26 м3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</si>
  <si>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07.02.2018г.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</si>
  <si>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1,5 часа</t>
  </si>
  <si>
    <t>Смена внутренних трубопроводов на полипропиленовые трубы PN 25 Dу 20</t>
  </si>
  <si>
    <t>2 раза</t>
  </si>
  <si>
    <t>Смена арматуры - вентилей и клапанов обратных муфтовых диаметром до 20 мм ( без материалов)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</si>
  <si>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</si>
  <si>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</si>
  <si>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</si>
  <si>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</si>
  <si>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за период с 01.01.2020 г. по 31.01.2020 г.</t>
  </si>
  <si>
    <t>ХВС подсобка</t>
  </si>
  <si>
    <t>ХВС, кв 7; п/с кв 11;ГВС подвал 2 шт;</t>
  </si>
  <si>
    <t>за период с 01.02.2020 г. по 28.02.2020 г.</t>
  </si>
  <si>
    <t>10,21 февраля</t>
  </si>
  <si>
    <t>19 февраля</t>
  </si>
  <si>
    <t>Замена расходомеров ПРЭМ (654567 и 650446)</t>
  </si>
  <si>
    <t>Замена ПРЭМ</t>
  </si>
  <si>
    <t>Смена пакетных выключателей ( без материалов)</t>
  </si>
  <si>
    <t>Ремонт ливневки</t>
  </si>
  <si>
    <t>ХВС подвал; ГВС кв.25</t>
  </si>
  <si>
    <t>кв 9, кв.5</t>
  </si>
  <si>
    <t>1 м, ГВС подвал</t>
  </si>
  <si>
    <t>Отогрев ХВС (Горячей водой)</t>
  </si>
  <si>
    <t>Осмотр водопроводов, канализации, отопления</t>
  </si>
  <si>
    <t>за период с 01.03.2020 г. по 31.03.2020 г.</t>
  </si>
  <si>
    <t>2,13 марта</t>
  </si>
  <si>
    <t>кв.57 п/суш.</t>
  </si>
  <si>
    <t>ГВС с кв.87 до кв.83-2м</t>
  </si>
  <si>
    <t>ГВС с кв.87 до кв.83-0,5м</t>
  </si>
  <si>
    <t>кв.6 ГВС-1шт.</t>
  </si>
  <si>
    <t>10, 25 марта</t>
  </si>
  <si>
    <t>2. Всего за период с 01.03.2020 по 31.03.2020 выполнено работ (оказано услуг) на общую сумму: 111451,34 руб.</t>
  </si>
  <si>
    <t>(сто одиннадцать тысяч четыреста пятьдесят один рубль 34 копейки)</t>
  </si>
  <si>
    <t>за период с 01.04.2020 г. по 30.04.2020 г.</t>
  </si>
  <si>
    <t>1 мЗ</t>
  </si>
  <si>
    <t>2. Всего за период с 01.04.2020 по 30.04.2020 выполнено работ (оказано услуг) на общую сумму: 103857,53 руб.</t>
  </si>
  <si>
    <t>(сто три тысячи восемьсот пятьдесят семь рублей 53 копеек)</t>
  </si>
  <si>
    <t>за период с 01.05.2020 г. по 31.05.2020 г.</t>
  </si>
  <si>
    <t>Смена полипропиленовых канализационных труб Dу 100*2000</t>
  </si>
  <si>
    <t>за период с 01.06.2020 г. по 30.06.2020 г.</t>
  </si>
  <si>
    <t xml:space="preserve">1 раз  </t>
  </si>
  <si>
    <t xml:space="preserve">1 раз     </t>
  </si>
  <si>
    <t xml:space="preserve">1 раз   </t>
  </si>
  <si>
    <t xml:space="preserve">1 раз    </t>
  </si>
  <si>
    <t>Закрепили канализационный лежак</t>
  </si>
  <si>
    <t>Замена участка трубы ГВС ( без материалов)</t>
  </si>
  <si>
    <t>Смена полипропиленовых канализационных труб Dу 50*2000</t>
  </si>
  <si>
    <t>Отвод50-45</t>
  </si>
  <si>
    <t>Манжета 50</t>
  </si>
  <si>
    <t>Переход чгун-пластик 50</t>
  </si>
  <si>
    <t>Трйник 50</t>
  </si>
  <si>
    <t>Смена полипропиленовых канализационных труб Dу 100*1000</t>
  </si>
  <si>
    <t>Смена полиэтиленовых канализационных труб диаметром до 100 мм</t>
  </si>
  <si>
    <t>Патрубок компенсационный 110</t>
  </si>
  <si>
    <t>тройник 100-45</t>
  </si>
  <si>
    <t>Переход чгун-пластик 100</t>
  </si>
  <si>
    <t>Отвод 100-45</t>
  </si>
  <si>
    <t>Манжета 100</t>
  </si>
  <si>
    <t>Закрыли стояк ГВС</t>
  </si>
  <si>
    <t>лежак под кв.42</t>
  </si>
  <si>
    <t>кв.39 ГВС</t>
  </si>
  <si>
    <t>ГВС кв5 - 1 шт; ГВС подвал- 1 шт.; кв.32 ГВС -1 шт.</t>
  </si>
  <si>
    <t>ГВС с кв.56 до кв.52 -4 м</t>
  </si>
  <si>
    <t>за период с 01.07.2020 г. по 31.07.2020 г.</t>
  </si>
  <si>
    <t xml:space="preserve">перекрыли стояк </t>
  </si>
  <si>
    <t>3 шт., р/у</t>
  </si>
  <si>
    <t>1 м, ХВС кв.6</t>
  </si>
  <si>
    <t>п/с кв.46-1шт.; ХВС кв.33</t>
  </si>
  <si>
    <t>за период с 01.08.2020 г. по 31.08.2020 г.</t>
  </si>
  <si>
    <t>хомут в подвале</t>
  </si>
  <si>
    <t>п/с кв.2: 1 шт.кв.24</t>
  </si>
  <si>
    <t>кв.24</t>
  </si>
  <si>
    <t>за период с 01.09.2020 г. по 30.09.2020 г.</t>
  </si>
  <si>
    <t>Ремонт рулонной кровли</t>
  </si>
  <si>
    <t>Изол</t>
  </si>
  <si>
    <t>Битум</t>
  </si>
  <si>
    <t>Проклейка примыканий к парапету</t>
  </si>
  <si>
    <t>Осмотр элекгросетей, арматуры и электрооборудования на чердаках и подвалах</t>
  </si>
  <si>
    <t>2 м/часа</t>
  </si>
  <si>
    <t>1 шт. с/о кв.17; 1 шт. ХВС кв.73</t>
  </si>
  <si>
    <t>60 м2</t>
  </si>
  <si>
    <t>6 шт</t>
  </si>
  <si>
    <t>3 шт</t>
  </si>
  <si>
    <t>150 м.п.</t>
  </si>
  <si>
    <t>4 раза</t>
  </si>
  <si>
    <t>за период с 01.10.2020 г. по 31.10.2020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</si>
  <si>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07.08.2018г.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</si>
  <si>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Смена внутренних трубопроводов на полипропиленовые трубы PN 20 Dу 25</t>
  </si>
  <si>
    <t>Сварочные работы</t>
  </si>
  <si>
    <t>час</t>
  </si>
  <si>
    <t>Восстановление цепей связи прибора с датчиком теплового учета</t>
  </si>
  <si>
    <t>2 м ХВС с 37 до 33кв.</t>
  </si>
  <si>
    <t>4 м ГВС кв.33</t>
  </si>
  <si>
    <t>1 час</t>
  </si>
  <si>
    <t>генеральный директор Кочанова И.Л.</t>
  </si>
  <si>
    <t>Регулировка освещения над подъездами</t>
  </si>
  <si>
    <t>за период с 01.11.2020 г. по 30.11.2020 г.</t>
  </si>
  <si>
    <r>
      <t xml:space="preserve">    Собственники помещений в многоквартирном доме,  расположенном по адресу:  пгт.Ярега, ул.Нефтяников, д.10,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07.08.2018г.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</si>
  <si>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11 раз</t>
  </si>
  <si>
    <t>1 шт. п/с кв.34</t>
  </si>
  <si>
    <t>2. Всего за период с 01.11.2020 по 30.11.2020 выполнено работ (оказано услуг) на общую сумму: 109748,93 руб.</t>
  </si>
  <si>
    <t>(сто девять тысяч семьсот сорок восемь рублей 93 копейки)</t>
  </si>
  <si>
    <t>генеральный директор Кочановав И.Л.</t>
  </si>
  <si>
    <t>за период с 01.12.2020 г. по 31.12.2020 г.</t>
  </si>
  <si>
    <t>0,8 часа ( 18 и 21 дек.)</t>
  </si>
  <si>
    <t>3 раза</t>
  </si>
  <si>
    <t>Закрыли люк в подвал</t>
  </si>
  <si>
    <t>Восстановление шахты после работ ВДИС</t>
  </si>
  <si>
    <t>Оштукатуривание шахты после работ ВДИС</t>
  </si>
  <si>
    <t>Замена датчика темпреатры КПРТ -100</t>
  </si>
  <si>
    <t>Установка циркуляционного насоса</t>
  </si>
  <si>
    <t>Смена внутренних трубопроводов из стальных труб диаметром до 40 мм</t>
  </si>
  <si>
    <t>Замена манжеты</t>
  </si>
  <si>
    <t>1 м в кв.67</t>
  </si>
  <si>
    <t>1 шт. кв.71</t>
  </si>
  <si>
    <t>1 м ГВС подвал</t>
  </si>
  <si>
    <t>подвал, 2 шт</t>
  </si>
  <si>
    <t>кв.37</t>
  </si>
  <si>
    <t>1 шт. ГВС маг. " Цифра"</t>
  </si>
  <si>
    <t>кв.59</t>
  </si>
  <si>
    <t>4 м</t>
  </si>
  <si>
    <t>2. Всего за период с 01.01.2020 по 31.01.2020 выполнено работ (оказано услуг) на общую сумму: 116972,46 руб.</t>
  </si>
  <si>
    <t>(сто шестнадцать тысяч девятьсот семьдест два рубля 46 копеек)</t>
  </si>
  <si>
    <t>Соборка0 канализационную трубу</t>
  </si>
  <si>
    <t>2. Всего за период с 01.02.2020 по 29.02.2020 выполнено работ (оказано услуг) на общую сумму: 169930,79 руб.</t>
  </si>
  <si>
    <t>(сто шестьдесят девять тысяч девятьсот тридцать рублей 79 копеек)</t>
  </si>
  <si>
    <t>Обрезка ветвей черемухи</t>
  </si>
  <si>
    <t>Обрезка ветвей</t>
  </si>
  <si>
    <t>16 м</t>
  </si>
  <si>
    <t>Соборка канализациой трубы</t>
  </si>
  <si>
    <t>2. Всего за период с 01.05.2020 по 31.05.2020 выполнено работ (оказано услуг) на общую сумму: 143415,72 руб.</t>
  </si>
  <si>
    <t>(сто сорок три тысячи четыреста пятнадцать рублей 72 копейки)</t>
  </si>
  <si>
    <t>6м</t>
  </si>
  <si>
    <t>2. Всего за период с 01.06.2020 по 30.06.2020 выполнено работ (оказано услуг) на общую сумму: 118242,79 руб.</t>
  </si>
  <si>
    <t>(сто восемнадцать тысяч двести сорок два рубля 79 копеек)</t>
  </si>
  <si>
    <t>Дополнительная дератизация</t>
  </si>
  <si>
    <t>10 м</t>
  </si>
  <si>
    <t>2. Всего за период с 01.07.2020 по 31.07.2020 выполнено работ (оказано услуг) на общую сумму: 284502,56 руб.</t>
  </si>
  <si>
    <t>(двести восемьдесят четыре тысячи пятьсот два рубля 56 копеек)</t>
  </si>
  <si>
    <t>14 м</t>
  </si>
  <si>
    <t>Демонтаж стены</t>
  </si>
  <si>
    <t>2. Всего за период с 01.08.2020 по 31.08.2020 выполнено работ (оказано услуг) на общую сумму: 113404,31 руб.</t>
  </si>
  <si>
    <t>(сто тринадцать тысяч четыреста четые рубля 31 копейка)</t>
  </si>
  <si>
    <t>12 м</t>
  </si>
  <si>
    <t>Собрка канализационной трубы</t>
  </si>
  <si>
    <t>2. Всего за период с 01.09.2020 по 30.09.2020 выполнено работ (оказано услуг) на общую сумму: 218440,91 руб.</t>
  </si>
  <si>
    <t>(двести восемнадцать тысяч четыреста сорок рублей 91 копеек)</t>
  </si>
  <si>
    <t>2. Всего за период с 01.10.2020 по 31.10.2020 выполнено работ (оказано услуг) на общую сумму: 108840,38 руб.</t>
  </si>
  <si>
    <t>(сто восемь тысяч восемьсот сорок рублей 38 копеек)</t>
  </si>
  <si>
    <t>5 м</t>
  </si>
  <si>
    <t>2. Всего за период с 01.12.2020 по 31.12.2020 выполнено работ (оказано услуг) на общую сумму: 151140,31 руб.</t>
  </si>
  <si>
    <t>(сто пятьдесят одна тысяча сто сорок рублей 31 копейка)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</si>
</sst>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5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5"/>
  <sheetViews>
    <sheetView view="pageBreakPreview" topLeftCell="A92" zoomScale="60" workbookViewId="0">
      <selection activeCell="A129" sqref="A129:I12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6" t="s">
        <v>139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233</v>
      </c>
      <c r="B5" s="248"/>
      <c r="C5" s="248"/>
      <c r="D5" s="248"/>
      <c r="E5" s="248"/>
      <c r="F5" s="248"/>
      <c r="G5" s="248"/>
      <c r="H5" s="248"/>
      <c r="I5" s="248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43861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  <c r="J15" s="8"/>
      <c r="K15" s="8"/>
      <c r="L15" s="8"/>
      <c r="M15" s="8"/>
    </row>
    <row r="16" spans="1:13" ht="15.7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181.91</v>
      </c>
      <c r="H19" s="70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12" t="s">
        <v>97</v>
      </c>
      <c r="C20" s="113" t="s">
        <v>104</v>
      </c>
      <c r="D20" s="112" t="s">
        <v>41</v>
      </c>
      <c r="E20" s="190">
        <v>17.5</v>
      </c>
      <c r="F20" s="114">
        <f>SUM(E20*2/100)</f>
        <v>0.35</v>
      </c>
      <c r="G20" s="114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12" t="s">
        <v>98</v>
      </c>
      <c r="C21" s="113" t="s">
        <v>104</v>
      </c>
      <c r="D21" s="96" t="s">
        <v>41</v>
      </c>
      <c r="E21" s="98">
        <v>5.94</v>
      </c>
      <c r="F21" s="114">
        <f>SUM(E21*2/100)</f>
        <v>0.1188</v>
      </c>
      <c r="G21" s="9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287.83999999999997</v>
      </c>
      <c r="H22" s="70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109</v>
      </c>
      <c r="C23" s="67" t="s">
        <v>52</v>
      </c>
      <c r="D23" s="66" t="s">
        <v>107</v>
      </c>
      <c r="E23" s="71">
        <v>60.4</v>
      </c>
      <c r="F23" s="69">
        <f>SUM(E23/100)</f>
        <v>0.60399999999999998</v>
      </c>
      <c r="G23" s="69">
        <v>47.34</v>
      </c>
      <c r="H23" s="70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101</v>
      </c>
      <c r="C24" s="67" t="s">
        <v>52</v>
      </c>
      <c r="D24" s="66" t="s">
        <v>53</v>
      </c>
      <c r="E24" s="18">
        <v>25</v>
      </c>
      <c r="F24" s="72">
        <f>E24/100</f>
        <v>0.25</v>
      </c>
      <c r="G24" s="69">
        <v>416.62</v>
      </c>
      <c r="H24" s="70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110</v>
      </c>
      <c r="C25" s="67" t="s">
        <v>52</v>
      </c>
      <c r="D25" s="66" t="s">
        <v>107</v>
      </c>
      <c r="E25" s="71">
        <v>23.75</v>
      </c>
      <c r="F25" s="69">
        <f>E25/100</f>
        <v>0.23749999999999999</v>
      </c>
      <c r="G25" s="69">
        <v>231.03</v>
      </c>
      <c r="H25" s="70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6" t="s">
        <v>102</v>
      </c>
      <c r="C26" s="67" t="s">
        <v>52</v>
      </c>
      <c r="D26" s="66" t="s">
        <v>107</v>
      </c>
      <c r="E26" s="68">
        <v>10.63</v>
      </c>
      <c r="F26" s="69">
        <f>SUM(E26/100)</f>
        <v>0.10630000000000001</v>
      </c>
      <c r="G26" s="69">
        <v>556.74</v>
      </c>
      <c r="H26" s="70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4</v>
      </c>
      <c r="B27" s="112" t="s">
        <v>211</v>
      </c>
      <c r="C27" s="113" t="s">
        <v>25</v>
      </c>
      <c r="D27" s="112" t="s">
        <v>215</v>
      </c>
      <c r="E27" s="215">
        <v>5.72</v>
      </c>
      <c r="F27" s="114">
        <f>E27*258</f>
        <v>1475.76</v>
      </c>
      <c r="G27" s="114">
        <v>10.39</v>
      </c>
      <c r="H27" s="70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33" t="s">
        <v>85</v>
      </c>
      <c r="B28" s="233"/>
      <c r="C28" s="233"/>
      <c r="D28" s="233"/>
      <c r="E28" s="233"/>
      <c r="F28" s="233"/>
      <c r="G28" s="233"/>
      <c r="H28" s="233"/>
      <c r="I28" s="233"/>
      <c r="J28" s="22"/>
      <c r="K28" s="8"/>
      <c r="L28" s="8"/>
      <c r="M28" s="8"/>
    </row>
    <row r="29" spans="1:13" ht="15.7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6" t="s">
        <v>111</v>
      </c>
      <c r="C30" s="67" t="s">
        <v>112</v>
      </c>
      <c r="D30" s="66" t="s">
        <v>113</v>
      </c>
      <c r="E30" s="69">
        <v>357.22</v>
      </c>
      <c r="F30" s="69">
        <f>SUM(E30*52/1000)</f>
        <v>18.575440000000004</v>
      </c>
      <c r="G30" s="69">
        <v>166.65</v>
      </c>
      <c r="H30" s="70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6" t="s">
        <v>166</v>
      </c>
      <c r="C31" s="67" t="s">
        <v>112</v>
      </c>
      <c r="D31" s="66" t="s">
        <v>114</v>
      </c>
      <c r="E31" s="69">
        <v>475.06</v>
      </c>
      <c r="F31" s="69">
        <f>SUM(E31*78/1000)</f>
        <v>37.054679999999998</v>
      </c>
      <c r="G31" s="69">
        <v>276.48</v>
      </c>
      <c r="H31" s="70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6" t="s">
        <v>27</v>
      </c>
      <c r="C32" s="67" t="s">
        <v>112</v>
      </c>
      <c r="D32" s="66" t="s">
        <v>53</v>
      </c>
      <c r="E32" s="69">
        <v>357.22</v>
      </c>
      <c r="F32" s="69">
        <f>SUM(E32/1000)</f>
        <v>0.35722000000000004</v>
      </c>
      <c r="G32" s="69">
        <v>3228.73</v>
      </c>
      <c r="H32" s="70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140</v>
      </c>
      <c r="C33" s="67" t="s">
        <v>39</v>
      </c>
      <c r="D33" s="66" t="s">
        <v>141</v>
      </c>
      <c r="E33" s="69">
        <v>5</v>
      </c>
      <c r="F33" s="69">
        <f>E33*155/100</f>
        <v>7.75</v>
      </c>
      <c r="G33" s="69">
        <v>1391.86</v>
      </c>
      <c r="H33" s="70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115</v>
      </c>
      <c r="C34" s="67" t="s">
        <v>30</v>
      </c>
      <c r="D34" s="66" t="s">
        <v>62</v>
      </c>
      <c r="E34" s="73">
        <v>0.33333333333333331</v>
      </c>
      <c r="F34" s="69">
        <f>155/3</f>
        <v>51.666666666666664</v>
      </c>
      <c r="G34" s="69">
        <v>60.6</v>
      </c>
      <c r="H34" s="70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6" t="s">
        <v>63</v>
      </c>
      <c r="C35" s="67" t="s">
        <v>33</v>
      </c>
      <c r="D35" s="66" t="s">
        <v>65</v>
      </c>
      <c r="E35" s="68"/>
      <c r="F35" s="69">
        <v>3</v>
      </c>
      <c r="G35" s="69">
        <v>204.52</v>
      </c>
      <c r="H35" s="70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2</v>
      </c>
      <c r="G36" s="69">
        <v>1214.74</v>
      </c>
      <c r="H36" s="70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142</v>
      </c>
      <c r="C37" s="62" t="s">
        <v>29</v>
      </c>
      <c r="D37" s="66"/>
      <c r="E37" s="68">
        <v>360.36</v>
      </c>
      <c r="F37" s="69">
        <f>E37*36/1000</f>
        <v>12.97296</v>
      </c>
      <c r="G37" s="69">
        <v>3228.73</v>
      </c>
      <c r="H37" s="70">
        <f t="shared" si="1"/>
        <v>41.886185140800002</v>
      </c>
      <c r="I37" s="13">
        <v>0</v>
      </c>
      <c r="J37" s="23"/>
    </row>
    <row r="38" spans="1:14" ht="15.75" customHeight="1">
      <c r="A38" s="29"/>
      <c r="B38" s="87" t="s">
        <v>5</v>
      </c>
      <c r="C38" s="67"/>
      <c r="D38" s="66"/>
      <c r="E38" s="68"/>
      <c r="F38" s="69"/>
      <c r="G38" s="69"/>
      <c r="H38" s="70" t="s">
        <v>129</v>
      </c>
      <c r="I38" s="13"/>
      <c r="J38" s="23"/>
    </row>
    <row r="39" spans="1:14" ht="15.75" customHeight="1">
      <c r="A39" s="29">
        <v>5</v>
      </c>
      <c r="B39" s="192" t="s">
        <v>26</v>
      </c>
      <c r="C39" s="113" t="s">
        <v>32</v>
      </c>
      <c r="D39" s="112"/>
      <c r="E39" s="190"/>
      <c r="F39" s="114">
        <v>5</v>
      </c>
      <c r="G39" s="114">
        <v>2083</v>
      </c>
      <c r="H39" s="70">
        <f t="shared" ref="H39:H45" si="2">SUM(F39*G39/1000)</f>
        <v>10.414999999999999</v>
      </c>
      <c r="I39" s="13">
        <f>G39*1.1</f>
        <v>2291.3000000000002</v>
      </c>
      <c r="J39" s="23"/>
      <c r="L39" s="19"/>
      <c r="M39" s="20"/>
      <c r="N39" s="21"/>
    </row>
    <row r="40" spans="1:14" ht="15.75" customHeight="1">
      <c r="A40" s="29">
        <v>6</v>
      </c>
      <c r="B40" s="192" t="s">
        <v>66</v>
      </c>
      <c r="C40" s="193" t="s">
        <v>29</v>
      </c>
      <c r="D40" s="192" t="s">
        <v>216</v>
      </c>
      <c r="E40" s="194">
        <v>469.73</v>
      </c>
      <c r="F40" s="194">
        <f>SUM(E40*30/1000)</f>
        <v>14.091900000000001</v>
      </c>
      <c r="G40" s="194">
        <v>2868.09</v>
      </c>
      <c r="H40" s="70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8" customHeight="1">
      <c r="A41" s="29">
        <v>7</v>
      </c>
      <c r="B41" s="112" t="s">
        <v>67</v>
      </c>
      <c r="C41" s="113" t="s">
        <v>29</v>
      </c>
      <c r="D41" s="112" t="s">
        <v>217</v>
      </c>
      <c r="E41" s="114">
        <v>475.06</v>
      </c>
      <c r="F41" s="194">
        <f>SUM(E41*155/1000)</f>
        <v>73.634299999999996</v>
      </c>
      <c r="G41" s="114">
        <v>478.42</v>
      </c>
      <c r="H41" s="70">
        <f t="shared" si="2"/>
        <v>35.228121806000004</v>
      </c>
      <c r="I41" s="13">
        <f>G41*F41/6</f>
        <v>5871.3536343333335</v>
      </c>
      <c r="J41" s="23"/>
      <c r="L41" s="19"/>
      <c r="M41" s="20"/>
      <c r="N41" s="21"/>
    </row>
    <row r="42" spans="1:14" ht="15.75" hidden="1" customHeight="1">
      <c r="A42" s="29">
        <v>10</v>
      </c>
      <c r="B42" s="112" t="s">
        <v>94</v>
      </c>
      <c r="C42" s="113" t="s">
        <v>133</v>
      </c>
      <c r="D42" s="112" t="s">
        <v>176</v>
      </c>
      <c r="E42" s="190"/>
      <c r="F42" s="194">
        <v>39</v>
      </c>
      <c r="G42" s="114">
        <v>314</v>
      </c>
      <c r="H42" s="70">
        <f t="shared" si="2"/>
        <v>12.246</v>
      </c>
      <c r="I42" s="13">
        <f>F42/6*G42</f>
        <v>2041</v>
      </c>
      <c r="J42" s="23"/>
      <c r="L42" s="19"/>
      <c r="M42" s="20"/>
      <c r="N42" s="21"/>
    </row>
    <row r="43" spans="1:14" ht="47.25" customHeight="1">
      <c r="A43" s="29">
        <v>8</v>
      </c>
      <c r="B43" s="112" t="s">
        <v>82</v>
      </c>
      <c r="C43" s="113" t="s">
        <v>112</v>
      </c>
      <c r="D43" s="112" t="s">
        <v>218</v>
      </c>
      <c r="E43" s="114">
        <v>40.6</v>
      </c>
      <c r="F43" s="194">
        <f>SUM(E43*35/1000)</f>
        <v>1.421</v>
      </c>
      <c r="G43" s="114">
        <v>7915.6</v>
      </c>
      <c r="H43" s="70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hidden="1" customHeight="1">
      <c r="A44" s="29">
        <v>9</v>
      </c>
      <c r="B44" s="112" t="s">
        <v>118</v>
      </c>
      <c r="C44" s="113" t="s">
        <v>112</v>
      </c>
      <c r="D44" s="112" t="s">
        <v>219</v>
      </c>
      <c r="E44" s="114">
        <v>167.03</v>
      </c>
      <c r="F44" s="194">
        <f>SUM(E44*45/1000)</f>
        <v>7.5163500000000001</v>
      </c>
      <c r="G44" s="114">
        <v>584.74</v>
      </c>
      <c r="H44" s="70">
        <f t="shared" si="2"/>
        <v>4.3951104990000003</v>
      </c>
      <c r="I44" s="13">
        <f>F44/7.5*G44</f>
        <v>586.01473320000002</v>
      </c>
      <c r="J44" s="23"/>
      <c r="L44" s="19"/>
      <c r="M44" s="20"/>
      <c r="N44" s="21"/>
    </row>
    <row r="45" spans="1:14" ht="15.75" hidden="1" customHeight="1">
      <c r="A45" s="186">
        <v>10</v>
      </c>
      <c r="B45" s="195" t="s">
        <v>69</v>
      </c>
      <c r="C45" s="196" t="s">
        <v>33</v>
      </c>
      <c r="D45" s="195"/>
      <c r="E45" s="197"/>
      <c r="F45" s="198">
        <v>1.2</v>
      </c>
      <c r="G45" s="198">
        <v>800</v>
      </c>
      <c r="H45" s="80">
        <f t="shared" si="2"/>
        <v>0.96</v>
      </c>
      <c r="I45" s="101">
        <f>F45/7.5*G45</f>
        <v>128</v>
      </c>
      <c r="J45" s="23"/>
      <c r="L45" s="19"/>
      <c r="M45" s="20"/>
      <c r="N45" s="21"/>
    </row>
    <row r="46" spans="1:14" ht="33.75" customHeight="1">
      <c r="A46" s="29">
        <v>9</v>
      </c>
      <c r="B46" s="48" t="s">
        <v>177</v>
      </c>
      <c r="C46" s="91" t="s">
        <v>29</v>
      </c>
      <c r="D46" s="192" t="s">
        <v>220</v>
      </c>
      <c r="E46" s="191">
        <v>4.2</v>
      </c>
      <c r="F46" s="194">
        <f>SUM(E46*12/1000)</f>
        <v>5.0400000000000007E-2</v>
      </c>
      <c r="G46" s="194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34" t="s">
        <v>136</v>
      </c>
      <c r="B47" s="235"/>
      <c r="C47" s="235"/>
      <c r="D47" s="235"/>
      <c r="E47" s="235"/>
      <c r="F47" s="235"/>
      <c r="G47" s="235"/>
      <c r="H47" s="235"/>
      <c r="I47" s="236"/>
      <c r="J47" s="23"/>
      <c r="L47" s="19"/>
      <c r="M47" s="20"/>
      <c r="N47" s="21"/>
    </row>
    <row r="48" spans="1:14" ht="15.75" hidden="1" customHeight="1">
      <c r="A48" s="29"/>
      <c r="B48" s="66" t="s">
        <v>119</v>
      </c>
      <c r="C48" s="67" t="s">
        <v>112</v>
      </c>
      <c r="D48" s="66" t="s">
        <v>41</v>
      </c>
      <c r="E48" s="68">
        <v>1603.6</v>
      </c>
      <c r="F48" s="69">
        <f>SUM(E48*2/1000)</f>
        <v>3.2071999999999998</v>
      </c>
      <c r="G48" s="13">
        <v>908.11</v>
      </c>
      <c r="H48" s="70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6" t="s">
        <v>34</v>
      </c>
      <c r="C49" s="67" t="s">
        <v>112</v>
      </c>
      <c r="D49" s="66" t="s">
        <v>41</v>
      </c>
      <c r="E49" s="68">
        <v>65</v>
      </c>
      <c r="F49" s="69">
        <f>SUM(E49*2/1000)</f>
        <v>0.13</v>
      </c>
      <c r="G49" s="13">
        <v>619.46</v>
      </c>
      <c r="H49" s="70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6" t="s">
        <v>35</v>
      </c>
      <c r="C50" s="67" t="s">
        <v>112</v>
      </c>
      <c r="D50" s="66" t="s">
        <v>41</v>
      </c>
      <c r="E50" s="68">
        <v>1825.8</v>
      </c>
      <c r="F50" s="69">
        <f>SUM(E50*2/1000)</f>
        <v>3.6515999999999997</v>
      </c>
      <c r="G50" s="13">
        <v>619.46</v>
      </c>
      <c r="H50" s="70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6" t="s">
        <v>36</v>
      </c>
      <c r="C51" s="67" t="s">
        <v>112</v>
      </c>
      <c r="D51" s="66" t="s">
        <v>41</v>
      </c>
      <c r="E51" s="68">
        <v>3163.96</v>
      </c>
      <c r="F51" s="69">
        <f>SUM(E51*2/1000)</f>
        <v>6.3279199999999998</v>
      </c>
      <c r="G51" s="13">
        <v>648.64</v>
      </c>
      <c r="H51" s="70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10</v>
      </c>
      <c r="B52" s="112" t="s">
        <v>55</v>
      </c>
      <c r="C52" s="113" t="s">
        <v>112</v>
      </c>
      <c r="D52" s="112" t="s">
        <v>221</v>
      </c>
      <c r="E52" s="190">
        <v>5816.5</v>
      </c>
      <c r="F52" s="114">
        <f>SUM(E52*5/1000)</f>
        <v>29.0825</v>
      </c>
      <c r="G52" s="33">
        <v>1655.27</v>
      </c>
      <c r="H52" s="70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/>
      <c r="B53" s="66" t="s">
        <v>120</v>
      </c>
      <c r="C53" s="67" t="s">
        <v>112</v>
      </c>
      <c r="D53" s="66" t="s">
        <v>41</v>
      </c>
      <c r="E53" s="68">
        <v>1583</v>
      </c>
      <c r="F53" s="69">
        <f>SUM(E53*2/1000)</f>
        <v>3.1659999999999999</v>
      </c>
      <c r="G53" s="13">
        <v>1297.28</v>
      </c>
      <c r="H53" s="70">
        <f t="shared" si="3"/>
        <v>4.1071884799999996</v>
      </c>
      <c r="I53" s="13">
        <v>0</v>
      </c>
      <c r="J53" s="23"/>
      <c r="L53" s="19"/>
      <c r="M53" s="20"/>
      <c r="N53" s="21"/>
    </row>
    <row r="54" spans="1:22" ht="31.5" hidden="1" customHeight="1">
      <c r="A54" s="29"/>
      <c r="B54" s="66" t="s">
        <v>121</v>
      </c>
      <c r="C54" s="67" t="s">
        <v>37</v>
      </c>
      <c r="D54" s="66" t="s">
        <v>41</v>
      </c>
      <c r="E54" s="68">
        <v>25</v>
      </c>
      <c r="F54" s="69">
        <f>SUM(E54*2/100)</f>
        <v>0.5</v>
      </c>
      <c r="G54" s="13">
        <v>2918.89</v>
      </c>
      <c r="H54" s="70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6" t="s">
        <v>38</v>
      </c>
      <c r="C55" s="67" t="s">
        <v>39</v>
      </c>
      <c r="D55" s="66" t="s">
        <v>41</v>
      </c>
      <c r="E55" s="68">
        <v>1</v>
      </c>
      <c r="F55" s="69">
        <v>0.02</v>
      </c>
      <c r="G55" s="13">
        <v>6042.12</v>
      </c>
      <c r="H55" s="70">
        <f t="shared" si="3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112" t="s">
        <v>40</v>
      </c>
      <c r="C56" s="113" t="s">
        <v>30</v>
      </c>
      <c r="D56" s="216">
        <v>43494</v>
      </c>
      <c r="E56" s="190">
        <v>198</v>
      </c>
      <c r="F56" s="114">
        <f>SUM(E56)*3</f>
        <v>594</v>
      </c>
      <c r="G56" s="115">
        <v>89.59</v>
      </c>
      <c r="H56" s="70">
        <f t="shared" si="3"/>
        <v>53.216459999999998</v>
      </c>
      <c r="I56" s="13">
        <f>E56*G56</f>
        <v>17738.82</v>
      </c>
      <c r="J56" s="23"/>
      <c r="L56" s="19"/>
      <c r="M56" s="20"/>
      <c r="N56" s="21"/>
    </row>
    <row r="57" spans="1:22" ht="15.75" customHeight="1">
      <c r="A57" s="234" t="s">
        <v>137</v>
      </c>
      <c r="B57" s="235"/>
      <c r="C57" s="235"/>
      <c r="D57" s="235"/>
      <c r="E57" s="235"/>
      <c r="F57" s="235"/>
      <c r="G57" s="235"/>
      <c r="H57" s="235"/>
      <c r="I57" s="236"/>
      <c r="J57" s="23"/>
      <c r="L57" s="19"/>
      <c r="M57" s="20"/>
      <c r="N57" s="21"/>
    </row>
    <row r="58" spans="1:22" ht="15.75" customHeight="1">
      <c r="A58" s="29"/>
      <c r="B58" s="87" t="s">
        <v>42</v>
      </c>
      <c r="C58" s="67"/>
      <c r="D58" s="66"/>
      <c r="E58" s="68"/>
      <c r="F58" s="69"/>
      <c r="G58" s="69"/>
      <c r="H58" s="70"/>
      <c r="I58" s="13"/>
      <c r="J58" s="23"/>
      <c r="L58" s="19"/>
      <c r="M58" s="20"/>
      <c r="N58" s="21"/>
    </row>
    <row r="59" spans="1:22" ht="31.5" customHeight="1">
      <c r="A59" s="29">
        <v>11</v>
      </c>
      <c r="B59" s="112" t="s">
        <v>123</v>
      </c>
      <c r="C59" s="113" t="s">
        <v>104</v>
      </c>
      <c r="D59" s="112"/>
      <c r="E59" s="190">
        <v>118.3</v>
      </c>
      <c r="F59" s="114">
        <f>E59*6/100</f>
        <v>7.0979999999999999</v>
      </c>
      <c r="G59" s="199">
        <v>2110.4699999999998</v>
      </c>
      <c r="H59" s="70">
        <f>SUM(F59*G59/1000)</f>
        <v>14.980116059999999</v>
      </c>
      <c r="I59" s="13">
        <f>G59*0.1</f>
        <v>211.047</v>
      </c>
      <c r="J59" s="23"/>
      <c r="L59" s="19"/>
      <c r="M59" s="20"/>
      <c r="N59" s="21"/>
    </row>
    <row r="60" spans="1:22" ht="17.25" hidden="1" customHeight="1">
      <c r="A60" s="29">
        <v>16</v>
      </c>
      <c r="B60" s="112" t="s">
        <v>179</v>
      </c>
      <c r="C60" s="113" t="s">
        <v>104</v>
      </c>
      <c r="D60" s="112" t="s">
        <v>221</v>
      </c>
      <c r="E60" s="200">
        <v>3.78</v>
      </c>
      <c r="F60" s="33">
        <f>E60*6/100</f>
        <v>0.2268</v>
      </c>
      <c r="G60" s="194">
        <v>2110.4699999999998</v>
      </c>
      <c r="H60" s="70">
        <f>F60*G60/1000</f>
        <v>0.47865459599999999</v>
      </c>
      <c r="I60" s="13">
        <f>F60/6*G60</f>
        <v>79.77576599999999</v>
      </c>
      <c r="J60" s="23"/>
      <c r="L60" s="19"/>
    </row>
    <row r="61" spans="1:22" ht="18.75" hidden="1" customHeight="1">
      <c r="A61" s="29"/>
      <c r="B61" s="96" t="s">
        <v>99</v>
      </c>
      <c r="C61" s="113" t="s">
        <v>100</v>
      </c>
      <c r="D61" s="96" t="s">
        <v>41</v>
      </c>
      <c r="E61" s="98">
        <v>5</v>
      </c>
      <c r="F61" s="99">
        <v>10</v>
      </c>
      <c r="G61" s="199">
        <v>246.58</v>
      </c>
      <c r="H61" s="80">
        <v>0.99099999999999999</v>
      </c>
      <c r="I61" s="13">
        <v>0</v>
      </c>
      <c r="J61" s="23"/>
      <c r="L61" s="19"/>
    </row>
    <row r="62" spans="1:22" ht="15.75" customHeight="1">
      <c r="A62" s="29"/>
      <c r="B62" s="88" t="s">
        <v>43</v>
      </c>
      <c r="C62" s="81"/>
      <c r="D62" s="77"/>
      <c r="E62" s="78"/>
      <c r="F62" s="79"/>
      <c r="G62" s="82"/>
      <c r="H62" s="80"/>
      <c r="I62" s="13"/>
    </row>
    <row r="63" spans="1:22" ht="15.75" hidden="1" customHeight="1">
      <c r="A63" s="29"/>
      <c r="B63" s="77" t="s">
        <v>44</v>
      </c>
      <c r="C63" s="81" t="s">
        <v>52</v>
      </c>
      <c r="D63" s="77" t="s">
        <v>53</v>
      </c>
      <c r="E63" s="78">
        <v>1752</v>
      </c>
      <c r="F63" s="79">
        <f>E63/100</f>
        <v>17.52</v>
      </c>
      <c r="G63" s="69">
        <v>848.37</v>
      </c>
      <c r="H63" s="80">
        <f>G63*F63/1000</f>
        <v>14.8634424</v>
      </c>
      <c r="I63" s="13">
        <v>0</v>
      </c>
    </row>
    <row r="64" spans="1:22" ht="15.75" customHeight="1">
      <c r="A64" s="29">
        <v>12</v>
      </c>
      <c r="B64" s="96" t="s">
        <v>95</v>
      </c>
      <c r="C64" s="97" t="s">
        <v>25</v>
      </c>
      <c r="D64" s="96" t="s">
        <v>221</v>
      </c>
      <c r="E64" s="98">
        <v>200</v>
      </c>
      <c r="F64" s="99">
        <f>E64*12</f>
        <v>2400</v>
      </c>
      <c r="G64" s="100">
        <v>1.4</v>
      </c>
      <c r="H64" s="201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8" t="s">
        <v>45</v>
      </c>
      <c r="C65" s="81"/>
      <c r="D65" s="77"/>
      <c r="E65" s="78"/>
      <c r="F65" s="79"/>
      <c r="G65" s="89"/>
      <c r="H65" s="80" t="s">
        <v>129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13</v>
      </c>
      <c r="B66" s="14" t="s">
        <v>46</v>
      </c>
      <c r="C66" s="16" t="s">
        <v>122</v>
      </c>
      <c r="D66" s="14" t="s">
        <v>221</v>
      </c>
      <c r="E66" s="18">
        <v>10</v>
      </c>
      <c r="F66" s="69">
        <v>10</v>
      </c>
      <c r="G66" s="218">
        <v>303.35000000000002</v>
      </c>
      <c r="H66" s="63">
        <f t="shared" ref="H66:H80" si="4">SUM(F66*G66/1000)</f>
        <v>3.0335000000000001</v>
      </c>
      <c r="I66" s="13">
        <f>G66*1</f>
        <v>303.35000000000002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122</v>
      </c>
      <c r="D67" s="14" t="s">
        <v>65</v>
      </c>
      <c r="E67" s="18">
        <v>5</v>
      </c>
      <c r="F67" s="69">
        <v>5</v>
      </c>
      <c r="G67" s="13">
        <v>81.510000000000005</v>
      </c>
      <c r="H67" s="63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30"/>
      <c r="S67" s="230"/>
      <c r="T67" s="230"/>
      <c r="U67" s="230"/>
    </row>
    <row r="68" spans="1:21" ht="15.75" hidden="1" customHeight="1">
      <c r="A68" s="29"/>
      <c r="B68" s="14" t="s">
        <v>48</v>
      </c>
      <c r="C68" s="16" t="s">
        <v>124</v>
      </c>
      <c r="D68" s="14" t="s">
        <v>53</v>
      </c>
      <c r="E68" s="68">
        <v>23808</v>
      </c>
      <c r="F68" s="13">
        <f>SUM(E68/100)</f>
        <v>238.08</v>
      </c>
      <c r="G68" s="13">
        <v>226.79</v>
      </c>
      <c r="H68" s="63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125</v>
      </c>
      <c r="D69" s="14"/>
      <c r="E69" s="68">
        <v>23808</v>
      </c>
      <c r="F69" s="13">
        <f>SUM(E69/1000)</f>
        <v>23.808</v>
      </c>
      <c r="G69" s="13">
        <v>176.61</v>
      </c>
      <c r="H69" s="63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2217.7800000000002</v>
      </c>
      <c r="H70" s="63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83" t="s">
        <v>126</v>
      </c>
      <c r="C71" s="16" t="s">
        <v>33</v>
      </c>
      <c r="D71" s="14"/>
      <c r="E71" s="68">
        <v>23.4</v>
      </c>
      <c r="F71" s="13">
        <f>SUM(E71)</f>
        <v>23.4</v>
      </c>
      <c r="G71" s="13">
        <v>42.67</v>
      </c>
      <c r="H71" s="63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83" t="s">
        <v>135</v>
      </c>
      <c r="C72" s="16" t="s">
        <v>33</v>
      </c>
      <c r="D72" s="14"/>
      <c r="E72" s="68">
        <v>23.4</v>
      </c>
      <c r="F72" s="13">
        <f>SUM(E72)</f>
        <v>23.4</v>
      </c>
      <c r="G72" s="13">
        <v>39.81</v>
      </c>
      <c r="H72" s="63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79">
        <f>SUM(E73)</f>
        <v>5</v>
      </c>
      <c r="G73" s="13">
        <v>53.32</v>
      </c>
      <c r="H73" s="63">
        <f t="shared" si="4"/>
        <v>0.2666</v>
      </c>
      <c r="I73" s="13">
        <f t="shared" si="5"/>
        <v>266.60000000000002</v>
      </c>
    </row>
    <row r="74" spans="1:21" ht="15.75" customHeight="1">
      <c r="A74" s="29">
        <v>14</v>
      </c>
      <c r="B74" s="83" t="s">
        <v>181</v>
      </c>
      <c r="C74" s="102"/>
      <c r="D74" s="93" t="s">
        <v>222</v>
      </c>
      <c r="E74" s="17">
        <v>1</v>
      </c>
      <c r="F74" s="33">
        <v>12</v>
      </c>
      <c r="G74" s="33">
        <v>1194</v>
      </c>
      <c r="H74" s="63">
        <v>8.5310000000000006</v>
      </c>
      <c r="I74" s="13">
        <f>F74/12*G74</f>
        <v>1194</v>
      </c>
    </row>
    <row r="75" spans="1:21" ht="15.75" hidden="1" customHeight="1">
      <c r="A75" s="29"/>
      <c r="B75" s="184" t="s">
        <v>72</v>
      </c>
      <c r="C75" s="16"/>
      <c r="D75" s="14"/>
      <c r="E75" s="18"/>
      <c r="F75" s="13"/>
      <c r="G75" s="13"/>
      <c r="H75" s="63" t="s">
        <v>129</v>
      </c>
      <c r="I75" s="13"/>
    </row>
    <row r="76" spans="1:21" ht="15.75" hidden="1" customHeight="1">
      <c r="A76" s="29"/>
      <c r="B76" s="14" t="s">
        <v>73</v>
      </c>
      <c r="C76" s="16" t="s">
        <v>31</v>
      </c>
      <c r="D76" s="14" t="s">
        <v>65</v>
      </c>
      <c r="E76" s="18">
        <v>2</v>
      </c>
      <c r="F76" s="57">
        <v>0.2</v>
      </c>
      <c r="G76" s="13">
        <v>536.23</v>
      </c>
      <c r="H76" s="63">
        <v>0.107</v>
      </c>
      <c r="I76" s="13">
        <v>0</v>
      </c>
    </row>
    <row r="77" spans="1:21" ht="15.75" hidden="1" customHeight="1">
      <c r="A77" s="29">
        <v>21</v>
      </c>
      <c r="B77" s="14" t="s">
        <v>87</v>
      </c>
      <c r="C77" s="16" t="s">
        <v>30</v>
      </c>
      <c r="D77" s="14"/>
      <c r="E77" s="18">
        <v>1</v>
      </c>
      <c r="F77" s="69">
        <f>SUM(E77)</f>
        <v>1</v>
      </c>
      <c r="G77" s="13">
        <v>383.25</v>
      </c>
      <c r="H77" s="63">
        <f t="shared" si="4"/>
        <v>0.38324999999999998</v>
      </c>
      <c r="I77" s="13">
        <f>G77</f>
        <v>383.25</v>
      </c>
    </row>
    <row r="78" spans="1:21" ht="15.75" hidden="1" customHeight="1">
      <c r="A78" s="29"/>
      <c r="B78" s="14" t="s">
        <v>74</v>
      </c>
      <c r="C78" s="16" t="s">
        <v>30</v>
      </c>
      <c r="D78" s="14"/>
      <c r="E78" s="18">
        <v>1</v>
      </c>
      <c r="F78" s="13">
        <v>1</v>
      </c>
      <c r="G78" s="13">
        <v>911.85</v>
      </c>
      <c r="H78" s="63">
        <f>F78*G78/1000</f>
        <v>0.91185000000000005</v>
      </c>
      <c r="I78" s="13">
        <v>0</v>
      </c>
    </row>
    <row r="79" spans="1:21" ht="15.75" hidden="1" customHeight="1">
      <c r="A79" s="29"/>
      <c r="B79" s="84" t="s">
        <v>75</v>
      </c>
      <c r="C79" s="16"/>
      <c r="D79" s="14"/>
      <c r="E79" s="18"/>
      <c r="F79" s="13"/>
      <c r="G79" s="13" t="s">
        <v>129</v>
      </c>
      <c r="H79" s="63" t="s">
        <v>129</v>
      </c>
      <c r="I79" s="13"/>
    </row>
    <row r="80" spans="1:21" ht="15.75" hidden="1" customHeight="1">
      <c r="A80" s="29"/>
      <c r="B80" s="42" t="s">
        <v>130</v>
      </c>
      <c r="C80" s="16" t="s">
        <v>76</v>
      </c>
      <c r="D80" s="14"/>
      <c r="E80" s="18"/>
      <c r="F80" s="13">
        <v>0.6</v>
      </c>
      <c r="G80" s="13">
        <v>2949.85</v>
      </c>
      <c r="H80" s="63">
        <f t="shared" si="4"/>
        <v>1.7699099999999999</v>
      </c>
      <c r="I80" s="13">
        <v>0</v>
      </c>
      <c r="J80" s="5"/>
      <c r="K80" s="5"/>
      <c r="L80" s="5"/>
      <c r="M80" s="5"/>
      <c r="N80" s="5"/>
      <c r="O80" s="5"/>
      <c r="P80" s="5"/>
      <c r="Q80" s="5"/>
      <c r="R80" s="53"/>
      <c r="S80" s="53"/>
      <c r="T80" s="53"/>
      <c r="U80" s="53"/>
    </row>
    <row r="81" spans="1:21" ht="15.75" hidden="1" customHeight="1">
      <c r="A81" s="185"/>
      <c r="B81" s="184" t="s">
        <v>127</v>
      </c>
      <c r="C81" s="184"/>
      <c r="D81" s="184"/>
      <c r="E81" s="184"/>
      <c r="F81" s="184"/>
      <c r="G81" s="184"/>
      <c r="H81" s="184"/>
      <c r="I81" s="1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186"/>
      <c r="B82" s="77" t="s">
        <v>128</v>
      </c>
      <c r="C82" s="187"/>
      <c r="D82" s="188"/>
      <c r="E82" s="58"/>
      <c r="F82" s="101">
        <v>1</v>
      </c>
      <c r="G82" s="101">
        <v>21062.799999999999</v>
      </c>
      <c r="H82" s="189">
        <f>G82*F82/1000</f>
        <v>21.062799999999999</v>
      </c>
      <c r="I82" s="101">
        <v>0</v>
      </c>
      <c r="J82" s="5"/>
      <c r="K82" s="5"/>
      <c r="L82" s="5"/>
      <c r="M82" s="5"/>
      <c r="N82" s="5"/>
      <c r="O82" s="5"/>
      <c r="P82" s="5"/>
      <c r="Q82" s="5"/>
      <c r="R82" s="53"/>
      <c r="S82" s="53"/>
      <c r="T82" s="53"/>
      <c r="U82" s="53"/>
    </row>
    <row r="83" spans="1:21" ht="15.75" customHeight="1">
      <c r="A83" s="29"/>
      <c r="B83" s="202" t="s">
        <v>182</v>
      </c>
      <c r="C83" s="102"/>
      <c r="D83" s="93"/>
      <c r="E83" s="17"/>
      <c r="F83" s="203"/>
      <c r="G83" s="33"/>
      <c r="H83" s="13"/>
      <c r="I83" s="13"/>
      <c r="J83" s="5"/>
      <c r="K83" s="5"/>
      <c r="L83" s="5"/>
      <c r="M83" s="5"/>
      <c r="N83" s="5"/>
      <c r="O83" s="5"/>
      <c r="P83" s="5"/>
      <c r="Q83" s="5"/>
      <c r="R83" s="183"/>
      <c r="S83" s="183"/>
      <c r="T83" s="183"/>
      <c r="U83" s="183"/>
    </row>
    <row r="84" spans="1:21" ht="34.5" customHeight="1">
      <c r="A84" s="186">
        <v>15</v>
      </c>
      <c r="B84" s="204" t="s">
        <v>183</v>
      </c>
      <c r="C84" s="205" t="s">
        <v>184</v>
      </c>
      <c r="D84" s="204"/>
      <c r="E84" s="206">
        <v>5816.5</v>
      </c>
      <c r="F84" s="99">
        <f>SUM(E84)*12</f>
        <v>69798</v>
      </c>
      <c r="G84" s="207">
        <v>2.37</v>
      </c>
      <c r="H84" s="101"/>
      <c r="I84" s="101">
        <f>G84*F84/12</f>
        <v>13785.105000000001</v>
      </c>
      <c r="J84" s="5"/>
      <c r="K84" s="5"/>
      <c r="L84" s="5"/>
      <c r="M84" s="5"/>
      <c r="N84" s="5"/>
      <c r="O84" s="5"/>
      <c r="P84" s="5"/>
      <c r="Q84" s="5"/>
      <c r="R84" s="183"/>
      <c r="S84" s="183"/>
      <c r="T84" s="183"/>
      <c r="U84" s="183"/>
    </row>
    <row r="85" spans="1:21" ht="16.5" customHeight="1">
      <c r="A85" s="186"/>
      <c r="B85" s="211" t="s">
        <v>72</v>
      </c>
      <c r="C85" s="205"/>
      <c r="D85" s="204"/>
      <c r="E85" s="206"/>
      <c r="F85" s="99"/>
      <c r="G85" s="207"/>
      <c r="H85" s="101"/>
      <c r="I85" s="101"/>
      <c r="J85" s="5"/>
      <c r="K85" s="5"/>
      <c r="L85" s="5"/>
      <c r="M85" s="5"/>
      <c r="N85" s="5"/>
      <c r="O85" s="5"/>
      <c r="P85" s="5"/>
      <c r="Q85" s="5"/>
      <c r="R85" s="209"/>
      <c r="S85" s="209"/>
      <c r="T85" s="209"/>
      <c r="U85" s="209"/>
    </row>
    <row r="86" spans="1:21" ht="29.25" customHeight="1">
      <c r="A86" s="29">
        <v>16</v>
      </c>
      <c r="B86" s="48" t="s">
        <v>185</v>
      </c>
      <c r="C86" s="91" t="s">
        <v>122</v>
      </c>
      <c r="D86" s="93" t="s">
        <v>222</v>
      </c>
      <c r="E86" s="206">
        <v>1</v>
      </c>
      <c r="F86" s="99">
        <f>E86*12</f>
        <v>12</v>
      </c>
      <c r="G86" s="207">
        <v>55.55</v>
      </c>
      <c r="H86" s="13"/>
      <c r="I86" s="13">
        <f>G86*1</f>
        <v>55.55</v>
      </c>
      <c r="J86" s="5"/>
      <c r="K86" s="5"/>
      <c r="L86" s="5"/>
      <c r="M86" s="5"/>
      <c r="N86" s="5"/>
      <c r="O86" s="5"/>
      <c r="P86" s="5"/>
      <c r="Q86" s="5"/>
      <c r="R86" s="183"/>
      <c r="S86" s="183"/>
      <c r="T86" s="183"/>
      <c r="U86" s="183"/>
    </row>
    <row r="87" spans="1:21" ht="15.75" customHeight="1">
      <c r="A87" s="243" t="s">
        <v>138</v>
      </c>
      <c r="B87" s="244"/>
      <c r="C87" s="244"/>
      <c r="D87" s="244"/>
      <c r="E87" s="244"/>
      <c r="F87" s="244"/>
      <c r="G87" s="244"/>
      <c r="H87" s="244"/>
      <c r="I87" s="245"/>
    </row>
    <row r="88" spans="1:21" ht="15.75" customHeight="1">
      <c r="A88" s="29">
        <v>17</v>
      </c>
      <c r="B88" s="112" t="s">
        <v>131</v>
      </c>
      <c r="C88" s="102" t="s">
        <v>54</v>
      </c>
      <c r="D88" s="208"/>
      <c r="E88" s="33">
        <v>5816.5</v>
      </c>
      <c r="F88" s="33">
        <f>SUM(E88*12)</f>
        <v>69798</v>
      </c>
      <c r="G88" s="33">
        <v>3.22</v>
      </c>
      <c r="H88" s="63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18</v>
      </c>
      <c r="B89" s="93" t="s">
        <v>77</v>
      </c>
      <c r="C89" s="102"/>
      <c r="D89" s="92"/>
      <c r="E89" s="190">
        <f>E87</f>
        <v>0</v>
      </c>
      <c r="F89" s="33">
        <v>69798</v>
      </c>
      <c r="G89" s="33">
        <v>3.64</v>
      </c>
      <c r="H89" s="63">
        <f>F89*G89/1000</f>
        <v>254.06471999999999</v>
      </c>
      <c r="I89" s="13">
        <f>F89/12*G89</f>
        <v>21172.06</v>
      </c>
      <c r="J89" s="5"/>
      <c r="K89" s="5"/>
      <c r="L89" s="5"/>
      <c r="M89" s="5"/>
      <c r="N89" s="5"/>
      <c r="O89" s="5"/>
      <c r="P89" s="5"/>
      <c r="Q89" s="5"/>
      <c r="R89" s="53"/>
      <c r="S89" s="53"/>
      <c r="T89" s="53"/>
      <c r="U89" s="53"/>
    </row>
    <row r="90" spans="1:21" ht="15.75" customHeight="1">
      <c r="A90" s="185"/>
      <c r="B90" s="34" t="s">
        <v>79</v>
      </c>
      <c r="C90" s="35"/>
      <c r="D90" s="15"/>
      <c r="E90" s="15"/>
      <c r="F90" s="15"/>
      <c r="G90" s="18"/>
      <c r="H90" s="18"/>
      <c r="I90" s="31">
        <f>I89+I88+I86+I84+I74+I66+I64+I52+I46+I43+I41+I40+I39+I27+I18+I17+I16+I59</f>
        <v>115634.05559850002</v>
      </c>
    </row>
    <row r="91" spans="1:21" ht="15.75" customHeight="1">
      <c r="A91" s="237" t="s">
        <v>59</v>
      </c>
      <c r="B91" s="238"/>
      <c r="C91" s="238"/>
      <c r="D91" s="238"/>
      <c r="E91" s="238"/>
      <c r="F91" s="238"/>
      <c r="G91" s="238"/>
      <c r="H91" s="238"/>
      <c r="I91" s="239"/>
    </row>
    <row r="92" spans="1:21" ht="42.75" customHeight="1">
      <c r="A92" s="29">
        <v>19</v>
      </c>
      <c r="B92" s="48" t="s">
        <v>150</v>
      </c>
      <c r="C92" s="91" t="s">
        <v>83</v>
      </c>
      <c r="D92" s="93" t="s">
        <v>235</v>
      </c>
      <c r="E92" s="33"/>
      <c r="F92" s="33">
        <v>4</v>
      </c>
      <c r="G92" s="33">
        <v>222.63</v>
      </c>
      <c r="H92" s="63">
        <f t="shared" ref="H92:H101" si="6">G92*F92/1000</f>
        <v>0.89051999999999998</v>
      </c>
      <c r="I92" s="101">
        <f>G92*3</f>
        <v>667.89</v>
      </c>
      <c r="J92" s="5"/>
      <c r="K92" s="5"/>
      <c r="L92" s="5"/>
      <c r="M92" s="5"/>
      <c r="N92" s="5"/>
      <c r="O92" s="5"/>
      <c r="P92" s="5"/>
      <c r="Q92" s="5"/>
      <c r="R92" s="53"/>
      <c r="S92" s="53"/>
      <c r="T92" s="53"/>
      <c r="U92" s="53"/>
    </row>
    <row r="93" spans="1:21" ht="30" customHeight="1">
      <c r="A93" s="29">
        <v>20</v>
      </c>
      <c r="B93" s="48" t="s">
        <v>201</v>
      </c>
      <c r="C93" s="91" t="s">
        <v>91</v>
      </c>
      <c r="D93" s="92" t="s">
        <v>234</v>
      </c>
      <c r="E93" s="33"/>
      <c r="F93" s="33">
        <v>1</v>
      </c>
      <c r="G93" s="33">
        <v>670.51</v>
      </c>
      <c r="H93" s="63">
        <f t="shared" si="6"/>
        <v>0.67050999999999994</v>
      </c>
      <c r="I93" s="101">
        <f>G93*1</f>
        <v>670.51</v>
      </c>
      <c r="J93" s="5"/>
      <c r="K93" s="5"/>
      <c r="L93" s="5"/>
      <c r="M93" s="5"/>
      <c r="N93" s="5"/>
      <c r="O93" s="5"/>
      <c r="P93" s="5"/>
      <c r="Q93" s="5"/>
      <c r="R93" s="53"/>
      <c r="S93" s="53"/>
      <c r="T93" s="53"/>
      <c r="U93" s="53"/>
    </row>
    <row r="94" spans="1:21" ht="16.5" customHeight="1">
      <c r="A94" s="29">
        <v>21</v>
      </c>
      <c r="B94" s="48" t="s">
        <v>174</v>
      </c>
      <c r="C94" s="91" t="s">
        <v>193</v>
      </c>
      <c r="D94" s="92" t="s">
        <v>344</v>
      </c>
      <c r="E94" s="33"/>
      <c r="F94" s="33">
        <v>4</v>
      </c>
      <c r="G94" s="33">
        <v>284</v>
      </c>
      <c r="H94" s="63">
        <f t="shared" si="6"/>
        <v>1.1359999999999999</v>
      </c>
      <c r="I94" s="101">
        <v>0</v>
      </c>
      <c r="J94" s="5"/>
      <c r="K94" s="5"/>
      <c r="L94" s="5"/>
      <c r="M94" s="5"/>
      <c r="N94" s="5"/>
      <c r="O94" s="5"/>
      <c r="P94" s="5"/>
      <c r="Q94" s="5"/>
      <c r="R94" s="53"/>
      <c r="S94" s="53"/>
      <c r="T94" s="53"/>
      <c r="U94" s="53"/>
    </row>
    <row r="95" spans="1:21" ht="30.75" customHeight="1">
      <c r="A95" s="29">
        <v>22</v>
      </c>
      <c r="B95" s="48" t="s">
        <v>210</v>
      </c>
      <c r="C95" s="91" t="s">
        <v>37</v>
      </c>
      <c r="D95" s="92" t="s">
        <v>221</v>
      </c>
      <c r="E95" s="33"/>
      <c r="F95" s="33">
        <v>0.01</v>
      </c>
      <c r="G95" s="33">
        <v>4070.89</v>
      </c>
      <c r="H95" s="63">
        <f t="shared" si="6"/>
        <v>4.0708899999999999E-2</v>
      </c>
      <c r="I95" s="13">
        <v>0</v>
      </c>
      <c r="J95" s="5"/>
      <c r="K95" s="5"/>
      <c r="L95" s="5"/>
      <c r="M95" s="5"/>
      <c r="N95" s="5"/>
      <c r="O95" s="5"/>
      <c r="P95" s="5"/>
      <c r="Q95" s="5"/>
      <c r="R95" s="53"/>
      <c r="S95" s="53"/>
      <c r="T95" s="53"/>
      <c r="U95" s="53"/>
    </row>
    <row r="96" spans="1:21" ht="15.75" hidden="1" customHeight="1">
      <c r="A96" s="29"/>
      <c r="B96" s="182" t="s">
        <v>205</v>
      </c>
      <c r="C96" s="35" t="s">
        <v>106</v>
      </c>
      <c r="D96" s="42"/>
      <c r="E96" s="13"/>
      <c r="F96" s="13">
        <v>1</v>
      </c>
      <c r="G96" s="33">
        <v>3587.49</v>
      </c>
      <c r="H96" s="63">
        <f t="shared" si="6"/>
        <v>3.5874899999999998</v>
      </c>
      <c r="I96" s="13">
        <v>0</v>
      </c>
      <c r="J96" s="5"/>
      <c r="K96" s="5"/>
      <c r="L96" s="5"/>
      <c r="M96" s="5"/>
      <c r="N96" s="5"/>
      <c r="O96" s="5"/>
      <c r="P96" s="5"/>
      <c r="Q96" s="5"/>
      <c r="R96" s="53"/>
      <c r="S96" s="53"/>
      <c r="T96" s="53"/>
      <c r="U96" s="53"/>
    </row>
    <row r="97" spans="1:21" ht="15.75" hidden="1" customHeight="1">
      <c r="A97" s="29"/>
      <c r="B97" s="48" t="s">
        <v>206</v>
      </c>
      <c r="C97" s="91" t="s">
        <v>193</v>
      </c>
      <c r="D97" s="42"/>
      <c r="E97" s="13"/>
      <c r="F97" s="13">
        <f>0.297/10</f>
        <v>2.9699999999999997E-2</v>
      </c>
      <c r="G97" s="33">
        <v>1465</v>
      </c>
      <c r="H97" s="63">
        <f t="shared" si="6"/>
        <v>4.3510499999999994E-2</v>
      </c>
      <c r="I97" s="13">
        <v>0</v>
      </c>
      <c r="J97" s="5"/>
      <c r="K97" s="5"/>
      <c r="L97" s="5"/>
      <c r="M97" s="5"/>
      <c r="N97" s="5"/>
      <c r="O97" s="5"/>
      <c r="P97" s="5"/>
      <c r="Q97" s="5"/>
      <c r="R97" s="53"/>
      <c r="S97" s="53"/>
      <c r="T97" s="53"/>
      <c r="U97" s="53"/>
    </row>
    <row r="98" spans="1:21" ht="15.75" hidden="1" customHeight="1">
      <c r="A98" s="29"/>
      <c r="B98" s="48" t="s">
        <v>191</v>
      </c>
      <c r="C98" s="91" t="s">
        <v>122</v>
      </c>
      <c r="D98" s="86"/>
      <c r="E98" s="13"/>
      <c r="F98" s="13">
        <f>40/10</f>
        <v>4</v>
      </c>
      <c r="G98" s="33">
        <v>87.32</v>
      </c>
      <c r="H98" s="63">
        <f t="shared" si="6"/>
        <v>0.34927999999999998</v>
      </c>
      <c r="I98" s="13">
        <v>0</v>
      </c>
      <c r="J98" s="5"/>
      <c r="K98" s="5"/>
      <c r="L98" s="5"/>
      <c r="M98" s="5"/>
      <c r="N98" s="5"/>
      <c r="O98" s="5"/>
      <c r="P98" s="5"/>
      <c r="Q98" s="5"/>
      <c r="R98" s="53"/>
      <c r="S98" s="53"/>
      <c r="T98" s="53"/>
      <c r="U98" s="53"/>
    </row>
    <row r="99" spans="1:21" ht="31.5" hidden="1" customHeight="1">
      <c r="A99" s="29"/>
      <c r="B99" s="48" t="s">
        <v>207</v>
      </c>
      <c r="C99" s="91" t="s">
        <v>208</v>
      </c>
      <c r="D99" s="86"/>
      <c r="E99" s="13"/>
      <c r="F99" s="13">
        <f>4/100</f>
        <v>0.04</v>
      </c>
      <c r="G99" s="33">
        <v>488.41</v>
      </c>
      <c r="H99" s="63">
        <f t="shared" si="6"/>
        <v>1.9536399999999999E-2</v>
      </c>
      <c r="I99" s="13">
        <v>0</v>
      </c>
      <c r="J99" s="5"/>
      <c r="K99" s="5"/>
      <c r="L99" s="5"/>
      <c r="M99" s="5"/>
      <c r="N99" s="5"/>
      <c r="O99" s="5"/>
      <c r="P99" s="5"/>
      <c r="Q99" s="5"/>
      <c r="R99" s="53"/>
      <c r="S99" s="53"/>
      <c r="T99" s="53"/>
      <c r="U99" s="53"/>
    </row>
    <row r="100" spans="1:21" ht="15.75" hidden="1" customHeight="1">
      <c r="A100" s="29"/>
      <c r="B100" s="46" t="s">
        <v>143</v>
      </c>
      <c r="C100" s="62" t="s">
        <v>91</v>
      </c>
      <c r="D100" s="86"/>
      <c r="E100" s="13"/>
      <c r="F100" s="13">
        <v>1</v>
      </c>
      <c r="G100" s="13">
        <f>735.26+(282.5/2)</f>
        <v>876.51</v>
      </c>
      <c r="H100" s="63">
        <f t="shared" si="6"/>
        <v>0.87651000000000001</v>
      </c>
      <c r="I100" s="13">
        <v>0</v>
      </c>
      <c r="J100" s="5"/>
      <c r="K100" s="5"/>
      <c r="L100" s="5"/>
      <c r="M100" s="5"/>
      <c r="N100" s="5"/>
      <c r="O100" s="5"/>
      <c r="P100" s="5"/>
      <c r="Q100" s="5"/>
      <c r="R100" s="53"/>
      <c r="S100" s="53"/>
      <c r="T100" s="53"/>
      <c r="U100" s="53"/>
    </row>
    <row r="101" spans="1:21" ht="15.75" hidden="1" customHeight="1">
      <c r="A101" s="29"/>
      <c r="B101" s="49" t="s">
        <v>84</v>
      </c>
      <c r="C101" s="62" t="s">
        <v>122</v>
      </c>
      <c r="D101" s="86"/>
      <c r="E101" s="13"/>
      <c r="F101" s="13">
        <v>5</v>
      </c>
      <c r="G101" s="13">
        <v>179.96</v>
      </c>
      <c r="H101" s="63">
        <f t="shared" si="6"/>
        <v>0.89980000000000004</v>
      </c>
      <c r="I101" s="13">
        <v>0</v>
      </c>
      <c r="J101" s="5"/>
      <c r="K101" s="5"/>
      <c r="L101" s="5"/>
      <c r="M101" s="5"/>
      <c r="N101" s="5"/>
      <c r="O101" s="5"/>
      <c r="P101" s="5"/>
      <c r="Q101" s="5"/>
      <c r="R101" s="53"/>
      <c r="S101" s="53"/>
      <c r="T101" s="53"/>
      <c r="U101" s="53"/>
    </row>
    <row r="102" spans="1:21" ht="47.25" hidden="1" customHeight="1">
      <c r="A102" s="29"/>
      <c r="B102" s="46" t="s">
        <v>144</v>
      </c>
      <c r="C102" s="50" t="s">
        <v>145</v>
      </c>
      <c r="D102" s="42"/>
      <c r="E102" s="13"/>
      <c r="F102" s="13">
        <v>2</v>
      </c>
      <c r="G102" s="13">
        <v>4408.12</v>
      </c>
      <c r="H102" s="63">
        <f t="shared" ref="H102:H119" si="7">G102*F102/1000</f>
        <v>8.8162400000000005</v>
      </c>
      <c r="I102" s="13">
        <v>0</v>
      </c>
      <c r="J102" s="5"/>
      <c r="K102" s="5"/>
      <c r="L102" s="5"/>
      <c r="M102" s="5"/>
      <c r="N102" s="5"/>
      <c r="O102" s="5"/>
      <c r="P102" s="5"/>
      <c r="Q102" s="5"/>
      <c r="R102" s="53"/>
      <c r="S102" s="53"/>
      <c r="T102" s="53"/>
      <c r="U102" s="53"/>
    </row>
    <row r="103" spans="1:21" ht="15.75" hidden="1" customHeight="1">
      <c r="A103" s="29"/>
      <c r="B103" s="46" t="s">
        <v>146</v>
      </c>
      <c r="C103" s="62" t="s">
        <v>147</v>
      </c>
      <c r="D103" s="42"/>
      <c r="E103" s="13"/>
      <c r="F103" s="13">
        <f>1/100</f>
        <v>0.01</v>
      </c>
      <c r="G103" s="13">
        <v>7033.13</v>
      </c>
      <c r="H103" s="63">
        <f t="shared" si="7"/>
        <v>7.0331299999999999E-2</v>
      </c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53"/>
      <c r="S103" s="53"/>
      <c r="T103" s="53"/>
      <c r="U103" s="53"/>
    </row>
    <row r="104" spans="1:21" ht="15.75" hidden="1" customHeight="1">
      <c r="A104" s="29"/>
      <c r="B104" s="46" t="s">
        <v>148</v>
      </c>
      <c r="C104" s="62" t="s">
        <v>149</v>
      </c>
      <c r="D104" s="42"/>
      <c r="E104" s="13"/>
      <c r="F104" s="13">
        <v>1</v>
      </c>
      <c r="G104" s="13">
        <v>730</v>
      </c>
      <c r="H104" s="63">
        <f t="shared" si="7"/>
        <v>0.73</v>
      </c>
      <c r="I104" s="13">
        <v>0</v>
      </c>
      <c r="J104" s="5"/>
      <c r="K104" s="5"/>
      <c r="L104" s="5"/>
      <c r="M104" s="5"/>
      <c r="N104" s="5"/>
      <c r="O104" s="5"/>
      <c r="P104" s="5"/>
      <c r="Q104" s="5"/>
      <c r="R104" s="53"/>
      <c r="S104" s="53"/>
      <c r="T104" s="53"/>
      <c r="U104" s="53"/>
    </row>
    <row r="105" spans="1:21" ht="15.75" hidden="1" customHeight="1">
      <c r="A105" s="29"/>
      <c r="B105" s="64" t="s">
        <v>89</v>
      </c>
      <c r="C105" s="65" t="s">
        <v>90</v>
      </c>
      <c r="D105" s="42"/>
      <c r="E105" s="13"/>
      <c r="F105" s="13">
        <f>50/3</f>
        <v>16.666666666666668</v>
      </c>
      <c r="G105" s="13">
        <v>1063.47</v>
      </c>
      <c r="H105" s="63">
        <f t="shared" si="7"/>
        <v>17.724499999999999</v>
      </c>
      <c r="I105" s="13">
        <v>0</v>
      </c>
      <c r="J105" s="5"/>
      <c r="K105" s="5"/>
      <c r="L105" s="5"/>
      <c r="M105" s="5"/>
      <c r="N105" s="5"/>
      <c r="O105" s="5"/>
      <c r="P105" s="5"/>
      <c r="Q105" s="5"/>
      <c r="R105" s="53"/>
      <c r="S105" s="53"/>
      <c r="T105" s="53"/>
      <c r="U105" s="53"/>
    </row>
    <row r="106" spans="1:21" ht="15.75" hidden="1" customHeight="1">
      <c r="A106" s="29"/>
      <c r="B106" s="46" t="s">
        <v>81</v>
      </c>
      <c r="C106" s="62" t="s">
        <v>122</v>
      </c>
      <c r="D106" s="42"/>
      <c r="E106" s="13"/>
      <c r="F106" s="13">
        <v>1</v>
      </c>
      <c r="G106" s="13">
        <v>180.15</v>
      </c>
      <c r="H106" s="63">
        <f t="shared" si="7"/>
        <v>0.18015</v>
      </c>
      <c r="I106" s="13">
        <v>0</v>
      </c>
      <c r="J106" s="5"/>
      <c r="K106" s="5"/>
      <c r="L106" s="5"/>
      <c r="M106" s="5"/>
      <c r="N106" s="5"/>
      <c r="O106" s="5"/>
      <c r="P106" s="5"/>
      <c r="Q106" s="5"/>
      <c r="R106" s="53"/>
      <c r="S106" s="53"/>
      <c r="T106" s="53"/>
      <c r="U106" s="53"/>
    </row>
    <row r="107" spans="1:21" ht="15.75" hidden="1" customHeight="1">
      <c r="A107" s="29"/>
      <c r="B107" s="46" t="s">
        <v>150</v>
      </c>
      <c r="C107" s="62" t="s">
        <v>83</v>
      </c>
      <c r="D107" s="42"/>
      <c r="E107" s="13"/>
      <c r="F107" s="13">
        <v>2</v>
      </c>
      <c r="G107" s="13">
        <v>185.81</v>
      </c>
      <c r="H107" s="63">
        <f t="shared" si="7"/>
        <v>0.37162000000000001</v>
      </c>
      <c r="I107" s="13">
        <v>0</v>
      </c>
      <c r="J107" s="5"/>
      <c r="K107" s="5"/>
      <c r="L107" s="5"/>
      <c r="M107" s="5"/>
      <c r="N107" s="5"/>
      <c r="O107" s="5"/>
      <c r="P107" s="5"/>
      <c r="Q107" s="5"/>
      <c r="R107" s="53"/>
      <c r="S107" s="53"/>
      <c r="T107" s="53"/>
      <c r="U107" s="53"/>
    </row>
    <row r="108" spans="1:21" ht="15.75" hidden="1" customHeight="1">
      <c r="A108" s="29"/>
      <c r="B108" s="46" t="s">
        <v>151</v>
      </c>
      <c r="C108" s="50" t="s">
        <v>145</v>
      </c>
      <c r="D108" s="14"/>
      <c r="E108" s="18"/>
      <c r="F108" s="13">
        <v>1</v>
      </c>
      <c r="G108" s="13">
        <v>901.61</v>
      </c>
      <c r="H108" s="63">
        <f t="shared" si="7"/>
        <v>0.90161000000000002</v>
      </c>
      <c r="I108" s="13">
        <v>0</v>
      </c>
      <c r="J108" s="5"/>
      <c r="K108" s="5"/>
      <c r="L108" s="5"/>
      <c r="M108" s="5"/>
      <c r="N108" s="5"/>
      <c r="O108" s="5"/>
      <c r="P108" s="5"/>
      <c r="Q108" s="5"/>
      <c r="R108" s="53"/>
      <c r="S108" s="53"/>
      <c r="T108" s="53"/>
      <c r="U108" s="53"/>
    </row>
    <row r="109" spans="1:21" ht="31.5" hidden="1" customHeight="1">
      <c r="A109" s="29"/>
      <c r="B109" s="46" t="s">
        <v>152</v>
      </c>
      <c r="C109" s="62" t="s">
        <v>80</v>
      </c>
      <c r="D109" s="42"/>
      <c r="E109" s="13"/>
      <c r="F109" s="13">
        <v>2</v>
      </c>
      <c r="G109" s="13">
        <v>771.29</v>
      </c>
      <c r="H109" s="63">
        <f t="shared" si="7"/>
        <v>1.5425799999999998</v>
      </c>
      <c r="I109" s="13">
        <v>0</v>
      </c>
      <c r="J109" s="5"/>
      <c r="K109" s="5"/>
      <c r="L109" s="5"/>
      <c r="M109" s="5"/>
      <c r="N109" s="5"/>
      <c r="O109" s="5"/>
      <c r="P109" s="5"/>
      <c r="Q109" s="5"/>
      <c r="R109" s="53"/>
      <c r="S109" s="53"/>
      <c r="T109" s="53"/>
      <c r="U109" s="53"/>
    </row>
    <row r="110" spans="1:21" ht="15.75" hidden="1" customHeight="1">
      <c r="A110" s="29"/>
      <c r="B110" s="46" t="s">
        <v>153</v>
      </c>
      <c r="C110" s="62" t="s">
        <v>122</v>
      </c>
      <c r="D110" s="42"/>
      <c r="E110" s="13"/>
      <c r="F110" s="13">
        <v>1</v>
      </c>
      <c r="G110" s="13">
        <v>78.89</v>
      </c>
      <c r="H110" s="63">
        <f t="shared" si="7"/>
        <v>7.8890000000000002E-2</v>
      </c>
      <c r="I110" s="13">
        <v>0</v>
      </c>
      <c r="J110" s="5"/>
      <c r="K110" s="5"/>
      <c r="L110" s="5"/>
      <c r="M110" s="5"/>
      <c r="N110" s="5"/>
      <c r="O110" s="5"/>
      <c r="P110" s="5"/>
      <c r="Q110" s="5"/>
      <c r="R110" s="53"/>
      <c r="S110" s="53"/>
      <c r="T110" s="53"/>
      <c r="U110" s="53"/>
    </row>
    <row r="111" spans="1:21" ht="15.75" hidden="1" customHeight="1">
      <c r="A111" s="29"/>
      <c r="B111" s="46" t="s">
        <v>154</v>
      </c>
      <c r="C111" s="62" t="s">
        <v>122</v>
      </c>
      <c r="D111" s="42"/>
      <c r="E111" s="13"/>
      <c r="F111" s="13">
        <v>1</v>
      </c>
      <c r="G111" s="13">
        <v>89.15</v>
      </c>
      <c r="H111" s="63">
        <f t="shared" si="7"/>
        <v>8.9150000000000007E-2</v>
      </c>
      <c r="I111" s="13">
        <v>0</v>
      </c>
      <c r="J111" s="5"/>
      <c r="K111" s="5"/>
      <c r="L111" s="5"/>
      <c r="M111" s="5"/>
      <c r="N111" s="5"/>
      <c r="O111" s="5"/>
      <c r="P111" s="5"/>
      <c r="Q111" s="5"/>
      <c r="R111" s="53"/>
      <c r="S111" s="53"/>
      <c r="T111" s="53"/>
      <c r="U111" s="53"/>
    </row>
    <row r="112" spans="1:21" ht="15.75" hidden="1" customHeight="1">
      <c r="A112" s="29"/>
      <c r="B112" s="46" t="s">
        <v>162</v>
      </c>
      <c r="C112" s="62" t="s">
        <v>122</v>
      </c>
      <c r="D112" s="42"/>
      <c r="E112" s="13"/>
      <c r="F112" s="13">
        <v>2</v>
      </c>
      <c r="G112" s="13">
        <v>70</v>
      </c>
      <c r="H112" s="63">
        <f t="shared" si="7"/>
        <v>0.14000000000000001</v>
      </c>
      <c r="I112" s="13">
        <v>0</v>
      </c>
      <c r="J112" s="5"/>
      <c r="K112" s="5"/>
      <c r="L112" s="5"/>
      <c r="M112" s="5"/>
      <c r="N112" s="5"/>
      <c r="O112" s="5"/>
      <c r="P112" s="5"/>
      <c r="Q112" s="5"/>
      <c r="R112" s="53"/>
      <c r="S112" s="53"/>
      <c r="T112" s="53"/>
      <c r="U112" s="53"/>
    </row>
    <row r="113" spans="1:21" ht="15.75" hidden="1" customHeight="1">
      <c r="A113" s="29"/>
      <c r="B113" s="46" t="s">
        <v>163</v>
      </c>
      <c r="C113" s="62" t="s">
        <v>122</v>
      </c>
      <c r="D113" s="42"/>
      <c r="E113" s="13"/>
      <c r="F113" s="13">
        <v>1</v>
      </c>
      <c r="G113" s="13">
        <v>50</v>
      </c>
      <c r="H113" s="63">
        <f t="shared" si="7"/>
        <v>0.05</v>
      </c>
      <c r="I113" s="13">
        <v>0</v>
      </c>
      <c r="J113" s="5"/>
      <c r="K113" s="5"/>
      <c r="L113" s="5"/>
      <c r="M113" s="5"/>
      <c r="N113" s="5"/>
      <c r="O113" s="5"/>
      <c r="P113" s="5"/>
      <c r="Q113" s="5"/>
      <c r="R113" s="53"/>
      <c r="S113" s="53"/>
      <c r="T113" s="53"/>
      <c r="U113" s="53"/>
    </row>
    <row r="114" spans="1:21" ht="15.75" hidden="1" customHeight="1">
      <c r="A114" s="29"/>
      <c r="B114" s="46" t="s">
        <v>164</v>
      </c>
      <c r="C114" s="62" t="s">
        <v>122</v>
      </c>
      <c r="D114" s="42"/>
      <c r="E114" s="13"/>
      <c r="F114" s="13">
        <v>1</v>
      </c>
      <c r="G114" s="13">
        <v>238</v>
      </c>
      <c r="H114" s="63">
        <f t="shared" si="7"/>
        <v>0.23799999999999999</v>
      </c>
      <c r="I114" s="13">
        <v>0</v>
      </c>
      <c r="J114" s="5"/>
      <c r="K114" s="5"/>
      <c r="L114" s="5"/>
      <c r="M114" s="5"/>
      <c r="N114" s="5"/>
      <c r="O114" s="5"/>
      <c r="P114" s="5"/>
      <c r="Q114" s="5"/>
      <c r="R114" s="53"/>
      <c r="S114" s="53"/>
      <c r="T114" s="53"/>
      <c r="U114" s="53"/>
    </row>
    <row r="115" spans="1:21" ht="15.75" hidden="1" customHeight="1">
      <c r="A115" s="29"/>
      <c r="B115" s="46" t="s">
        <v>155</v>
      </c>
      <c r="C115" s="62" t="s">
        <v>122</v>
      </c>
      <c r="D115" s="42"/>
      <c r="E115" s="13"/>
      <c r="F115" s="13">
        <v>1</v>
      </c>
      <c r="G115" s="13">
        <v>86.15</v>
      </c>
      <c r="H115" s="63">
        <f t="shared" si="7"/>
        <v>8.6150000000000004E-2</v>
      </c>
      <c r="I115" s="13">
        <v>0</v>
      </c>
      <c r="J115" s="5"/>
      <c r="K115" s="5"/>
      <c r="L115" s="5"/>
      <c r="M115" s="5"/>
      <c r="N115" s="5"/>
      <c r="O115" s="5"/>
      <c r="P115" s="5"/>
      <c r="Q115" s="5"/>
      <c r="R115" s="53"/>
      <c r="S115" s="53"/>
      <c r="T115" s="53"/>
      <c r="U115" s="53"/>
    </row>
    <row r="116" spans="1:21" ht="15.75" hidden="1" customHeight="1">
      <c r="A116" s="29"/>
      <c r="B116" s="46" t="s">
        <v>165</v>
      </c>
      <c r="C116" s="62" t="s">
        <v>122</v>
      </c>
      <c r="D116" s="42"/>
      <c r="E116" s="13"/>
      <c r="F116" s="13">
        <v>2</v>
      </c>
      <c r="G116" s="13">
        <v>29282.880000000001</v>
      </c>
      <c r="H116" s="63">
        <f t="shared" si="7"/>
        <v>58.565760000000004</v>
      </c>
      <c r="I116" s="13">
        <v>0</v>
      </c>
      <c r="J116" s="5"/>
      <c r="K116" s="5"/>
      <c r="L116" s="5"/>
      <c r="M116" s="5"/>
      <c r="N116" s="5"/>
      <c r="O116" s="5"/>
      <c r="P116" s="5"/>
      <c r="Q116" s="5"/>
      <c r="R116" s="53"/>
      <c r="S116" s="53"/>
      <c r="T116" s="53"/>
      <c r="U116" s="53"/>
    </row>
    <row r="117" spans="1:21" ht="31.5" hidden="1" customHeight="1">
      <c r="A117" s="29"/>
      <c r="B117" s="46" t="s">
        <v>156</v>
      </c>
      <c r="C117" s="62" t="s">
        <v>80</v>
      </c>
      <c r="D117" s="42"/>
      <c r="E117" s="13"/>
      <c r="F117" s="13">
        <v>6</v>
      </c>
      <c r="G117" s="13">
        <v>1187</v>
      </c>
      <c r="H117" s="63">
        <f t="shared" si="7"/>
        <v>7.1219999999999999</v>
      </c>
      <c r="I117" s="13">
        <v>0</v>
      </c>
      <c r="J117" s="5"/>
      <c r="K117" s="5"/>
      <c r="L117" s="5"/>
      <c r="M117" s="5"/>
      <c r="N117" s="5"/>
      <c r="O117" s="5"/>
      <c r="P117" s="5"/>
      <c r="Q117" s="5"/>
      <c r="R117" s="53"/>
      <c r="S117" s="53"/>
      <c r="T117" s="53"/>
      <c r="U117" s="53"/>
    </row>
    <row r="118" spans="1:21" ht="31.5" hidden="1" customHeight="1">
      <c r="A118" s="29"/>
      <c r="B118" s="46" t="s">
        <v>157</v>
      </c>
      <c r="C118" s="62" t="s">
        <v>96</v>
      </c>
      <c r="D118" s="42"/>
      <c r="E118" s="13"/>
      <c r="F118" s="13">
        <f>70/10</f>
        <v>7</v>
      </c>
      <c r="G118" s="13">
        <v>2055.5300000000002</v>
      </c>
      <c r="H118" s="63">
        <f t="shared" si="7"/>
        <v>14.388710000000001</v>
      </c>
      <c r="I118" s="13">
        <v>0</v>
      </c>
      <c r="J118" s="5"/>
      <c r="K118" s="5"/>
      <c r="L118" s="5"/>
      <c r="M118" s="5"/>
      <c r="N118" s="5"/>
      <c r="O118" s="5"/>
      <c r="P118" s="5"/>
      <c r="Q118" s="5"/>
      <c r="R118" s="53"/>
      <c r="S118" s="53"/>
      <c r="T118" s="53"/>
      <c r="U118" s="53"/>
    </row>
    <row r="119" spans="1:21" ht="15.75" hidden="1" customHeight="1">
      <c r="A119" s="29"/>
      <c r="B119" s="46" t="s">
        <v>158</v>
      </c>
      <c r="C119" s="62" t="s">
        <v>159</v>
      </c>
      <c r="D119" s="42"/>
      <c r="E119" s="13"/>
      <c r="F119" s="13">
        <v>3</v>
      </c>
      <c r="G119" s="13">
        <v>1501</v>
      </c>
      <c r="H119" s="63">
        <f t="shared" si="7"/>
        <v>4.5030000000000001</v>
      </c>
      <c r="I119" s="13">
        <v>0</v>
      </c>
      <c r="J119" s="5"/>
      <c r="K119" s="5"/>
      <c r="L119" s="5"/>
      <c r="M119" s="5"/>
      <c r="N119" s="5"/>
      <c r="O119" s="5"/>
      <c r="P119" s="5"/>
      <c r="Q119" s="5"/>
      <c r="R119" s="53"/>
      <c r="S119" s="53"/>
      <c r="T119" s="53"/>
      <c r="U119" s="53"/>
    </row>
    <row r="120" spans="1:21" ht="32.25" hidden="1" customHeight="1">
      <c r="A120" s="29"/>
      <c r="B120" s="46" t="s">
        <v>160</v>
      </c>
      <c r="C120" s="62" t="s">
        <v>103</v>
      </c>
      <c r="D120" s="42"/>
      <c r="E120" s="13"/>
      <c r="F120" s="13">
        <v>2</v>
      </c>
      <c r="G120" s="13">
        <v>51.39</v>
      </c>
      <c r="H120" s="63">
        <v>0.05</v>
      </c>
      <c r="I120" s="13">
        <v>0</v>
      </c>
      <c r="J120" s="5"/>
      <c r="K120" s="5"/>
      <c r="L120" s="5"/>
      <c r="M120" s="5"/>
      <c r="N120" s="5"/>
      <c r="O120" s="5"/>
      <c r="P120" s="5"/>
      <c r="Q120" s="5"/>
      <c r="R120" s="53"/>
      <c r="S120" s="53"/>
      <c r="T120" s="53"/>
      <c r="U120" s="53"/>
    </row>
    <row r="121" spans="1:21" ht="32.25" hidden="1" customHeight="1">
      <c r="A121" s="29"/>
      <c r="B121" s="46" t="s">
        <v>161</v>
      </c>
      <c r="C121" s="50" t="s">
        <v>96</v>
      </c>
      <c r="D121" s="42"/>
      <c r="E121" s="13"/>
      <c r="F121" s="13">
        <f>0.33/10</f>
        <v>3.3000000000000002E-2</v>
      </c>
      <c r="G121" s="13">
        <v>8916.31</v>
      </c>
      <c r="H121" s="63">
        <f>G121*F121/1000</f>
        <v>0.29423822999999999</v>
      </c>
      <c r="I121" s="13">
        <v>0</v>
      </c>
      <c r="J121" s="5"/>
      <c r="K121" s="5"/>
      <c r="L121" s="5"/>
      <c r="M121" s="5"/>
      <c r="N121" s="5"/>
      <c r="O121" s="5"/>
      <c r="P121" s="5"/>
      <c r="Q121" s="5"/>
      <c r="R121" s="53"/>
      <c r="S121" s="53"/>
      <c r="T121" s="53"/>
      <c r="U121" s="53"/>
    </row>
    <row r="122" spans="1:21" ht="15.75" customHeight="1">
      <c r="A122" s="29"/>
      <c r="B122" s="40" t="s">
        <v>51</v>
      </c>
      <c r="C122" s="36"/>
      <c r="D122" s="44"/>
      <c r="E122" s="36">
        <v>1</v>
      </c>
      <c r="F122" s="36"/>
      <c r="G122" s="36"/>
      <c r="H122" s="36"/>
      <c r="I122" s="31">
        <f>SUM(I92:I121)</f>
        <v>1338.4</v>
      </c>
    </row>
    <row r="123" spans="1:21" ht="15.75" customHeight="1">
      <c r="A123" s="29"/>
      <c r="B123" s="42" t="s">
        <v>78</v>
      </c>
      <c r="C123" s="15"/>
      <c r="D123" s="15"/>
      <c r="E123" s="37"/>
      <c r="F123" s="37"/>
      <c r="G123" s="38"/>
      <c r="H123" s="38"/>
      <c r="I123" s="17">
        <v>0</v>
      </c>
    </row>
    <row r="124" spans="1:21" ht="15.75" customHeight="1">
      <c r="A124" s="45"/>
      <c r="B124" s="41" t="s">
        <v>173</v>
      </c>
      <c r="C124" s="32"/>
      <c r="D124" s="32"/>
      <c r="E124" s="32"/>
      <c r="F124" s="32"/>
      <c r="G124" s="32"/>
      <c r="H124" s="32"/>
      <c r="I124" s="39">
        <f>I90+I122</f>
        <v>116972.45559850002</v>
      </c>
    </row>
    <row r="125" spans="1:21" ht="15.75" customHeight="1">
      <c r="A125" s="240" t="s">
        <v>345</v>
      </c>
      <c r="B125" s="240"/>
      <c r="C125" s="240"/>
      <c r="D125" s="240"/>
      <c r="E125" s="240"/>
      <c r="F125" s="240"/>
      <c r="G125" s="240"/>
      <c r="H125" s="240"/>
      <c r="I125" s="240"/>
    </row>
    <row r="126" spans="1:21" ht="15.75" customHeight="1">
      <c r="A126" s="56"/>
      <c r="B126" s="241" t="s">
        <v>346</v>
      </c>
      <c r="C126" s="241"/>
      <c r="D126" s="241"/>
      <c r="E126" s="241"/>
      <c r="F126" s="241"/>
      <c r="G126" s="241"/>
      <c r="H126" s="61"/>
      <c r="I126" s="3"/>
    </row>
    <row r="127" spans="1:21" ht="15.75" customHeight="1">
      <c r="A127" s="53"/>
      <c r="B127" s="228" t="s">
        <v>6</v>
      </c>
      <c r="C127" s="228"/>
      <c r="D127" s="228"/>
      <c r="E127" s="228"/>
      <c r="F127" s="228"/>
      <c r="G127" s="228"/>
      <c r="H127" s="24"/>
      <c r="I127" s="5"/>
    </row>
    <row r="128" spans="1:21" ht="15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5.75" customHeight="1">
      <c r="A129" s="242" t="s">
        <v>7</v>
      </c>
      <c r="B129" s="242"/>
      <c r="C129" s="242"/>
      <c r="D129" s="242"/>
      <c r="E129" s="242"/>
      <c r="F129" s="242"/>
      <c r="G129" s="242"/>
      <c r="H129" s="242"/>
      <c r="I129" s="242"/>
    </row>
    <row r="130" spans="1:9" ht="15.75" customHeight="1">
      <c r="A130" s="242" t="s">
        <v>8</v>
      </c>
      <c r="B130" s="242"/>
      <c r="C130" s="242"/>
      <c r="D130" s="242"/>
      <c r="E130" s="242"/>
      <c r="F130" s="242"/>
      <c r="G130" s="242"/>
      <c r="H130" s="242"/>
      <c r="I130" s="242"/>
    </row>
    <row r="131" spans="1:9" ht="15.75" customHeight="1">
      <c r="A131" s="232" t="s">
        <v>60</v>
      </c>
      <c r="B131" s="232"/>
      <c r="C131" s="232"/>
      <c r="D131" s="232"/>
      <c r="E131" s="232"/>
      <c r="F131" s="232"/>
      <c r="G131" s="232"/>
      <c r="H131" s="232"/>
      <c r="I131" s="232"/>
    </row>
    <row r="132" spans="1:9" ht="15.75" customHeight="1">
      <c r="A132" s="11"/>
    </row>
    <row r="133" spans="1:9" ht="15.75" customHeight="1">
      <c r="A133" s="226" t="s">
        <v>9</v>
      </c>
      <c r="B133" s="226"/>
      <c r="C133" s="226"/>
      <c r="D133" s="226"/>
      <c r="E133" s="226"/>
      <c r="F133" s="226"/>
      <c r="G133" s="226"/>
      <c r="H133" s="226"/>
      <c r="I133" s="226"/>
    </row>
    <row r="134" spans="1:9" ht="15.75" customHeight="1">
      <c r="A134" s="4"/>
    </row>
    <row r="135" spans="1:9" ht="15.75" customHeight="1">
      <c r="B135" s="55" t="s">
        <v>10</v>
      </c>
      <c r="C135" s="227" t="s">
        <v>88</v>
      </c>
      <c r="D135" s="227"/>
      <c r="E135" s="227"/>
      <c r="F135" s="59"/>
      <c r="I135" s="52"/>
    </row>
    <row r="136" spans="1:9" ht="15.75" customHeight="1">
      <c r="A136" s="53"/>
      <c r="C136" s="228" t="s">
        <v>11</v>
      </c>
      <c r="D136" s="228"/>
      <c r="E136" s="228"/>
      <c r="F136" s="24"/>
      <c r="I136" s="51" t="s">
        <v>12</v>
      </c>
    </row>
    <row r="137" spans="1:9" ht="15.75" customHeight="1">
      <c r="A137" s="25"/>
      <c r="C137" s="12"/>
      <c r="D137" s="12"/>
      <c r="G137" s="12"/>
      <c r="H137" s="12"/>
    </row>
    <row r="138" spans="1:9" ht="15.75" customHeight="1">
      <c r="B138" s="55" t="s">
        <v>13</v>
      </c>
      <c r="C138" s="229"/>
      <c r="D138" s="229"/>
      <c r="E138" s="229"/>
      <c r="F138" s="60"/>
      <c r="I138" s="52"/>
    </row>
    <row r="139" spans="1:9" ht="15.75" customHeight="1">
      <c r="A139" s="53"/>
      <c r="C139" s="230" t="s">
        <v>11</v>
      </c>
      <c r="D139" s="230"/>
      <c r="E139" s="230"/>
      <c r="F139" s="53"/>
      <c r="I139" s="51" t="s">
        <v>12</v>
      </c>
    </row>
    <row r="140" spans="1:9" ht="15.75" customHeight="1">
      <c r="A140" s="4" t="s">
        <v>14</v>
      </c>
    </row>
    <row r="141" spans="1:9" ht="15.75" customHeight="1">
      <c r="A141" s="231" t="s">
        <v>15</v>
      </c>
      <c r="B141" s="231"/>
      <c r="C141" s="231"/>
      <c r="D141" s="231"/>
      <c r="E141" s="231"/>
      <c r="F141" s="231"/>
      <c r="G141" s="231"/>
      <c r="H141" s="231"/>
      <c r="I141" s="231"/>
    </row>
    <row r="142" spans="1:9" ht="45" customHeight="1">
      <c r="A142" s="225" t="s">
        <v>16</v>
      </c>
      <c r="B142" s="225"/>
      <c r="C142" s="225"/>
      <c r="D142" s="225"/>
      <c r="E142" s="225"/>
      <c r="F142" s="225"/>
      <c r="G142" s="225"/>
      <c r="H142" s="225"/>
      <c r="I142" s="225"/>
    </row>
    <row r="143" spans="1:9" ht="30" customHeight="1">
      <c r="A143" s="225" t="s">
        <v>17</v>
      </c>
      <c r="B143" s="225"/>
      <c r="C143" s="225"/>
      <c r="D143" s="225"/>
      <c r="E143" s="225"/>
      <c r="F143" s="225"/>
      <c r="G143" s="225"/>
      <c r="H143" s="225"/>
      <c r="I143" s="225"/>
    </row>
    <row r="144" spans="1:9" ht="30" customHeight="1">
      <c r="A144" s="225" t="s">
        <v>21</v>
      </c>
      <c r="B144" s="225"/>
      <c r="C144" s="225"/>
      <c r="D144" s="225"/>
      <c r="E144" s="225"/>
      <c r="F144" s="225"/>
      <c r="G144" s="225"/>
      <c r="H144" s="225"/>
      <c r="I144" s="225"/>
    </row>
    <row r="145" spans="1:9" ht="15" customHeight="1">
      <c r="A145" s="225" t="s">
        <v>20</v>
      </c>
      <c r="B145" s="225"/>
      <c r="C145" s="225"/>
      <c r="D145" s="225"/>
      <c r="E145" s="225"/>
      <c r="F145" s="225"/>
      <c r="G145" s="225"/>
      <c r="H145" s="225"/>
      <c r="I145" s="225"/>
    </row>
  </sheetData>
  <autoFilter ref="I12:I62"/>
  <mergeCells count="29">
    <mergeCell ref="R67:U67"/>
    <mergeCell ref="A87:I87"/>
    <mergeCell ref="A3:I3"/>
    <mergeCell ref="A4:I4"/>
    <mergeCell ref="A5:I5"/>
    <mergeCell ref="A8:I8"/>
    <mergeCell ref="A10:I10"/>
    <mergeCell ref="A14:I14"/>
    <mergeCell ref="A131:I131"/>
    <mergeCell ref="A15:I15"/>
    <mergeCell ref="A28:I28"/>
    <mergeCell ref="A47:I47"/>
    <mergeCell ref="A57:I57"/>
    <mergeCell ref="A91:I91"/>
    <mergeCell ref="A125:I125"/>
    <mergeCell ref="B126:G126"/>
    <mergeCell ref="B127:G127"/>
    <mergeCell ref="A129:I129"/>
    <mergeCell ref="A130:I130"/>
    <mergeCell ref="A142:I142"/>
    <mergeCell ref="A143:I143"/>
    <mergeCell ref="A144:I144"/>
    <mergeCell ref="A145:I145"/>
    <mergeCell ref="A133:I133"/>
    <mergeCell ref="C135:E135"/>
    <mergeCell ref="C136:E136"/>
    <mergeCell ref="C138:E138"/>
    <mergeCell ref="C139:E139"/>
    <mergeCell ref="A141:I141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32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2"/>
  <sheetViews>
    <sheetView view="pageBreakPreview" topLeftCell="A80" zoomScale="60" workbookViewId="0">
      <selection activeCell="J95" sqref="J95"/>
    </sheetView>
  </sheetViews>
  <sheetFormatPr defaultRowHeight="15"/>
  <cols>
    <col min="1" max="1" width="11.42578125" customWidth="1"/>
    <col min="2" max="2" width="54.7109375" customWidth="1"/>
    <col min="3" max="3" width="18.140625" customWidth="1"/>
    <col min="4" max="4" width="18" customWidth="1"/>
    <col min="5" max="6" width="0" hidden="1" customWidth="1"/>
    <col min="7" max="7" width="15.85546875" customWidth="1"/>
    <col min="8" max="8" width="0" hidden="1" customWidth="1"/>
    <col min="9" max="9" width="16.57031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202</v>
      </c>
      <c r="B3" s="246"/>
      <c r="C3" s="246"/>
      <c r="D3" s="246"/>
      <c r="E3" s="246"/>
      <c r="F3" s="246"/>
      <c r="G3" s="246"/>
      <c r="H3" s="246"/>
      <c r="I3" s="246"/>
    </row>
    <row r="4" spans="1:9" ht="30.7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309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62"/>
      <c r="C6" s="162"/>
      <c r="D6" s="162"/>
      <c r="E6" s="162"/>
      <c r="F6" s="162"/>
      <c r="G6" s="162"/>
      <c r="H6" s="162"/>
      <c r="I6" s="139">
        <v>44135</v>
      </c>
    </row>
    <row r="7" spans="1:9" ht="15.75">
      <c r="B7" s="164"/>
      <c r="C7" s="164"/>
      <c r="D7" s="164"/>
      <c r="E7" s="3"/>
      <c r="F7" s="3"/>
      <c r="G7" s="3"/>
      <c r="H7" s="3"/>
    </row>
    <row r="8" spans="1:9" ht="79.5" customHeight="1">
      <c r="A8" s="249" t="s">
        <v>310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72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3.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8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t="18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" customHeight="1">
      <c r="A29" s="29">
        <v>5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31.5" customHeight="1">
      <c r="A30" s="29">
        <v>6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7.25" customHeight="1">
      <c r="A32" s="29">
        <v>7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 hidden="1">
      <c r="A35" s="252" t="s">
        <v>190</v>
      </c>
      <c r="B35" s="253"/>
      <c r="C35" s="253"/>
      <c r="D35" s="253"/>
      <c r="E35" s="253"/>
      <c r="F35" s="253"/>
      <c r="G35" s="253"/>
      <c r="H35" s="253"/>
      <c r="I35" s="254"/>
    </row>
    <row r="36" spans="1:9" hidden="1">
      <c r="A36" s="29">
        <v>12</v>
      </c>
      <c r="B36" s="66" t="s">
        <v>119</v>
      </c>
      <c r="C36" s="67" t="s">
        <v>112</v>
      </c>
      <c r="D36" s="66" t="s">
        <v>41</v>
      </c>
      <c r="E36" s="68">
        <v>1603.6</v>
      </c>
      <c r="F36" s="69">
        <f>SUM(E36*2/1000)</f>
        <v>3.2071999999999998</v>
      </c>
      <c r="G36" s="13">
        <v>1158.7</v>
      </c>
      <c r="H36" s="70">
        <f t="shared" ref="H36:H44" si="1">SUM(F36*G36/1000)</f>
        <v>3.71618264</v>
      </c>
      <c r="I36" s="13">
        <f>F36/2*G36</f>
        <v>1858.09132</v>
      </c>
    </row>
    <row r="37" spans="1:9" hidden="1">
      <c r="A37" s="29">
        <v>13</v>
      </c>
      <c r="B37" s="66" t="s">
        <v>34</v>
      </c>
      <c r="C37" s="67" t="s">
        <v>112</v>
      </c>
      <c r="D37" s="66" t="s">
        <v>41</v>
      </c>
      <c r="E37" s="68">
        <v>65</v>
      </c>
      <c r="F37" s="69">
        <f>SUM(E37*2/1000)</f>
        <v>0.13</v>
      </c>
      <c r="G37" s="13">
        <v>790.38</v>
      </c>
      <c r="H37" s="70">
        <f t="shared" si="1"/>
        <v>0.1027494</v>
      </c>
      <c r="I37" s="13">
        <f>F37/2*G37</f>
        <v>51.374700000000004</v>
      </c>
    </row>
    <row r="38" spans="1:9" hidden="1">
      <c r="A38" s="29">
        <v>14</v>
      </c>
      <c r="B38" s="66" t="s">
        <v>35</v>
      </c>
      <c r="C38" s="67" t="s">
        <v>112</v>
      </c>
      <c r="D38" s="66" t="s">
        <v>41</v>
      </c>
      <c r="E38" s="68">
        <v>1825.8</v>
      </c>
      <c r="F38" s="69">
        <f>SUM(E38*2/1000)</f>
        <v>3.6515999999999997</v>
      </c>
      <c r="G38" s="13">
        <v>790.38</v>
      </c>
      <c r="H38" s="70">
        <f t="shared" si="1"/>
        <v>2.8861516079999996</v>
      </c>
      <c r="I38" s="13">
        <f t="shared" ref="I38:I43" si="2">F38/2*G38</f>
        <v>1443.0758039999998</v>
      </c>
    </row>
    <row r="39" spans="1:9" hidden="1">
      <c r="A39" s="29">
        <v>15</v>
      </c>
      <c r="B39" s="66" t="s">
        <v>36</v>
      </c>
      <c r="C39" s="67" t="s">
        <v>112</v>
      </c>
      <c r="D39" s="66" t="s">
        <v>41</v>
      </c>
      <c r="E39" s="68">
        <v>3163.96</v>
      </c>
      <c r="F39" s="69">
        <f>SUM(E39*2/1000)</f>
        <v>6.3279199999999998</v>
      </c>
      <c r="G39" s="13">
        <v>827.65</v>
      </c>
      <c r="H39" s="70">
        <f t="shared" si="1"/>
        <v>5.2373029879999997</v>
      </c>
      <c r="I39" s="13">
        <f t="shared" si="2"/>
        <v>2618.6514939999997</v>
      </c>
    </row>
    <row r="40" spans="1:9" hidden="1">
      <c r="A40" s="29">
        <v>16</v>
      </c>
      <c r="B40" s="66" t="s">
        <v>55</v>
      </c>
      <c r="C40" s="67" t="s">
        <v>112</v>
      </c>
      <c r="D40" s="66" t="s">
        <v>167</v>
      </c>
      <c r="E40" s="68">
        <v>5816.5</v>
      </c>
      <c r="F40" s="69">
        <f>SUM(E40*5/1000)</f>
        <v>29.0825</v>
      </c>
      <c r="G40" s="13">
        <v>1655.27</v>
      </c>
      <c r="H40" s="70">
        <f t="shared" si="1"/>
        <v>48.139389774999998</v>
      </c>
      <c r="I40" s="13">
        <f>F40/5*G40</f>
        <v>9627.8779549999999</v>
      </c>
    </row>
    <row r="41" spans="1:9" ht="33.75" hidden="1" customHeight="1">
      <c r="A41" s="29">
        <v>10</v>
      </c>
      <c r="B41" s="66" t="s">
        <v>120</v>
      </c>
      <c r="C41" s="67" t="s">
        <v>112</v>
      </c>
      <c r="D41" s="66" t="s">
        <v>41</v>
      </c>
      <c r="E41" s="68">
        <v>5816.5</v>
      </c>
      <c r="F41" s="69">
        <f>SUM(E41*2/1000)</f>
        <v>11.632999999999999</v>
      </c>
      <c r="G41" s="13">
        <v>1655.27</v>
      </c>
      <c r="H41" s="70">
        <f t="shared" si="1"/>
        <v>19.255755910000001</v>
      </c>
      <c r="I41" s="13">
        <f t="shared" si="2"/>
        <v>9627.8779549999999</v>
      </c>
    </row>
    <row r="42" spans="1:9" ht="29.25" hidden="1" customHeight="1">
      <c r="A42" s="29">
        <v>11</v>
      </c>
      <c r="B42" s="66" t="s">
        <v>121</v>
      </c>
      <c r="C42" s="67" t="s">
        <v>37</v>
      </c>
      <c r="D42" s="66" t="s">
        <v>41</v>
      </c>
      <c r="E42" s="68">
        <v>25</v>
      </c>
      <c r="F42" s="69">
        <f>SUM(E42*2/100)</f>
        <v>0.5</v>
      </c>
      <c r="G42" s="13">
        <v>3724.37</v>
      </c>
      <c r="H42" s="70">
        <f t="shared" si="1"/>
        <v>1.862185</v>
      </c>
      <c r="I42" s="13">
        <f t="shared" si="2"/>
        <v>931.09249999999997</v>
      </c>
    </row>
    <row r="43" spans="1:9" ht="16.5" hidden="1" customHeight="1">
      <c r="A43" s="29">
        <v>12</v>
      </c>
      <c r="B43" s="66" t="s">
        <v>38</v>
      </c>
      <c r="C43" s="67" t="s">
        <v>39</v>
      </c>
      <c r="D43" s="66" t="s">
        <v>41</v>
      </c>
      <c r="E43" s="68">
        <v>1</v>
      </c>
      <c r="F43" s="69">
        <v>0.02</v>
      </c>
      <c r="G43" s="13">
        <v>7709.44</v>
      </c>
      <c r="H43" s="70">
        <f t="shared" si="1"/>
        <v>0.15418879999999999</v>
      </c>
      <c r="I43" s="13">
        <f t="shared" si="2"/>
        <v>77.094399999999993</v>
      </c>
    </row>
    <row r="44" spans="1:9" ht="18" hidden="1" customHeight="1">
      <c r="A44" s="29">
        <v>13</v>
      </c>
      <c r="B44" s="66" t="s">
        <v>40</v>
      </c>
      <c r="C44" s="67" t="s">
        <v>30</v>
      </c>
      <c r="D44" s="66" t="s">
        <v>70</v>
      </c>
      <c r="E44" s="68">
        <v>198</v>
      </c>
      <c r="F44" s="69">
        <f>SUM(E44)*3</f>
        <v>594</v>
      </c>
      <c r="G44" s="13">
        <v>89.59</v>
      </c>
      <c r="H44" s="70">
        <f t="shared" si="1"/>
        <v>53.216459999999998</v>
      </c>
      <c r="I44" s="13">
        <f>F44/3*G44</f>
        <v>17738.82</v>
      </c>
    </row>
    <row r="45" spans="1:9">
      <c r="A45" s="234" t="s">
        <v>170</v>
      </c>
      <c r="B45" s="235"/>
      <c r="C45" s="235"/>
      <c r="D45" s="235"/>
      <c r="E45" s="235"/>
      <c r="F45" s="235"/>
      <c r="G45" s="235"/>
      <c r="H45" s="235"/>
      <c r="I45" s="236"/>
    </row>
    <row r="46" spans="1:9" hidden="1">
      <c r="A46" s="29"/>
      <c r="B46" s="87" t="s">
        <v>42</v>
      </c>
      <c r="C46" s="67"/>
      <c r="D46" s="66"/>
      <c r="E46" s="68"/>
      <c r="F46" s="69"/>
      <c r="G46" s="69"/>
      <c r="H46" s="70"/>
      <c r="I46" s="13"/>
    </row>
    <row r="47" spans="1:9" ht="30" hidden="1">
      <c r="A47" s="29">
        <v>16</v>
      </c>
      <c r="B47" s="66" t="s">
        <v>123</v>
      </c>
      <c r="C47" s="67" t="s">
        <v>104</v>
      </c>
      <c r="D47" s="66" t="s">
        <v>71</v>
      </c>
      <c r="E47" s="68">
        <v>118.3</v>
      </c>
      <c r="F47" s="69">
        <f>E47*6/100</f>
        <v>7.0979999999999999</v>
      </c>
      <c r="G47" s="76">
        <v>2110.4699999999998</v>
      </c>
      <c r="H47" s="70">
        <f>F47*G47/1000</f>
        <v>14.980116059999999</v>
      </c>
      <c r="I47" s="13">
        <f>G47*1.028</f>
        <v>2169.5631599999997</v>
      </c>
    </row>
    <row r="48" spans="1:9" hidden="1">
      <c r="A48" s="29">
        <v>17</v>
      </c>
      <c r="B48" s="66" t="s">
        <v>179</v>
      </c>
      <c r="C48" s="67" t="s">
        <v>104</v>
      </c>
      <c r="D48" s="66" t="s">
        <v>71</v>
      </c>
      <c r="E48" s="75">
        <v>3.78</v>
      </c>
      <c r="F48" s="13">
        <f>E48*6/100</f>
        <v>0.2268</v>
      </c>
      <c r="G48" s="69">
        <v>2110.4699999999998</v>
      </c>
      <c r="H48" s="70">
        <f>SUM(F48*G48/1000)</f>
        <v>0.47865459599999999</v>
      </c>
      <c r="I48" s="13">
        <f>F48/6*G48</f>
        <v>79.77576599999999</v>
      </c>
    </row>
    <row r="49" spans="1:9" hidden="1">
      <c r="A49" s="29">
        <v>15</v>
      </c>
      <c r="B49" s="77" t="s">
        <v>99</v>
      </c>
      <c r="C49" s="67" t="s">
        <v>100</v>
      </c>
      <c r="D49" s="77" t="s">
        <v>41</v>
      </c>
      <c r="E49" s="78">
        <v>5</v>
      </c>
      <c r="F49" s="79">
        <v>10</v>
      </c>
      <c r="G49" s="76">
        <v>246.58</v>
      </c>
      <c r="H49" s="80">
        <v>0.99099999999999999</v>
      </c>
      <c r="I49" s="13">
        <f>F49/2*G49</f>
        <v>1232.9000000000001</v>
      </c>
    </row>
    <row r="50" spans="1:9" ht="17.25" hidden="1" customHeight="1">
      <c r="A50" s="29">
        <v>14</v>
      </c>
      <c r="B50" s="77" t="s">
        <v>180</v>
      </c>
      <c r="C50" s="81" t="s">
        <v>32</v>
      </c>
      <c r="D50" s="77" t="s">
        <v>65</v>
      </c>
      <c r="E50" s="78"/>
      <c r="F50" s="80">
        <v>5</v>
      </c>
      <c r="G50" s="101">
        <v>1645</v>
      </c>
      <c r="H50" s="80">
        <f>SUM(F50*G50/1000)</f>
        <v>8.2249999999999996</v>
      </c>
      <c r="I50" s="101">
        <f>G50*1</f>
        <v>1645</v>
      </c>
    </row>
    <row r="51" spans="1:9" ht="18" customHeight="1">
      <c r="A51" s="29"/>
      <c r="B51" s="88" t="s">
        <v>43</v>
      </c>
      <c r="C51" s="81"/>
      <c r="D51" s="66"/>
      <c r="E51" s="68"/>
      <c r="F51" s="69"/>
      <c r="G51" s="69"/>
      <c r="H51" s="69"/>
      <c r="I51" s="124"/>
    </row>
    <row r="52" spans="1:9" hidden="1">
      <c r="A52" s="29"/>
      <c r="B52" s="77" t="s">
        <v>44</v>
      </c>
      <c r="C52" s="81" t="s">
        <v>52</v>
      </c>
      <c r="D52" s="66" t="s">
        <v>53</v>
      </c>
      <c r="E52" s="68">
        <v>352</v>
      </c>
      <c r="F52" s="69">
        <f>E52/100</f>
        <v>3.52</v>
      </c>
      <c r="G52" s="69">
        <v>1082.47</v>
      </c>
      <c r="H52" s="69">
        <f>G52*F52/1000</f>
        <v>3.8102944000000001</v>
      </c>
      <c r="I52" s="124">
        <v>0</v>
      </c>
    </row>
    <row r="53" spans="1:9" ht="18.75" customHeight="1">
      <c r="A53" s="29">
        <v>8</v>
      </c>
      <c r="B53" s="77" t="s">
        <v>95</v>
      </c>
      <c r="C53" s="81" t="s">
        <v>25</v>
      </c>
      <c r="D53" s="66" t="s">
        <v>221</v>
      </c>
      <c r="E53" s="68">
        <v>200</v>
      </c>
      <c r="F53" s="69">
        <f>E53*12</f>
        <v>2400</v>
      </c>
      <c r="G53" s="69">
        <v>1.4</v>
      </c>
      <c r="H53" s="69">
        <f>G53*F53/1000</f>
        <v>3.36</v>
      </c>
      <c r="I53" s="13">
        <f>F53/12*G53</f>
        <v>280</v>
      </c>
    </row>
    <row r="54" spans="1:9" ht="14.25" customHeight="1">
      <c r="A54" s="29"/>
      <c r="B54" s="88" t="s">
        <v>45</v>
      </c>
      <c r="C54" s="81"/>
      <c r="D54" s="121"/>
      <c r="E54" s="71"/>
      <c r="F54" s="116"/>
      <c r="G54" s="116"/>
      <c r="H54" s="122" t="s">
        <v>129</v>
      </c>
      <c r="I54" s="123"/>
    </row>
    <row r="55" spans="1:9" ht="15.75" customHeight="1">
      <c r="A55" s="29">
        <v>9</v>
      </c>
      <c r="B55" s="214" t="s">
        <v>46</v>
      </c>
      <c r="C55" s="102" t="s">
        <v>122</v>
      </c>
      <c r="D55" s="93" t="s">
        <v>216</v>
      </c>
      <c r="E55" s="17">
        <v>14</v>
      </c>
      <c r="F55" s="115">
        <f>SUM(E55)</f>
        <v>14</v>
      </c>
      <c r="G55" s="33">
        <v>303.35000000000002</v>
      </c>
      <c r="H55" s="63">
        <f t="shared" ref="H55:H74" si="3">SUM(F55*G55/1000)</f>
        <v>4.2469000000000001</v>
      </c>
      <c r="I55" s="13">
        <f>G55*5</f>
        <v>1516.75</v>
      </c>
    </row>
    <row r="56" spans="1:9" hidden="1">
      <c r="A56" s="29"/>
      <c r="B56" s="14" t="s">
        <v>47</v>
      </c>
      <c r="C56" s="16" t="s">
        <v>122</v>
      </c>
      <c r="D56" s="14" t="s">
        <v>65</v>
      </c>
      <c r="E56" s="18">
        <v>7</v>
      </c>
      <c r="F56" s="13">
        <f>SUM(E56)</f>
        <v>7</v>
      </c>
      <c r="G56" s="13">
        <v>104.01</v>
      </c>
      <c r="H56" s="63">
        <f t="shared" si="3"/>
        <v>0.72806999999999999</v>
      </c>
      <c r="I56" s="13">
        <v>0</v>
      </c>
    </row>
    <row r="57" spans="1:9" hidden="1">
      <c r="A57" s="29">
        <v>24</v>
      </c>
      <c r="B57" s="14" t="s">
        <v>48</v>
      </c>
      <c r="C57" s="16" t="s">
        <v>124</v>
      </c>
      <c r="D57" s="14" t="s">
        <v>53</v>
      </c>
      <c r="E57" s="68">
        <v>23808</v>
      </c>
      <c r="F57" s="13">
        <f>SUM(E57/100)</f>
        <v>238.08</v>
      </c>
      <c r="G57" s="13">
        <v>289.37</v>
      </c>
      <c r="H57" s="63">
        <f t="shared" si="3"/>
        <v>68.893209600000006</v>
      </c>
      <c r="I57" s="13">
        <f t="shared" ref="I57:I62" si="4">F57*G57</f>
        <v>68893.209600000002</v>
      </c>
    </row>
    <row r="58" spans="1:9" hidden="1">
      <c r="A58" s="29">
        <v>25</v>
      </c>
      <c r="B58" s="14" t="s">
        <v>49</v>
      </c>
      <c r="C58" s="16" t="s">
        <v>125</v>
      </c>
      <c r="D58" s="14"/>
      <c r="E58" s="68">
        <v>23808</v>
      </c>
      <c r="F58" s="13">
        <f>SUM(E58/1000)</f>
        <v>23.808</v>
      </c>
      <c r="G58" s="13">
        <v>225.35</v>
      </c>
      <c r="H58" s="63">
        <f t="shared" si="3"/>
        <v>5.3651327999999996</v>
      </c>
      <c r="I58" s="13">
        <f t="shared" si="4"/>
        <v>5365.1327999999994</v>
      </c>
    </row>
    <row r="59" spans="1:9" hidden="1">
      <c r="A59" s="29">
        <v>26</v>
      </c>
      <c r="B59" s="14" t="s">
        <v>50</v>
      </c>
      <c r="C59" s="16" t="s">
        <v>76</v>
      </c>
      <c r="D59" s="14" t="s">
        <v>53</v>
      </c>
      <c r="E59" s="68">
        <v>3810</v>
      </c>
      <c r="F59" s="13">
        <f>SUM(E59/100)</f>
        <v>38.1</v>
      </c>
      <c r="G59" s="13">
        <v>2829.78</v>
      </c>
      <c r="H59" s="63">
        <f t="shared" si="3"/>
        <v>107.81461800000001</v>
      </c>
      <c r="I59" s="13">
        <f t="shared" si="4"/>
        <v>107814.61800000002</v>
      </c>
    </row>
    <row r="60" spans="1:9" hidden="1">
      <c r="A60" s="29">
        <v>27</v>
      </c>
      <c r="B60" s="83" t="s">
        <v>126</v>
      </c>
      <c r="C60" s="16" t="s">
        <v>33</v>
      </c>
      <c r="D60" s="14"/>
      <c r="E60" s="68">
        <v>12.8</v>
      </c>
      <c r="F60" s="13">
        <f>SUM(E60)</f>
        <v>12.8</v>
      </c>
      <c r="G60" s="13">
        <v>44.31</v>
      </c>
      <c r="H60" s="63">
        <f t="shared" si="3"/>
        <v>0.56716800000000001</v>
      </c>
      <c r="I60" s="13">
        <f t="shared" si="4"/>
        <v>567.16800000000001</v>
      </c>
    </row>
    <row r="61" spans="1:9" hidden="1">
      <c r="A61" s="29">
        <v>28</v>
      </c>
      <c r="B61" s="83" t="s">
        <v>135</v>
      </c>
      <c r="C61" s="16" t="s">
        <v>33</v>
      </c>
      <c r="D61" s="14"/>
      <c r="E61" s="68">
        <v>12.8</v>
      </c>
      <c r="F61" s="13">
        <f>SUM(E61)</f>
        <v>12.8</v>
      </c>
      <c r="G61" s="13">
        <v>47.79</v>
      </c>
      <c r="H61" s="63">
        <f t="shared" si="3"/>
        <v>0.61171200000000003</v>
      </c>
      <c r="I61" s="13">
        <f t="shared" si="4"/>
        <v>611.71199999999999</v>
      </c>
    </row>
    <row r="62" spans="1:9" hidden="1">
      <c r="A62" s="29">
        <v>20</v>
      </c>
      <c r="B62" s="14" t="s">
        <v>56</v>
      </c>
      <c r="C62" s="16" t="s">
        <v>57</v>
      </c>
      <c r="D62" s="14" t="s">
        <v>53</v>
      </c>
      <c r="E62" s="18">
        <v>6</v>
      </c>
      <c r="F62" s="69">
        <f>SUM(E62)</f>
        <v>6</v>
      </c>
      <c r="G62" s="13">
        <v>68.040000000000006</v>
      </c>
      <c r="H62" s="63">
        <f t="shared" si="3"/>
        <v>0.40823999999999999</v>
      </c>
      <c r="I62" s="13">
        <f t="shared" si="4"/>
        <v>408.24</v>
      </c>
    </row>
    <row r="63" spans="1:9" ht="17.25" customHeight="1">
      <c r="A63" s="29">
        <v>10</v>
      </c>
      <c r="B63" s="83" t="s">
        <v>181</v>
      </c>
      <c r="C63" s="16"/>
      <c r="D63" s="14" t="s">
        <v>222</v>
      </c>
      <c r="E63" s="18">
        <v>1</v>
      </c>
      <c r="F63" s="13">
        <v>12</v>
      </c>
      <c r="G63" s="13">
        <v>1194</v>
      </c>
      <c r="H63" s="63">
        <f t="shared" si="3"/>
        <v>14.327999999999999</v>
      </c>
      <c r="I63" s="13">
        <f>F63/12*G63</f>
        <v>1194</v>
      </c>
    </row>
    <row r="64" spans="1:9" ht="17.25" customHeight="1">
      <c r="A64" s="29"/>
      <c r="B64" s="163" t="s">
        <v>182</v>
      </c>
      <c r="C64" s="16"/>
      <c r="D64" s="14"/>
      <c r="E64" s="18"/>
      <c r="F64" s="57"/>
      <c r="G64" s="13"/>
      <c r="H64" s="63"/>
      <c r="I64" s="13"/>
    </row>
    <row r="65" spans="1:9" ht="28.5" customHeight="1">
      <c r="A65" s="29">
        <v>11</v>
      </c>
      <c r="B65" s="14" t="s">
        <v>183</v>
      </c>
      <c r="C65" s="29" t="s">
        <v>184</v>
      </c>
      <c r="D65" s="14"/>
      <c r="E65" s="18">
        <v>5816.5</v>
      </c>
      <c r="F65" s="69">
        <f>SUM(E65)*12</f>
        <v>69798</v>
      </c>
      <c r="G65" s="13">
        <v>2.37</v>
      </c>
      <c r="H65" s="63">
        <f>SUM(F65*G65/1000)</f>
        <v>165.42126000000002</v>
      </c>
      <c r="I65" s="13">
        <f>F65/12*G65</f>
        <v>13785.105000000001</v>
      </c>
    </row>
    <row r="66" spans="1:9" ht="30.75" customHeight="1">
      <c r="A66" s="29">
        <v>12</v>
      </c>
      <c r="B66" s="46" t="s">
        <v>185</v>
      </c>
      <c r="C66" s="62" t="s">
        <v>122</v>
      </c>
      <c r="D66" s="14" t="s">
        <v>221</v>
      </c>
      <c r="E66" s="118">
        <v>1</v>
      </c>
      <c r="F66" s="79">
        <f>E66*12</f>
        <v>12</v>
      </c>
      <c r="G66" s="101">
        <v>55.55</v>
      </c>
      <c r="H66" s="63">
        <f>SUM(F66*G66/1000)</f>
        <v>0.66659999999999986</v>
      </c>
      <c r="I66" s="13">
        <f>F66/12*G66</f>
        <v>55.55</v>
      </c>
    </row>
    <row r="67" spans="1:9" ht="15.75" hidden="1" customHeight="1">
      <c r="A67" s="110"/>
      <c r="B67" s="163" t="s">
        <v>72</v>
      </c>
      <c r="C67" s="16"/>
      <c r="D67" s="14"/>
      <c r="E67" s="18"/>
      <c r="F67" s="13"/>
      <c r="G67" s="13"/>
      <c r="H67" s="63" t="s">
        <v>129</v>
      </c>
      <c r="I67" s="111"/>
    </row>
    <row r="68" spans="1:9" ht="30" hidden="1">
      <c r="A68" s="110"/>
      <c r="B68" s="14" t="s">
        <v>186</v>
      </c>
      <c r="C68" s="16" t="s">
        <v>30</v>
      </c>
      <c r="D68" s="14" t="s">
        <v>65</v>
      </c>
      <c r="E68" s="18">
        <v>2</v>
      </c>
      <c r="F68" s="69">
        <f>E68</f>
        <v>2</v>
      </c>
      <c r="G68" s="13">
        <v>2112.2800000000002</v>
      </c>
      <c r="H68" s="63">
        <f>G68*F68/1000</f>
        <v>4.2245600000000003</v>
      </c>
      <c r="I68" s="111">
        <v>0</v>
      </c>
    </row>
    <row r="69" spans="1:9" hidden="1">
      <c r="A69" s="110"/>
      <c r="B69" s="46" t="s">
        <v>187</v>
      </c>
      <c r="C69" s="62" t="s">
        <v>122</v>
      </c>
      <c r="D69" s="14" t="s">
        <v>65</v>
      </c>
      <c r="E69" s="18">
        <v>5</v>
      </c>
      <c r="F69" s="13">
        <v>5</v>
      </c>
      <c r="G69" s="13">
        <v>136.19999999999999</v>
      </c>
      <c r="H69" s="63">
        <f>SUM(F69*G69/1000)</f>
        <v>0.68100000000000005</v>
      </c>
      <c r="I69" s="111">
        <v>0</v>
      </c>
    </row>
    <row r="70" spans="1:9" hidden="1">
      <c r="A70" s="110"/>
      <c r="B70" s="14" t="s">
        <v>73</v>
      </c>
      <c r="C70" s="16" t="s">
        <v>188</v>
      </c>
      <c r="D70" s="14" t="s">
        <v>65</v>
      </c>
      <c r="E70" s="18">
        <v>6</v>
      </c>
      <c r="F70" s="13">
        <f>E70/10</f>
        <v>0.6</v>
      </c>
      <c r="G70" s="13">
        <v>684.19</v>
      </c>
      <c r="H70" s="63">
        <f>SUM(F70*G70/1000)</f>
        <v>0.41051399999999999</v>
      </c>
      <c r="I70" s="111">
        <v>0</v>
      </c>
    </row>
    <row r="71" spans="1:9" hidden="1">
      <c r="A71" s="110"/>
      <c r="B71" s="14" t="s">
        <v>74</v>
      </c>
      <c r="C71" s="16" t="s">
        <v>30</v>
      </c>
      <c r="D71" s="14" t="s">
        <v>65</v>
      </c>
      <c r="E71" s="18">
        <v>1</v>
      </c>
      <c r="F71" s="57">
        <v>1</v>
      </c>
      <c r="G71" s="13">
        <v>1163.47</v>
      </c>
      <c r="H71" s="63">
        <f>SUM(F71*G71/1000)</f>
        <v>1.16347</v>
      </c>
      <c r="I71" s="111">
        <v>0</v>
      </c>
    </row>
    <row r="72" spans="1:9" hidden="1">
      <c r="A72" s="110"/>
      <c r="B72" s="46" t="s">
        <v>189</v>
      </c>
      <c r="C72" s="62" t="s">
        <v>122</v>
      </c>
      <c r="D72" s="14" t="s">
        <v>65</v>
      </c>
      <c r="E72" s="18">
        <v>1</v>
      </c>
      <c r="F72" s="69">
        <f>E72</f>
        <v>1</v>
      </c>
      <c r="G72" s="13">
        <v>1670.07</v>
      </c>
      <c r="H72" s="63">
        <f>SUM(F72*G72/1000)</f>
        <v>1.6700699999999999</v>
      </c>
      <c r="I72" s="111">
        <v>0</v>
      </c>
    </row>
    <row r="73" spans="1:9" hidden="1">
      <c r="A73" s="110"/>
      <c r="B73" s="84" t="s">
        <v>75</v>
      </c>
      <c r="C73" s="16"/>
      <c r="D73" s="14"/>
      <c r="E73" s="18"/>
      <c r="F73" s="13"/>
      <c r="G73" s="13" t="s">
        <v>129</v>
      </c>
      <c r="H73" s="63" t="s">
        <v>129</v>
      </c>
      <c r="I73" s="111"/>
    </row>
    <row r="74" spans="1:9" hidden="1">
      <c r="A74" s="110"/>
      <c r="B74" s="42" t="s">
        <v>130</v>
      </c>
      <c r="C74" s="16" t="s">
        <v>76</v>
      </c>
      <c r="D74" s="14"/>
      <c r="E74" s="18"/>
      <c r="F74" s="13">
        <v>0.6</v>
      </c>
      <c r="G74" s="13">
        <v>4144.28</v>
      </c>
      <c r="H74" s="63">
        <f t="shared" si="3"/>
        <v>2.4865679999999997</v>
      </c>
      <c r="I74" s="111">
        <v>0</v>
      </c>
    </row>
    <row r="75" spans="1:9" hidden="1">
      <c r="A75" s="110"/>
      <c r="B75" s="163" t="s">
        <v>127</v>
      </c>
      <c r="C75" s="84"/>
      <c r="D75" s="117"/>
      <c r="E75" s="31"/>
      <c r="F75" s="119"/>
      <c r="G75" s="119"/>
      <c r="H75" s="120">
        <f>SUM(H47:H74)</f>
        <v>411.53215745600005</v>
      </c>
      <c r="I75" s="111"/>
    </row>
    <row r="76" spans="1:9" hidden="1">
      <c r="A76" s="110">
        <v>14</v>
      </c>
      <c r="B76" s="66" t="s">
        <v>128</v>
      </c>
      <c r="C76" s="16"/>
      <c r="D76" s="14"/>
      <c r="E76" s="58"/>
      <c r="F76" s="13">
        <v>1</v>
      </c>
      <c r="G76" s="13">
        <v>9551.4</v>
      </c>
      <c r="H76" s="63">
        <f>G76*F76/1000</f>
        <v>9.5513999999999992</v>
      </c>
      <c r="I76" s="111">
        <f>G76*1</f>
        <v>9551.4</v>
      </c>
    </row>
    <row r="77" spans="1:9">
      <c r="A77" s="243" t="s">
        <v>171</v>
      </c>
      <c r="B77" s="244"/>
      <c r="C77" s="244"/>
      <c r="D77" s="244"/>
      <c r="E77" s="244"/>
      <c r="F77" s="244"/>
      <c r="G77" s="244"/>
      <c r="H77" s="244"/>
      <c r="I77" s="245"/>
    </row>
    <row r="78" spans="1:9" ht="15" customHeight="1">
      <c r="A78" s="110">
        <v>13</v>
      </c>
      <c r="B78" s="66" t="s">
        <v>131</v>
      </c>
      <c r="C78" s="16" t="s">
        <v>54</v>
      </c>
      <c r="D78" s="85"/>
      <c r="E78" s="13">
        <v>5816.5</v>
      </c>
      <c r="F78" s="13">
        <f>SUM(E78*12)</f>
        <v>69798</v>
      </c>
      <c r="G78" s="13">
        <v>3.22</v>
      </c>
      <c r="H78" s="63">
        <f>SUM(F78*G78/1000)</f>
        <v>224.74956000000003</v>
      </c>
      <c r="I78" s="13">
        <f>F78/12*G78</f>
        <v>18729.13</v>
      </c>
    </row>
    <row r="79" spans="1:9" ht="28.5" customHeight="1">
      <c r="A79" s="29">
        <v>14</v>
      </c>
      <c r="B79" s="14" t="s">
        <v>77</v>
      </c>
      <c r="C79" s="16"/>
      <c r="D79" s="85"/>
      <c r="E79" s="68">
        <f>E78</f>
        <v>5816.5</v>
      </c>
      <c r="F79" s="13">
        <f>E79*12</f>
        <v>69798</v>
      </c>
      <c r="G79" s="13">
        <v>3.64</v>
      </c>
      <c r="H79" s="63">
        <f>F79*G79/1000</f>
        <v>254.06471999999999</v>
      </c>
      <c r="I79" s="13">
        <f>F79/12*G79</f>
        <v>21172.06</v>
      </c>
    </row>
    <row r="80" spans="1:9">
      <c r="A80" s="165"/>
      <c r="B80" s="34" t="s">
        <v>79</v>
      </c>
      <c r="C80" s="35"/>
      <c r="D80" s="15"/>
      <c r="E80" s="15"/>
      <c r="F80" s="15"/>
      <c r="G80" s="18"/>
      <c r="H80" s="18"/>
      <c r="I80" s="31">
        <f>I79+I78+I66+I65+I63+I55+I53+I32+I30+I29+I26+I18+I17+I16</f>
        <v>95363.590459400002</v>
      </c>
    </row>
    <row r="81" spans="1:9">
      <c r="A81" s="237" t="s">
        <v>59</v>
      </c>
      <c r="B81" s="238"/>
      <c r="C81" s="238"/>
      <c r="D81" s="238"/>
      <c r="E81" s="238"/>
      <c r="F81" s="238"/>
      <c r="G81" s="238"/>
      <c r="H81" s="238"/>
      <c r="I81" s="239"/>
    </row>
    <row r="82" spans="1:9">
      <c r="A82" s="29">
        <v>15</v>
      </c>
      <c r="B82" s="48" t="s">
        <v>247</v>
      </c>
      <c r="C82" s="91" t="s">
        <v>39</v>
      </c>
      <c r="D82" s="92" t="s">
        <v>329</v>
      </c>
      <c r="E82" s="33"/>
      <c r="F82" s="33">
        <v>7.0000000000000007E-2</v>
      </c>
      <c r="G82" s="33">
        <v>27139.18</v>
      </c>
      <c r="H82" s="90">
        <f>G82*F82/1000</f>
        <v>1.8997426000000002</v>
      </c>
      <c r="I82" s="47">
        <v>0</v>
      </c>
    </row>
    <row r="83" spans="1:9" ht="30">
      <c r="A83" s="29">
        <v>16</v>
      </c>
      <c r="B83" s="48" t="s">
        <v>311</v>
      </c>
      <c r="C83" s="91" t="s">
        <v>193</v>
      </c>
      <c r="D83" s="92" t="s">
        <v>316</v>
      </c>
      <c r="E83" s="33"/>
      <c r="F83" s="33">
        <v>4</v>
      </c>
      <c r="G83" s="33">
        <v>1446.64</v>
      </c>
      <c r="H83" s="90"/>
      <c r="I83" s="47">
        <f>G83*4</f>
        <v>5786.56</v>
      </c>
    </row>
    <row r="84" spans="1:9" ht="30">
      <c r="A84" s="29">
        <v>17</v>
      </c>
      <c r="B84" s="48" t="s">
        <v>206</v>
      </c>
      <c r="C84" s="91" t="s">
        <v>193</v>
      </c>
      <c r="D84" s="93" t="s">
        <v>315</v>
      </c>
      <c r="E84" s="33"/>
      <c r="F84" s="33">
        <v>7.5</v>
      </c>
      <c r="G84" s="33">
        <v>1523.6</v>
      </c>
      <c r="H84" s="90"/>
      <c r="I84" s="47">
        <f>G84*2</f>
        <v>3047.2</v>
      </c>
    </row>
    <row r="85" spans="1:9">
      <c r="A85" s="29">
        <v>18</v>
      </c>
      <c r="B85" s="48" t="s">
        <v>312</v>
      </c>
      <c r="C85" s="91" t="s">
        <v>313</v>
      </c>
      <c r="D85" s="92" t="s">
        <v>317</v>
      </c>
      <c r="E85" s="33"/>
      <c r="F85" s="33">
        <v>1</v>
      </c>
      <c r="G85" s="33">
        <v>647</v>
      </c>
      <c r="H85" s="90"/>
      <c r="I85" s="47">
        <f>G85*1</f>
        <v>647</v>
      </c>
    </row>
    <row r="86" spans="1:9" ht="30">
      <c r="A86" s="29">
        <v>19</v>
      </c>
      <c r="B86" s="48" t="s">
        <v>314</v>
      </c>
      <c r="C86" s="91" t="s">
        <v>122</v>
      </c>
      <c r="D86" s="92"/>
      <c r="E86" s="33"/>
      <c r="F86" s="33">
        <v>2</v>
      </c>
      <c r="G86" s="33">
        <v>1332.01</v>
      </c>
      <c r="H86" s="90"/>
      <c r="I86" s="47">
        <f>G86*2</f>
        <v>2664.02</v>
      </c>
    </row>
    <row r="87" spans="1:9" ht="30">
      <c r="A87" s="29">
        <v>20</v>
      </c>
      <c r="B87" s="48" t="s">
        <v>210</v>
      </c>
      <c r="C87" s="91" t="s">
        <v>37</v>
      </c>
      <c r="D87" s="92" t="s">
        <v>308</v>
      </c>
      <c r="E87" s="33"/>
      <c r="F87" s="33">
        <v>0.11</v>
      </c>
      <c r="G87" s="33">
        <v>4070.89</v>
      </c>
      <c r="H87" s="90"/>
      <c r="I87" s="47">
        <v>0</v>
      </c>
    </row>
    <row r="88" spans="1:9">
      <c r="A88" s="29">
        <v>21</v>
      </c>
      <c r="B88" s="48" t="s">
        <v>319</v>
      </c>
      <c r="C88" s="91" t="s">
        <v>122</v>
      </c>
      <c r="D88" s="92"/>
      <c r="E88" s="33"/>
      <c r="F88" s="33">
        <v>1</v>
      </c>
      <c r="G88" s="33">
        <v>1332.01</v>
      </c>
      <c r="H88" s="90"/>
      <c r="I88" s="47">
        <f>G88*1</f>
        <v>1332.01</v>
      </c>
    </row>
    <row r="89" spans="1:9" ht="18" customHeight="1">
      <c r="A89" s="29"/>
      <c r="B89" s="40" t="s">
        <v>51</v>
      </c>
      <c r="C89" s="36"/>
      <c r="D89" s="44"/>
      <c r="E89" s="36">
        <v>1</v>
      </c>
      <c r="F89" s="36"/>
      <c r="G89" s="36"/>
      <c r="H89" s="36"/>
      <c r="I89" s="31">
        <f>SUM(I82:I88)</f>
        <v>13476.79</v>
      </c>
    </row>
    <row r="90" spans="1:9">
      <c r="A90" s="29"/>
      <c r="B90" s="42" t="s">
        <v>78</v>
      </c>
      <c r="C90" s="15"/>
      <c r="D90" s="15"/>
      <c r="E90" s="37"/>
      <c r="F90" s="37"/>
      <c r="G90" s="38"/>
      <c r="H90" s="38"/>
      <c r="I90" s="17">
        <v>0</v>
      </c>
    </row>
    <row r="91" spans="1:9">
      <c r="A91" s="45"/>
      <c r="B91" s="41" t="s">
        <v>173</v>
      </c>
      <c r="C91" s="32"/>
      <c r="D91" s="32"/>
      <c r="E91" s="32"/>
      <c r="F91" s="32"/>
      <c r="G91" s="32"/>
      <c r="H91" s="32"/>
      <c r="I91" s="39">
        <f>I89+I80</f>
        <v>108840.38045940001</v>
      </c>
    </row>
    <row r="92" spans="1:9" ht="15.75">
      <c r="A92" s="240" t="s">
        <v>371</v>
      </c>
      <c r="B92" s="240"/>
      <c r="C92" s="240"/>
      <c r="D92" s="240"/>
      <c r="E92" s="240"/>
      <c r="F92" s="240"/>
      <c r="G92" s="240"/>
      <c r="H92" s="240"/>
      <c r="I92" s="240"/>
    </row>
    <row r="93" spans="1:9" ht="15.75">
      <c r="A93" s="56"/>
      <c r="B93" s="241" t="s">
        <v>372</v>
      </c>
      <c r="C93" s="241"/>
      <c r="D93" s="241"/>
      <c r="E93" s="241"/>
      <c r="F93" s="241"/>
      <c r="G93" s="241"/>
      <c r="H93" s="61"/>
      <c r="I93" s="3"/>
    </row>
    <row r="94" spans="1:9">
      <c r="A94" s="161"/>
      <c r="B94" s="228" t="s">
        <v>6</v>
      </c>
      <c r="C94" s="228"/>
      <c r="D94" s="228"/>
      <c r="E94" s="228"/>
      <c r="F94" s="228"/>
      <c r="G94" s="228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242" t="s">
        <v>7</v>
      </c>
      <c r="B96" s="242"/>
      <c r="C96" s="242"/>
      <c r="D96" s="242"/>
      <c r="E96" s="242"/>
      <c r="F96" s="242"/>
      <c r="G96" s="242"/>
      <c r="H96" s="242"/>
      <c r="I96" s="242"/>
    </row>
    <row r="97" spans="1:9" ht="15.75">
      <c r="A97" s="242" t="s">
        <v>8</v>
      </c>
      <c r="B97" s="242"/>
      <c r="C97" s="242"/>
      <c r="D97" s="242"/>
      <c r="E97" s="242"/>
      <c r="F97" s="242"/>
      <c r="G97" s="242"/>
      <c r="H97" s="242"/>
      <c r="I97" s="242"/>
    </row>
    <row r="98" spans="1:9" ht="15.75">
      <c r="A98" s="232" t="s">
        <v>60</v>
      </c>
      <c r="B98" s="232"/>
      <c r="C98" s="232"/>
      <c r="D98" s="232"/>
      <c r="E98" s="232"/>
      <c r="F98" s="232"/>
      <c r="G98" s="232"/>
      <c r="H98" s="232"/>
      <c r="I98" s="232"/>
    </row>
    <row r="99" spans="1:9" ht="15.75">
      <c r="A99" s="11"/>
    </row>
    <row r="100" spans="1:9" ht="15.75">
      <c r="A100" s="226" t="s">
        <v>9</v>
      </c>
      <c r="B100" s="226"/>
      <c r="C100" s="226"/>
      <c r="D100" s="226"/>
      <c r="E100" s="226"/>
      <c r="F100" s="226"/>
      <c r="G100" s="226"/>
      <c r="H100" s="226"/>
      <c r="I100" s="226"/>
    </row>
    <row r="101" spans="1:9" ht="15.75">
      <c r="A101" s="4"/>
    </row>
    <row r="102" spans="1:9" ht="15.75">
      <c r="B102" s="164" t="s">
        <v>10</v>
      </c>
      <c r="C102" s="227" t="s">
        <v>318</v>
      </c>
      <c r="D102" s="227"/>
      <c r="E102" s="227"/>
      <c r="F102" s="59"/>
      <c r="I102" s="167"/>
    </row>
    <row r="103" spans="1:9">
      <c r="A103" s="161"/>
      <c r="C103" s="228" t="s">
        <v>11</v>
      </c>
      <c r="D103" s="228"/>
      <c r="E103" s="228"/>
      <c r="F103" s="24"/>
      <c r="I103" s="166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164" t="s">
        <v>13</v>
      </c>
      <c r="C105" s="229"/>
      <c r="D105" s="229"/>
      <c r="E105" s="229"/>
      <c r="F105" s="60"/>
      <c r="I105" s="167"/>
    </row>
    <row r="106" spans="1:9">
      <c r="A106" s="161"/>
      <c r="C106" s="230" t="s">
        <v>11</v>
      </c>
      <c r="D106" s="230"/>
      <c r="E106" s="230"/>
      <c r="F106" s="161"/>
      <c r="I106" s="166" t="s">
        <v>12</v>
      </c>
    </row>
    <row r="107" spans="1:9" ht="15.75">
      <c r="A107" s="4" t="s">
        <v>14</v>
      </c>
    </row>
    <row r="108" spans="1:9">
      <c r="A108" s="231" t="s">
        <v>15</v>
      </c>
      <c r="B108" s="231"/>
      <c r="C108" s="231"/>
      <c r="D108" s="231"/>
      <c r="E108" s="231"/>
      <c r="F108" s="231"/>
      <c r="G108" s="231"/>
      <c r="H108" s="231"/>
      <c r="I108" s="231"/>
    </row>
    <row r="109" spans="1:9" ht="47.25" customHeight="1">
      <c r="A109" s="225" t="s">
        <v>16</v>
      </c>
      <c r="B109" s="225"/>
      <c r="C109" s="225"/>
      <c r="D109" s="225"/>
      <c r="E109" s="225"/>
      <c r="F109" s="225"/>
      <c r="G109" s="225"/>
      <c r="H109" s="225"/>
      <c r="I109" s="225"/>
    </row>
    <row r="110" spans="1:9" ht="33" customHeight="1">
      <c r="A110" s="225" t="s">
        <v>17</v>
      </c>
      <c r="B110" s="225"/>
      <c r="C110" s="225"/>
      <c r="D110" s="225"/>
      <c r="E110" s="225"/>
      <c r="F110" s="225"/>
      <c r="G110" s="225"/>
      <c r="H110" s="225"/>
      <c r="I110" s="225"/>
    </row>
    <row r="111" spans="1:9" ht="34.5" customHeight="1">
      <c r="A111" s="225" t="s">
        <v>21</v>
      </c>
      <c r="B111" s="225"/>
      <c r="C111" s="225"/>
      <c r="D111" s="225"/>
      <c r="E111" s="225"/>
      <c r="F111" s="225"/>
      <c r="G111" s="225"/>
      <c r="H111" s="225"/>
      <c r="I111" s="225"/>
    </row>
    <row r="112" spans="1:9" ht="15.75">
      <c r="A112" s="225" t="s">
        <v>20</v>
      </c>
      <c r="B112" s="225"/>
      <c r="C112" s="225"/>
      <c r="D112" s="225"/>
      <c r="E112" s="225"/>
      <c r="F112" s="225"/>
      <c r="G112" s="225"/>
      <c r="H112" s="225"/>
      <c r="I112" s="225"/>
    </row>
  </sheetData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35:I35"/>
    <mergeCell ref="A45:I45"/>
    <mergeCell ref="A77:I77"/>
    <mergeCell ref="A81:I81"/>
    <mergeCell ref="A92:I92"/>
    <mergeCell ref="B93:G93"/>
    <mergeCell ref="B94:G94"/>
    <mergeCell ref="A96:I96"/>
    <mergeCell ref="A97:I97"/>
    <mergeCell ref="A14:I14"/>
    <mergeCell ref="A3:I3"/>
    <mergeCell ref="A4:I4"/>
    <mergeCell ref="A5:I5"/>
    <mergeCell ref="A8:I8"/>
    <mergeCell ref="A10:I10"/>
  </mergeCells>
  <pageMargins left="0.70866141732283472" right="0.31496062992125984" top="0.74803149606299213" bottom="0.74803149606299213" header="0.31496062992125984" footer="0.31496062992125984"/>
  <pageSetup paperSize="9"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0"/>
  <sheetViews>
    <sheetView view="pageBreakPreview" topLeftCell="A77" zoomScale="60" workbookViewId="0">
      <selection activeCell="A108" sqref="A108:I108"/>
    </sheetView>
  </sheetViews>
  <sheetFormatPr defaultRowHeight="15"/>
  <cols>
    <col min="1" max="1" width="12.7109375" customWidth="1"/>
    <col min="2" max="2" width="49.5703125" customWidth="1"/>
    <col min="3" max="3" width="18" customWidth="1"/>
    <col min="4" max="4" width="18.5703125" customWidth="1"/>
    <col min="5" max="5" width="13" hidden="1" customWidth="1"/>
    <col min="6" max="6" width="14.5703125" hidden="1" customWidth="1"/>
    <col min="7" max="7" width="16.28515625" customWidth="1"/>
    <col min="8" max="8" width="0" hidden="1" customWidth="1"/>
    <col min="9" max="9" width="16.57031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203</v>
      </c>
      <c r="B3" s="246"/>
      <c r="C3" s="246"/>
      <c r="D3" s="246"/>
      <c r="E3" s="246"/>
      <c r="F3" s="246"/>
      <c r="G3" s="246"/>
      <c r="H3" s="246"/>
      <c r="I3" s="246"/>
    </row>
    <row r="4" spans="1:9" ht="37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320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73"/>
      <c r="C6" s="173"/>
      <c r="D6" s="173"/>
      <c r="E6" s="173"/>
      <c r="F6" s="173"/>
      <c r="G6" s="173"/>
      <c r="H6" s="173"/>
      <c r="I6" s="139">
        <v>44165</v>
      </c>
    </row>
    <row r="7" spans="1:9" ht="15.75">
      <c r="B7" s="171"/>
      <c r="C7" s="171"/>
      <c r="D7" s="171"/>
      <c r="E7" s="3"/>
      <c r="F7" s="3"/>
      <c r="G7" s="3"/>
      <c r="H7" s="3"/>
    </row>
    <row r="8" spans="1:9" ht="95.25" customHeight="1">
      <c r="A8" s="249" t="s">
        <v>321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74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63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7.2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6.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t="20.25" hidden="1" customHeight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t="23.25" hidden="1" customHeight="1">
      <c r="A20" s="29">
        <v>4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9.5" hidden="1" customHeight="1">
      <c r="A21" s="29">
        <v>5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t="17.25" hidden="1" customHeight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t="18" hidden="1" customHeight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16.5" hidden="1" customHeight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t="15.75" hidden="1" customHeight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6.5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4" t="s">
        <v>23</v>
      </c>
      <c r="C27" s="67" t="s">
        <v>24</v>
      </c>
      <c r="D27" s="74"/>
      <c r="E27" s="68">
        <v>5816.5</v>
      </c>
      <c r="F27" s="69">
        <f>SUM(E27*12)</f>
        <v>69798</v>
      </c>
      <c r="G27" s="69">
        <v>4.5199999999999996</v>
      </c>
      <c r="H27" s="70">
        <f>SUM(F27*G27/1000)</f>
        <v>315.48695999999995</v>
      </c>
      <c r="I27" s="13">
        <f>F27/12*G27</f>
        <v>26290.579999999998</v>
      </c>
    </row>
    <row r="28" spans="1:9">
      <c r="A28" s="233" t="s">
        <v>85</v>
      </c>
      <c r="B28" s="233"/>
      <c r="C28" s="233"/>
      <c r="D28" s="233"/>
      <c r="E28" s="233"/>
      <c r="F28" s="233"/>
      <c r="G28" s="233"/>
      <c r="H28" s="233"/>
      <c r="I28" s="233"/>
    </row>
    <row r="29" spans="1:9" hidden="1">
      <c r="A29" s="29"/>
      <c r="B29" s="87" t="s">
        <v>28</v>
      </c>
      <c r="C29" s="67"/>
      <c r="D29" s="66"/>
      <c r="E29" s="68"/>
      <c r="F29" s="69"/>
      <c r="G29" s="69"/>
      <c r="H29" s="70"/>
      <c r="I29" s="13"/>
    </row>
    <row r="30" spans="1:9" hidden="1">
      <c r="A30" s="29">
        <v>6</v>
      </c>
      <c r="B30" s="66" t="s">
        <v>111</v>
      </c>
      <c r="C30" s="67" t="s">
        <v>112</v>
      </c>
      <c r="D30" s="66" t="s">
        <v>113</v>
      </c>
      <c r="E30" s="69">
        <v>357.22</v>
      </c>
      <c r="F30" s="69">
        <f>SUM(E30*52/1000)</f>
        <v>18.575440000000004</v>
      </c>
      <c r="G30" s="69">
        <v>212.62</v>
      </c>
      <c r="H30" s="70">
        <f t="shared" ref="H30:H36" si="1">SUM(F30*G30/1000)</f>
        <v>3.9495100528000009</v>
      </c>
      <c r="I30" s="13">
        <f>F30/6*G30</f>
        <v>658.25167546666682</v>
      </c>
    </row>
    <row r="31" spans="1:9" ht="45" hidden="1">
      <c r="A31" s="29">
        <v>7</v>
      </c>
      <c r="B31" s="66" t="s">
        <v>166</v>
      </c>
      <c r="C31" s="67" t="s">
        <v>112</v>
      </c>
      <c r="D31" s="66" t="s">
        <v>114</v>
      </c>
      <c r="E31" s="69">
        <v>475.06</v>
      </c>
      <c r="F31" s="69">
        <f>SUM(E31*78/1000)</f>
        <v>37.054679999999998</v>
      </c>
      <c r="G31" s="69">
        <v>352.77</v>
      </c>
      <c r="H31" s="70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6" t="s">
        <v>27</v>
      </c>
      <c r="C32" s="67" t="s">
        <v>112</v>
      </c>
      <c r="D32" s="66" t="s">
        <v>53</v>
      </c>
      <c r="E32" s="69">
        <v>357.22</v>
      </c>
      <c r="F32" s="69">
        <f>SUM(E32/1000)</f>
        <v>0.35722000000000004</v>
      </c>
      <c r="G32" s="69">
        <v>4119.68</v>
      </c>
      <c r="H32" s="70">
        <f t="shared" si="1"/>
        <v>1.4716320896000001</v>
      </c>
      <c r="I32" s="13">
        <f>F32*G32</f>
        <v>1471.6320896000002</v>
      </c>
    </row>
    <row r="33" spans="1:9" ht="19.5" hidden="1" customHeight="1">
      <c r="A33" s="29">
        <v>8</v>
      </c>
      <c r="B33" s="66" t="s">
        <v>140</v>
      </c>
      <c r="C33" s="67" t="s">
        <v>39</v>
      </c>
      <c r="D33" s="66" t="s">
        <v>175</v>
      </c>
      <c r="E33" s="69">
        <v>5</v>
      </c>
      <c r="F33" s="69">
        <f>E33*155/100</f>
        <v>7.75</v>
      </c>
      <c r="G33" s="69">
        <v>1775.94</v>
      </c>
      <c r="H33" s="70">
        <f>G33*F33/1000</f>
        <v>13.763534999999999</v>
      </c>
      <c r="I33" s="13">
        <f>F33/6*G33</f>
        <v>2293.9225000000001</v>
      </c>
    </row>
    <row r="34" spans="1:9" ht="19.5" hidden="1" customHeight="1">
      <c r="A34" s="29">
        <v>9</v>
      </c>
      <c r="B34" s="66" t="s">
        <v>115</v>
      </c>
      <c r="C34" s="67" t="s">
        <v>30</v>
      </c>
      <c r="D34" s="66" t="s">
        <v>62</v>
      </c>
      <c r="E34" s="73">
        <f>1/3</f>
        <v>0.33333333333333331</v>
      </c>
      <c r="F34" s="69">
        <f>155/3</f>
        <v>51.666666666666664</v>
      </c>
      <c r="G34" s="69">
        <v>77.33</v>
      </c>
      <c r="H34" s="70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6" t="s">
        <v>63</v>
      </c>
      <c r="C35" s="67" t="s">
        <v>33</v>
      </c>
      <c r="D35" s="66" t="s">
        <v>65</v>
      </c>
      <c r="E35" s="68"/>
      <c r="F35" s="69">
        <v>2</v>
      </c>
      <c r="G35" s="69">
        <v>260.95</v>
      </c>
      <c r="H35" s="70">
        <f t="shared" si="1"/>
        <v>0.52190000000000003</v>
      </c>
      <c r="I35" s="13">
        <v>0</v>
      </c>
    </row>
    <row r="36" spans="1:9" ht="22.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1</v>
      </c>
      <c r="G36" s="69">
        <v>1549.92</v>
      </c>
      <c r="H36" s="70">
        <f t="shared" si="1"/>
        <v>1.54992</v>
      </c>
      <c r="I36" s="13">
        <v>0</v>
      </c>
    </row>
    <row r="37" spans="1:9" ht="15" customHeight="1">
      <c r="A37" s="29"/>
      <c r="B37" s="87" t="s">
        <v>5</v>
      </c>
      <c r="C37" s="67"/>
      <c r="D37" s="66"/>
      <c r="E37" s="68"/>
      <c r="F37" s="69"/>
      <c r="G37" s="69"/>
      <c r="H37" s="70" t="s">
        <v>129</v>
      </c>
      <c r="I37" s="13"/>
    </row>
    <row r="38" spans="1:9" ht="17.25" hidden="1" customHeight="1">
      <c r="A38" s="29">
        <v>5</v>
      </c>
      <c r="B38" s="66" t="s">
        <v>26</v>
      </c>
      <c r="C38" s="67" t="s">
        <v>32</v>
      </c>
      <c r="D38" s="66"/>
      <c r="E38" s="68"/>
      <c r="F38" s="69">
        <v>5</v>
      </c>
      <c r="G38" s="69">
        <v>2083</v>
      </c>
      <c r="H38" s="70">
        <f t="shared" ref="H38:H45" si="2">SUM(F38*G38/1000)</f>
        <v>10.414999999999999</v>
      </c>
      <c r="I38" s="13">
        <f>G38*1</f>
        <v>2083</v>
      </c>
    </row>
    <row r="39" spans="1:9" ht="15.75" customHeight="1">
      <c r="A39" s="29">
        <v>5</v>
      </c>
      <c r="B39" s="66" t="s">
        <v>66</v>
      </c>
      <c r="C39" s="67" t="s">
        <v>29</v>
      </c>
      <c r="D39" s="66" t="s">
        <v>216</v>
      </c>
      <c r="E39" s="69">
        <v>469.73</v>
      </c>
      <c r="F39" s="69">
        <f>SUM(E39*30/1000)</f>
        <v>14.091900000000001</v>
      </c>
      <c r="G39" s="69">
        <v>2868.09</v>
      </c>
      <c r="H39" s="70">
        <f t="shared" si="2"/>
        <v>40.416837471000008</v>
      </c>
      <c r="I39" s="13">
        <f t="shared" ref="I39:I45" si="3">F39/6*G39</f>
        <v>6736.1395785000004</v>
      </c>
    </row>
    <row r="40" spans="1:9" ht="30.75" customHeight="1">
      <c r="A40" s="29">
        <v>6</v>
      </c>
      <c r="B40" s="66" t="s">
        <v>67</v>
      </c>
      <c r="C40" s="67" t="s">
        <v>29</v>
      </c>
      <c r="D40" s="66" t="s">
        <v>217</v>
      </c>
      <c r="E40" s="69">
        <v>475.06</v>
      </c>
      <c r="F40" s="69">
        <f>SUM(E40*155/1000)</f>
        <v>73.634299999999996</v>
      </c>
      <c r="G40" s="69">
        <v>478.42</v>
      </c>
      <c r="H40" s="70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6" t="s">
        <v>94</v>
      </c>
      <c r="C41" s="67" t="s">
        <v>133</v>
      </c>
      <c r="D41" s="66" t="s">
        <v>176</v>
      </c>
      <c r="E41" s="68"/>
      <c r="F41" s="69">
        <v>39</v>
      </c>
      <c r="G41" s="69">
        <v>314</v>
      </c>
      <c r="H41" s="70">
        <f>SUM(F41*G41/1000)</f>
        <v>12.246</v>
      </c>
      <c r="I41" s="13">
        <v>0</v>
      </c>
    </row>
    <row r="42" spans="1:9" ht="60" customHeight="1">
      <c r="A42" s="29">
        <v>7</v>
      </c>
      <c r="B42" s="66" t="s">
        <v>82</v>
      </c>
      <c r="C42" s="67" t="s">
        <v>112</v>
      </c>
      <c r="D42" s="66" t="s">
        <v>218</v>
      </c>
      <c r="E42" s="69">
        <v>40.6</v>
      </c>
      <c r="F42" s="69">
        <f>SUM(E42*35/1000)</f>
        <v>1.421</v>
      </c>
      <c r="G42" s="69">
        <v>7915.6</v>
      </c>
      <c r="H42" s="70">
        <f t="shared" si="2"/>
        <v>11.248067600000001</v>
      </c>
      <c r="I42" s="13">
        <f t="shared" si="3"/>
        <v>1874.6779333333334</v>
      </c>
    </row>
    <row r="43" spans="1:9" ht="15" customHeight="1">
      <c r="A43" s="29">
        <v>8</v>
      </c>
      <c r="B43" s="66" t="s">
        <v>118</v>
      </c>
      <c r="C43" s="67" t="s">
        <v>112</v>
      </c>
      <c r="D43" s="66" t="s">
        <v>221</v>
      </c>
      <c r="E43" s="69">
        <v>167.03</v>
      </c>
      <c r="F43" s="69">
        <f>SUM(E43*45/1000)</f>
        <v>7.5163500000000001</v>
      </c>
      <c r="G43" s="69">
        <v>584.74</v>
      </c>
      <c r="H43" s="70">
        <f t="shared" si="2"/>
        <v>4.3951104990000003</v>
      </c>
      <c r="I43" s="13">
        <f>G43*F43/45*1</f>
        <v>97.669122200000004</v>
      </c>
    </row>
    <row r="44" spans="1:9" ht="18" customHeight="1">
      <c r="A44" s="29">
        <v>9</v>
      </c>
      <c r="B44" s="66" t="s">
        <v>69</v>
      </c>
      <c r="C44" s="67" t="s">
        <v>33</v>
      </c>
      <c r="D44" s="66"/>
      <c r="E44" s="68"/>
      <c r="F44" s="69">
        <v>1.2</v>
      </c>
      <c r="G44" s="69">
        <v>800</v>
      </c>
      <c r="H44" s="70">
        <f t="shared" si="2"/>
        <v>0.96</v>
      </c>
      <c r="I44" s="13">
        <f>G44*F44/45*1</f>
        <v>21.333333333333332</v>
      </c>
    </row>
    <row r="45" spans="1:9" ht="36.75" customHeight="1">
      <c r="A45" s="29">
        <v>10</v>
      </c>
      <c r="B45" s="46" t="s">
        <v>177</v>
      </c>
      <c r="C45" s="62" t="s">
        <v>29</v>
      </c>
      <c r="D45" s="66" t="s">
        <v>227</v>
      </c>
      <c r="E45" s="68">
        <v>4.2</v>
      </c>
      <c r="F45" s="69">
        <f>SUM(E45*12/1000)</f>
        <v>5.0400000000000007E-2</v>
      </c>
      <c r="G45" s="69">
        <v>270.61</v>
      </c>
      <c r="H45" s="70">
        <f t="shared" si="2"/>
        <v>1.3638744000000003E-2</v>
      </c>
      <c r="I45" s="13">
        <f t="shared" si="3"/>
        <v>2.2731240000000006</v>
      </c>
    </row>
    <row r="46" spans="1:9" hidden="1">
      <c r="A46" s="252" t="s">
        <v>190</v>
      </c>
      <c r="B46" s="253"/>
      <c r="C46" s="253"/>
      <c r="D46" s="253"/>
      <c r="E46" s="253"/>
      <c r="F46" s="253"/>
      <c r="G46" s="253"/>
      <c r="H46" s="253"/>
      <c r="I46" s="254"/>
    </row>
    <row r="47" spans="1:9" hidden="1">
      <c r="A47" s="29">
        <v>12</v>
      </c>
      <c r="B47" s="66" t="s">
        <v>119</v>
      </c>
      <c r="C47" s="67" t="s">
        <v>112</v>
      </c>
      <c r="D47" s="66" t="s">
        <v>41</v>
      </c>
      <c r="E47" s="68">
        <v>1603.6</v>
      </c>
      <c r="F47" s="69">
        <f>SUM(E47*2/1000)</f>
        <v>3.2071999999999998</v>
      </c>
      <c r="G47" s="13">
        <v>1158.7</v>
      </c>
      <c r="H47" s="70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6" t="s">
        <v>34</v>
      </c>
      <c r="C48" s="67" t="s">
        <v>112</v>
      </c>
      <c r="D48" s="66" t="s">
        <v>41</v>
      </c>
      <c r="E48" s="68">
        <v>65</v>
      </c>
      <c r="F48" s="69">
        <f>SUM(E48*2/1000)</f>
        <v>0.13</v>
      </c>
      <c r="G48" s="13">
        <v>790.38</v>
      </c>
      <c r="H48" s="70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6" t="s">
        <v>35</v>
      </c>
      <c r="C49" s="67" t="s">
        <v>112</v>
      </c>
      <c r="D49" s="66" t="s">
        <v>41</v>
      </c>
      <c r="E49" s="68">
        <v>1825.8</v>
      </c>
      <c r="F49" s="69">
        <f>SUM(E49*2/1000)</f>
        <v>3.6515999999999997</v>
      </c>
      <c r="G49" s="13">
        <v>790.38</v>
      </c>
      <c r="H49" s="70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6" t="s">
        <v>36</v>
      </c>
      <c r="C50" s="67" t="s">
        <v>112</v>
      </c>
      <c r="D50" s="66" t="s">
        <v>41</v>
      </c>
      <c r="E50" s="68">
        <v>3163.96</v>
      </c>
      <c r="F50" s="69">
        <f>SUM(E50*2/1000)</f>
        <v>6.3279199999999998</v>
      </c>
      <c r="G50" s="13">
        <v>827.65</v>
      </c>
      <c r="H50" s="70">
        <f t="shared" si="4"/>
        <v>5.2373029879999997</v>
      </c>
      <c r="I50" s="13">
        <f t="shared" si="5"/>
        <v>2618.6514939999997</v>
      </c>
    </row>
    <row r="51" spans="1:9" hidden="1">
      <c r="A51" s="29">
        <v>16</v>
      </c>
      <c r="B51" s="66" t="s">
        <v>55</v>
      </c>
      <c r="C51" s="67" t="s">
        <v>112</v>
      </c>
      <c r="D51" s="66" t="s">
        <v>167</v>
      </c>
      <c r="E51" s="68">
        <v>5816.5</v>
      </c>
      <c r="F51" s="69">
        <f>SUM(E51*5/1000)</f>
        <v>29.0825</v>
      </c>
      <c r="G51" s="13">
        <v>1655.27</v>
      </c>
      <c r="H51" s="70">
        <f t="shared" si="4"/>
        <v>48.139389774999998</v>
      </c>
      <c r="I51" s="13">
        <f>F51/5*G51</f>
        <v>9627.8779549999999</v>
      </c>
    </row>
    <row r="52" spans="1:9" ht="45" hidden="1">
      <c r="A52" s="29">
        <v>10</v>
      </c>
      <c r="B52" s="66" t="s">
        <v>120</v>
      </c>
      <c r="C52" s="67" t="s">
        <v>112</v>
      </c>
      <c r="D52" s="66" t="s">
        <v>41</v>
      </c>
      <c r="E52" s="68">
        <v>5816.5</v>
      </c>
      <c r="F52" s="69">
        <f>SUM(E52*2/1000)</f>
        <v>11.632999999999999</v>
      </c>
      <c r="G52" s="13">
        <v>1655.27</v>
      </c>
      <c r="H52" s="70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6" t="s">
        <v>121</v>
      </c>
      <c r="C53" s="67" t="s">
        <v>37</v>
      </c>
      <c r="D53" s="66" t="s">
        <v>41</v>
      </c>
      <c r="E53" s="68">
        <v>25</v>
      </c>
      <c r="F53" s="69">
        <f>SUM(E53*2/100)</f>
        <v>0.5</v>
      </c>
      <c r="G53" s="13">
        <v>3724.37</v>
      </c>
      <c r="H53" s="70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6" t="s">
        <v>38</v>
      </c>
      <c r="C54" s="67" t="s">
        <v>39</v>
      </c>
      <c r="D54" s="66" t="s">
        <v>41</v>
      </c>
      <c r="E54" s="68">
        <v>1</v>
      </c>
      <c r="F54" s="69">
        <v>0.02</v>
      </c>
      <c r="G54" s="13">
        <v>7709.44</v>
      </c>
      <c r="H54" s="70">
        <f t="shared" si="4"/>
        <v>0.15418879999999999</v>
      </c>
      <c r="I54" s="13">
        <f t="shared" si="5"/>
        <v>77.094399999999993</v>
      </c>
    </row>
    <row r="55" spans="1:9" hidden="1">
      <c r="A55" s="29">
        <v>13</v>
      </c>
      <c r="B55" s="66" t="s">
        <v>40</v>
      </c>
      <c r="C55" s="67" t="s">
        <v>30</v>
      </c>
      <c r="D55" s="66" t="s">
        <v>70</v>
      </c>
      <c r="E55" s="68">
        <v>198</v>
      </c>
      <c r="F55" s="69">
        <f>SUM(E55)*3</f>
        <v>594</v>
      </c>
      <c r="G55" s="13">
        <v>89.59</v>
      </c>
      <c r="H55" s="70">
        <f t="shared" si="4"/>
        <v>53.216459999999998</v>
      </c>
      <c r="I55" s="13">
        <f>F55/3*G55</f>
        <v>17738.82</v>
      </c>
    </row>
    <row r="56" spans="1:9">
      <c r="A56" s="234" t="s">
        <v>170</v>
      </c>
      <c r="B56" s="235"/>
      <c r="C56" s="235"/>
      <c r="D56" s="235"/>
      <c r="E56" s="235"/>
      <c r="F56" s="235"/>
      <c r="G56" s="235"/>
      <c r="H56" s="235"/>
      <c r="I56" s="236"/>
    </row>
    <row r="57" spans="1:9" hidden="1">
      <c r="A57" s="29"/>
      <c r="B57" s="87" t="s">
        <v>42</v>
      </c>
      <c r="C57" s="67"/>
      <c r="D57" s="66"/>
      <c r="E57" s="68"/>
      <c r="F57" s="69"/>
      <c r="G57" s="69"/>
      <c r="H57" s="70"/>
      <c r="I57" s="13"/>
    </row>
    <row r="58" spans="1:9" ht="45" hidden="1">
      <c r="A58" s="29">
        <v>16</v>
      </c>
      <c r="B58" s="66" t="s">
        <v>123</v>
      </c>
      <c r="C58" s="67" t="s">
        <v>104</v>
      </c>
      <c r="D58" s="66" t="s">
        <v>71</v>
      </c>
      <c r="E58" s="68">
        <v>118.3</v>
      </c>
      <c r="F58" s="69">
        <f>E58*6/100</f>
        <v>7.0979999999999999</v>
      </c>
      <c r="G58" s="76">
        <v>2110.4699999999998</v>
      </c>
      <c r="H58" s="70">
        <f>F58*G58/1000</f>
        <v>14.980116059999999</v>
      </c>
      <c r="I58" s="13">
        <f>G58*1.028</f>
        <v>2169.5631599999997</v>
      </c>
    </row>
    <row r="59" spans="1:9" ht="18.75" hidden="1" customHeight="1">
      <c r="A59" s="29">
        <v>12</v>
      </c>
      <c r="B59" s="66" t="s">
        <v>179</v>
      </c>
      <c r="C59" s="67" t="s">
        <v>104</v>
      </c>
      <c r="D59" s="66" t="s">
        <v>221</v>
      </c>
      <c r="E59" s="75">
        <v>3.78</v>
      </c>
      <c r="F59" s="13">
        <f>E59*6/100</f>
        <v>0.2268</v>
      </c>
      <c r="G59" s="69">
        <v>2110.4699999999998</v>
      </c>
      <c r="H59" s="70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7" t="s">
        <v>99</v>
      </c>
      <c r="C60" s="67" t="s">
        <v>100</v>
      </c>
      <c r="D60" s="77" t="s">
        <v>41</v>
      </c>
      <c r="E60" s="78">
        <v>5</v>
      </c>
      <c r="F60" s="79">
        <v>10</v>
      </c>
      <c r="G60" s="76">
        <v>246.58</v>
      </c>
      <c r="H60" s="80">
        <v>0.99099999999999999</v>
      </c>
      <c r="I60" s="13">
        <f>F60/2*G60</f>
        <v>1232.9000000000001</v>
      </c>
    </row>
    <row r="61" spans="1:9" hidden="1">
      <c r="A61" s="29">
        <v>14</v>
      </c>
      <c r="B61" s="77" t="s">
        <v>180</v>
      </c>
      <c r="C61" s="81" t="s">
        <v>32</v>
      </c>
      <c r="D61" s="77" t="s">
        <v>65</v>
      </c>
      <c r="E61" s="78"/>
      <c r="F61" s="80">
        <v>5</v>
      </c>
      <c r="G61" s="101">
        <v>1645</v>
      </c>
      <c r="H61" s="80">
        <f>SUM(F61*G61/1000)</f>
        <v>8.2249999999999996</v>
      </c>
      <c r="I61" s="101">
        <f>G61*1</f>
        <v>1645</v>
      </c>
    </row>
    <row r="62" spans="1:9" ht="18" customHeight="1">
      <c r="A62" s="29"/>
      <c r="B62" s="88" t="s">
        <v>43</v>
      </c>
      <c r="C62" s="81"/>
      <c r="D62" s="66"/>
      <c r="E62" s="68"/>
      <c r="F62" s="69"/>
      <c r="G62" s="69"/>
      <c r="H62" s="69"/>
      <c r="I62" s="124"/>
    </row>
    <row r="63" spans="1:9" hidden="1">
      <c r="A63" s="29"/>
      <c r="B63" s="77" t="s">
        <v>44</v>
      </c>
      <c r="C63" s="81" t="s">
        <v>52</v>
      </c>
      <c r="D63" s="66" t="s">
        <v>53</v>
      </c>
      <c r="E63" s="68">
        <v>352</v>
      </c>
      <c r="F63" s="69">
        <f>E63/100</f>
        <v>3.52</v>
      </c>
      <c r="G63" s="69">
        <v>1082.47</v>
      </c>
      <c r="H63" s="69">
        <f>G63*F63/1000</f>
        <v>3.8102944000000001</v>
      </c>
      <c r="I63" s="124">
        <v>0</v>
      </c>
    </row>
    <row r="64" spans="1:9" ht="14.25" customHeight="1">
      <c r="A64" s="29">
        <v>11</v>
      </c>
      <c r="B64" s="77" t="s">
        <v>95</v>
      </c>
      <c r="C64" s="81" t="s">
        <v>25</v>
      </c>
      <c r="D64" s="66" t="s">
        <v>221</v>
      </c>
      <c r="E64" s="68">
        <v>200</v>
      </c>
      <c r="F64" s="69">
        <f>E64*12</f>
        <v>2400</v>
      </c>
      <c r="G64" s="69">
        <v>1.4</v>
      </c>
      <c r="H64" s="69">
        <f>G64*F64/1000</f>
        <v>3.36</v>
      </c>
      <c r="I64" s="13">
        <f>F64/12*G64</f>
        <v>280</v>
      </c>
    </row>
    <row r="65" spans="1:9" ht="13.5" customHeight="1">
      <c r="A65" s="29"/>
      <c r="B65" s="88" t="s">
        <v>45</v>
      </c>
      <c r="C65" s="81"/>
      <c r="D65" s="121"/>
      <c r="E65" s="71"/>
      <c r="F65" s="116"/>
      <c r="G65" s="116"/>
      <c r="H65" s="122" t="s">
        <v>129</v>
      </c>
      <c r="I65" s="123"/>
    </row>
    <row r="66" spans="1:9" ht="15.75" customHeight="1">
      <c r="A66" s="29">
        <v>12</v>
      </c>
      <c r="B66" s="14" t="s">
        <v>46</v>
      </c>
      <c r="C66" s="16" t="s">
        <v>122</v>
      </c>
      <c r="D66" s="14" t="s">
        <v>322</v>
      </c>
      <c r="E66" s="18">
        <v>14</v>
      </c>
      <c r="F66" s="13">
        <f>SUM(E66)</f>
        <v>14</v>
      </c>
      <c r="G66" s="13">
        <v>303.35000000000002</v>
      </c>
      <c r="H66" s="63">
        <f t="shared" ref="H66:H85" si="6">SUM(F66*G66/1000)</f>
        <v>4.2469000000000001</v>
      </c>
      <c r="I66" s="13">
        <f>G66*11</f>
        <v>3336.8500000000004</v>
      </c>
    </row>
    <row r="67" spans="1:9" ht="14.25" hidden="1" customHeight="1">
      <c r="A67" s="29"/>
      <c r="B67" s="14" t="s">
        <v>47</v>
      </c>
      <c r="C67" s="16" t="s">
        <v>122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3">
        <f t="shared" si="6"/>
        <v>0.72806999999999999</v>
      </c>
      <c r="I67" s="13">
        <v>0</v>
      </c>
    </row>
    <row r="68" spans="1:9" ht="15" hidden="1" customHeight="1">
      <c r="A68" s="29">
        <v>24</v>
      </c>
      <c r="B68" s="14" t="s">
        <v>48</v>
      </c>
      <c r="C68" s="16" t="s">
        <v>124</v>
      </c>
      <c r="D68" s="14" t="s">
        <v>53</v>
      </c>
      <c r="E68" s="68">
        <v>23808</v>
      </c>
      <c r="F68" s="13">
        <f>SUM(E68/100)</f>
        <v>238.08</v>
      </c>
      <c r="G68" s="13">
        <v>289.37</v>
      </c>
      <c r="H68" s="63">
        <f t="shared" si="6"/>
        <v>68.893209600000006</v>
      </c>
      <c r="I68" s="13">
        <f t="shared" ref="I68:I73" si="7">F68*G68</f>
        <v>68893.209600000002</v>
      </c>
    </row>
    <row r="69" spans="1:9" ht="17.25" hidden="1" customHeight="1">
      <c r="A69" s="29">
        <v>25</v>
      </c>
      <c r="B69" s="14" t="s">
        <v>49</v>
      </c>
      <c r="C69" s="16" t="s">
        <v>125</v>
      </c>
      <c r="D69" s="14"/>
      <c r="E69" s="68">
        <v>23808</v>
      </c>
      <c r="F69" s="13">
        <f>SUM(E69/1000)</f>
        <v>23.808</v>
      </c>
      <c r="G69" s="13">
        <v>225.35</v>
      </c>
      <c r="H69" s="63">
        <f t="shared" si="6"/>
        <v>5.3651327999999996</v>
      </c>
      <c r="I69" s="13">
        <f t="shared" si="7"/>
        <v>5365.1327999999994</v>
      </c>
    </row>
    <row r="70" spans="1:9" ht="17.25" hidden="1" customHeight="1">
      <c r="A70" s="29">
        <v>26</v>
      </c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2829.78</v>
      </c>
      <c r="H70" s="63">
        <f t="shared" si="6"/>
        <v>107.81461800000001</v>
      </c>
      <c r="I70" s="13">
        <f t="shared" si="7"/>
        <v>107814.61800000002</v>
      </c>
    </row>
    <row r="71" spans="1:9" ht="18.75" hidden="1" customHeight="1">
      <c r="A71" s="29">
        <v>27</v>
      </c>
      <c r="B71" s="83" t="s">
        <v>126</v>
      </c>
      <c r="C71" s="16" t="s">
        <v>33</v>
      </c>
      <c r="D71" s="14"/>
      <c r="E71" s="68">
        <v>12.8</v>
      </c>
      <c r="F71" s="13">
        <f>SUM(E71)</f>
        <v>12.8</v>
      </c>
      <c r="G71" s="13">
        <v>44.31</v>
      </c>
      <c r="H71" s="63">
        <f t="shared" si="6"/>
        <v>0.56716800000000001</v>
      </c>
      <c r="I71" s="13">
        <f t="shared" si="7"/>
        <v>567.16800000000001</v>
      </c>
    </row>
    <row r="72" spans="1:9" ht="21.75" hidden="1" customHeight="1">
      <c r="A72" s="29">
        <v>28</v>
      </c>
      <c r="B72" s="83" t="s">
        <v>135</v>
      </c>
      <c r="C72" s="16" t="s">
        <v>33</v>
      </c>
      <c r="D72" s="14"/>
      <c r="E72" s="68">
        <v>12.8</v>
      </c>
      <c r="F72" s="13">
        <f>SUM(E72)</f>
        <v>12.8</v>
      </c>
      <c r="G72" s="13">
        <v>47.79</v>
      </c>
      <c r="H72" s="63">
        <f t="shared" si="6"/>
        <v>0.61171200000000003</v>
      </c>
      <c r="I72" s="13">
        <f t="shared" si="7"/>
        <v>611.71199999999999</v>
      </c>
    </row>
    <row r="73" spans="1:9" ht="30" hidden="1" customHeight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9">
        <f>SUM(E73)</f>
        <v>6</v>
      </c>
      <c r="G73" s="13">
        <v>68.040000000000006</v>
      </c>
      <c r="H73" s="63">
        <f t="shared" si="6"/>
        <v>0.40823999999999999</v>
      </c>
      <c r="I73" s="13">
        <f t="shared" si="7"/>
        <v>408.24</v>
      </c>
    </row>
    <row r="74" spans="1:9" ht="33" customHeight="1">
      <c r="A74" s="29">
        <v>13</v>
      </c>
      <c r="B74" s="83" t="s">
        <v>181</v>
      </c>
      <c r="C74" s="16"/>
      <c r="D74" s="14" t="s">
        <v>222</v>
      </c>
      <c r="E74" s="18">
        <v>1</v>
      </c>
      <c r="F74" s="13">
        <v>12</v>
      </c>
      <c r="G74" s="13">
        <v>1194</v>
      </c>
      <c r="H74" s="63">
        <f t="shared" si="6"/>
        <v>14.327999999999999</v>
      </c>
      <c r="I74" s="13">
        <f>F74/12*G74</f>
        <v>1194</v>
      </c>
    </row>
    <row r="75" spans="1:9" ht="14.25" customHeight="1">
      <c r="A75" s="29"/>
      <c r="B75" s="174" t="s">
        <v>182</v>
      </c>
      <c r="C75" s="16"/>
      <c r="D75" s="14"/>
      <c r="E75" s="18"/>
      <c r="F75" s="57"/>
      <c r="G75" s="13"/>
      <c r="H75" s="63"/>
      <c r="I75" s="13"/>
    </row>
    <row r="76" spans="1:9" ht="35.25" customHeight="1">
      <c r="A76" s="29">
        <v>14</v>
      </c>
      <c r="B76" s="14" t="s">
        <v>183</v>
      </c>
      <c r="C76" s="29" t="s">
        <v>184</v>
      </c>
      <c r="D76" s="14"/>
      <c r="E76" s="18">
        <v>5816.5</v>
      </c>
      <c r="F76" s="69">
        <f>SUM(E76)*12</f>
        <v>69798</v>
      </c>
      <c r="G76" s="13">
        <v>2.37</v>
      </c>
      <c r="H76" s="63">
        <f>SUM(F76*G76/1000)</f>
        <v>165.42126000000002</v>
      </c>
      <c r="I76" s="13">
        <f>F76/12*G76</f>
        <v>13785.105000000001</v>
      </c>
    </row>
    <row r="77" spans="1:9" ht="30" customHeight="1">
      <c r="A77" s="29">
        <v>15</v>
      </c>
      <c r="B77" s="46" t="s">
        <v>185</v>
      </c>
      <c r="C77" s="62" t="s">
        <v>122</v>
      </c>
      <c r="D77" s="14" t="s">
        <v>222</v>
      </c>
      <c r="E77" s="118">
        <v>1</v>
      </c>
      <c r="F77" s="79">
        <f>E77*12</f>
        <v>12</v>
      </c>
      <c r="G77" s="101">
        <v>55.55</v>
      </c>
      <c r="H77" s="63">
        <f>SUM(F77*G77/1000)</f>
        <v>0.66659999999999986</v>
      </c>
      <c r="I77" s="13">
        <f>F77/12*G77</f>
        <v>55.55</v>
      </c>
    </row>
    <row r="78" spans="1:9" ht="15" hidden="1" customHeight="1">
      <c r="A78" s="110"/>
      <c r="B78" s="174" t="s">
        <v>72</v>
      </c>
      <c r="C78" s="16"/>
      <c r="D78" s="14"/>
      <c r="E78" s="18"/>
      <c r="F78" s="13"/>
      <c r="G78" s="13"/>
      <c r="H78" s="63" t="s">
        <v>129</v>
      </c>
      <c r="I78" s="111"/>
    </row>
    <row r="79" spans="1:9" ht="30" hidden="1">
      <c r="A79" s="110"/>
      <c r="B79" s="14" t="s">
        <v>186</v>
      </c>
      <c r="C79" s="16" t="s">
        <v>30</v>
      </c>
      <c r="D79" s="14" t="s">
        <v>65</v>
      </c>
      <c r="E79" s="18">
        <v>2</v>
      </c>
      <c r="F79" s="69">
        <f>E79</f>
        <v>2</v>
      </c>
      <c r="G79" s="13">
        <v>2112.2800000000002</v>
      </c>
      <c r="H79" s="63">
        <f>G79*F79/1000</f>
        <v>4.2245600000000003</v>
      </c>
      <c r="I79" s="111">
        <v>0</v>
      </c>
    </row>
    <row r="80" spans="1:9" hidden="1">
      <c r="A80" s="110"/>
      <c r="B80" s="46" t="s">
        <v>187</v>
      </c>
      <c r="C80" s="62" t="s">
        <v>122</v>
      </c>
      <c r="D80" s="14" t="s">
        <v>65</v>
      </c>
      <c r="E80" s="18">
        <v>5</v>
      </c>
      <c r="F80" s="13">
        <v>5</v>
      </c>
      <c r="G80" s="13">
        <v>136.19999999999999</v>
      </c>
      <c r="H80" s="63">
        <f>SUM(F80*G80/1000)</f>
        <v>0.68100000000000005</v>
      </c>
      <c r="I80" s="111">
        <v>0</v>
      </c>
    </row>
    <row r="81" spans="1:9" hidden="1">
      <c r="A81" s="110"/>
      <c r="B81" s="14" t="s">
        <v>73</v>
      </c>
      <c r="C81" s="16" t="s">
        <v>188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3">
        <f>SUM(F81*G81/1000)</f>
        <v>0.41051399999999999</v>
      </c>
      <c r="I81" s="111">
        <v>0</v>
      </c>
    </row>
    <row r="82" spans="1:9" hidden="1">
      <c r="A82" s="110"/>
      <c r="B82" s="14" t="s">
        <v>74</v>
      </c>
      <c r="C82" s="16" t="s">
        <v>30</v>
      </c>
      <c r="D82" s="14" t="s">
        <v>65</v>
      </c>
      <c r="E82" s="18">
        <v>1</v>
      </c>
      <c r="F82" s="57">
        <v>1</v>
      </c>
      <c r="G82" s="13">
        <v>1163.47</v>
      </c>
      <c r="H82" s="63">
        <f>SUM(F82*G82/1000)</f>
        <v>1.16347</v>
      </c>
      <c r="I82" s="111">
        <v>0</v>
      </c>
    </row>
    <row r="83" spans="1:9" hidden="1">
      <c r="A83" s="110"/>
      <c r="B83" s="46" t="s">
        <v>189</v>
      </c>
      <c r="C83" s="62" t="s">
        <v>122</v>
      </c>
      <c r="D83" s="14" t="s">
        <v>65</v>
      </c>
      <c r="E83" s="18">
        <v>1</v>
      </c>
      <c r="F83" s="69">
        <f>E83</f>
        <v>1</v>
      </c>
      <c r="G83" s="13">
        <v>1670.07</v>
      </c>
      <c r="H83" s="63">
        <f>SUM(F83*G83/1000)</f>
        <v>1.6700699999999999</v>
      </c>
      <c r="I83" s="111">
        <v>0</v>
      </c>
    </row>
    <row r="84" spans="1:9" hidden="1">
      <c r="A84" s="110"/>
      <c r="B84" s="84" t="s">
        <v>75</v>
      </c>
      <c r="C84" s="16"/>
      <c r="D84" s="14"/>
      <c r="E84" s="18"/>
      <c r="F84" s="13"/>
      <c r="G84" s="13" t="s">
        <v>129</v>
      </c>
      <c r="H84" s="63" t="s">
        <v>129</v>
      </c>
      <c r="I84" s="111"/>
    </row>
    <row r="85" spans="1:9" hidden="1">
      <c r="A85" s="110"/>
      <c r="B85" s="42" t="s">
        <v>130</v>
      </c>
      <c r="C85" s="16" t="s">
        <v>76</v>
      </c>
      <c r="D85" s="14"/>
      <c r="E85" s="18"/>
      <c r="F85" s="13">
        <v>0.6</v>
      </c>
      <c r="G85" s="13">
        <v>4144.28</v>
      </c>
      <c r="H85" s="63">
        <f t="shared" si="6"/>
        <v>2.4865679999999997</v>
      </c>
      <c r="I85" s="111">
        <v>0</v>
      </c>
    </row>
    <row r="86" spans="1:9" ht="37.5" hidden="1" customHeight="1">
      <c r="A86" s="110"/>
      <c r="B86" s="174" t="s">
        <v>127</v>
      </c>
      <c r="C86" s="84"/>
      <c r="D86" s="117"/>
      <c r="E86" s="31"/>
      <c r="F86" s="119"/>
      <c r="G86" s="119"/>
      <c r="H86" s="120">
        <f>SUM(H58:H85)</f>
        <v>411.53215745600005</v>
      </c>
      <c r="I86" s="111"/>
    </row>
    <row r="87" spans="1:9" hidden="1">
      <c r="A87" s="110"/>
      <c r="B87" s="66" t="s">
        <v>128</v>
      </c>
      <c r="C87" s="16"/>
      <c r="D87" s="14"/>
      <c r="E87" s="58"/>
      <c r="F87" s="13">
        <v>1</v>
      </c>
      <c r="G87" s="13">
        <v>24117.599999999999</v>
      </c>
      <c r="H87" s="63">
        <f>G87*F87/1000</f>
        <v>24.117599999999999</v>
      </c>
      <c r="I87" s="111">
        <v>0</v>
      </c>
    </row>
    <row r="88" spans="1:9">
      <c r="A88" s="243" t="s">
        <v>171</v>
      </c>
      <c r="B88" s="244"/>
      <c r="C88" s="244"/>
      <c r="D88" s="244"/>
      <c r="E88" s="244"/>
      <c r="F88" s="244"/>
      <c r="G88" s="244"/>
      <c r="H88" s="244"/>
      <c r="I88" s="245"/>
    </row>
    <row r="89" spans="1:9" ht="15.75" customHeight="1">
      <c r="A89" s="110">
        <v>16</v>
      </c>
      <c r="B89" s="66" t="s">
        <v>131</v>
      </c>
      <c r="C89" s="16" t="s">
        <v>54</v>
      </c>
      <c r="D89" s="85"/>
      <c r="E89" s="13">
        <v>5816.5</v>
      </c>
      <c r="F89" s="13">
        <f>SUM(E89*12)</f>
        <v>69798</v>
      </c>
      <c r="G89" s="13">
        <v>3.22</v>
      </c>
      <c r="H89" s="63">
        <f>SUM(F89*G89/1000)</f>
        <v>224.74956000000003</v>
      </c>
      <c r="I89" s="13">
        <f>F89/12*G89</f>
        <v>18729.13</v>
      </c>
    </row>
    <row r="90" spans="1:9" ht="30.75" customHeight="1">
      <c r="A90" s="29">
        <v>17</v>
      </c>
      <c r="B90" s="14" t="s">
        <v>77</v>
      </c>
      <c r="C90" s="16"/>
      <c r="D90" s="85"/>
      <c r="E90" s="68">
        <f>E89</f>
        <v>5816.5</v>
      </c>
      <c r="F90" s="13">
        <f>E90*12</f>
        <v>69798</v>
      </c>
      <c r="G90" s="13">
        <v>3.64</v>
      </c>
      <c r="H90" s="63">
        <f>F90*G90/1000</f>
        <v>254.06471999999999</v>
      </c>
      <c r="I90" s="13">
        <f>F90/12*G90</f>
        <v>21172.06</v>
      </c>
    </row>
    <row r="91" spans="1:9">
      <c r="A91" s="172"/>
      <c r="B91" s="34" t="s">
        <v>79</v>
      </c>
      <c r="C91" s="35"/>
      <c r="D91" s="15"/>
      <c r="E91" s="15"/>
      <c r="F91" s="15"/>
      <c r="G91" s="18"/>
      <c r="H91" s="18"/>
      <c r="I91" s="31">
        <f>I90+I89+I77+I76+I74+I66+I64+I45+I44+I43+I42+I40+I39+I26+I18+I17+I16</f>
        <v>106656.33309903333</v>
      </c>
    </row>
    <row r="92" spans="1:9">
      <c r="A92" s="237" t="s">
        <v>59</v>
      </c>
      <c r="B92" s="238"/>
      <c r="C92" s="238"/>
      <c r="D92" s="238"/>
      <c r="E92" s="238"/>
      <c r="F92" s="238"/>
      <c r="G92" s="238"/>
      <c r="H92" s="238"/>
      <c r="I92" s="239"/>
    </row>
    <row r="93" spans="1:9">
      <c r="A93" s="29">
        <v>18</v>
      </c>
      <c r="B93" s="48" t="s">
        <v>150</v>
      </c>
      <c r="C93" s="91" t="s">
        <v>83</v>
      </c>
      <c r="D93" s="92" t="s">
        <v>323</v>
      </c>
      <c r="E93" s="33"/>
      <c r="F93" s="33">
        <v>15</v>
      </c>
      <c r="G93" s="33">
        <v>222.63</v>
      </c>
      <c r="H93" s="90"/>
      <c r="I93" s="47">
        <f>G93*1</f>
        <v>222.63</v>
      </c>
    </row>
    <row r="94" spans="1:9">
      <c r="A94" s="29">
        <v>19</v>
      </c>
      <c r="B94" s="48" t="s">
        <v>81</v>
      </c>
      <c r="C94" s="91" t="s">
        <v>122</v>
      </c>
      <c r="D94" s="92"/>
      <c r="E94" s="33"/>
      <c r="F94" s="33">
        <v>16</v>
      </c>
      <c r="G94" s="33">
        <v>215.85</v>
      </c>
      <c r="H94" s="90"/>
      <c r="I94" s="47">
        <f>G94*3</f>
        <v>647.54999999999995</v>
      </c>
    </row>
    <row r="95" spans="1:9" ht="30">
      <c r="A95" s="29">
        <v>20</v>
      </c>
      <c r="B95" s="182" t="s">
        <v>229</v>
      </c>
      <c r="C95" s="35" t="s">
        <v>230</v>
      </c>
      <c r="D95" s="92"/>
      <c r="E95" s="33"/>
      <c r="F95" s="33">
        <v>0.2</v>
      </c>
      <c r="G95" s="33">
        <v>1873.58</v>
      </c>
      <c r="H95" s="90"/>
      <c r="I95" s="47">
        <f>G95*0.2</f>
        <v>374.71600000000001</v>
      </c>
    </row>
    <row r="96" spans="1:9">
      <c r="A96" s="29">
        <v>21</v>
      </c>
      <c r="B96" s="48" t="s">
        <v>231</v>
      </c>
      <c r="C96" s="91" t="s">
        <v>232</v>
      </c>
      <c r="D96" s="92"/>
      <c r="E96" s="33"/>
      <c r="F96" s="33">
        <v>2</v>
      </c>
      <c r="G96" s="33">
        <v>923.85</v>
      </c>
      <c r="H96" s="90"/>
      <c r="I96" s="47">
        <f>G96*2</f>
        <v>1847.7</v>
      </c>
    </row>
    <row r="97" spans="1:9" ht="19.5" customHeight="1">
      <c r="A97" s="29"/>
      <c r="B97" s="40" t="s">
        <v>51</v>
      </c>
      <c r="C97" s="36"/>
      <c r="D97" s="44"/>
      <c r="E97" s="36">
        <v>1</v>
      </c>
      <c r="F97" s="36"/>
      <c r="G97" s="36"/>
      <c r="H97" s="36"/>
      <c r="I97" s="31">
        <f>SUM(I93:I96)</f>
        <v>3092.596</v>
      </c>
    </row>
    <row r="98" spans="1:9">
      <c r="A98" s="29"/>
      <c r="B98" s="42" t="s">
        <v>78</v>
      </c>
      <c r="C98" s="15"/>
      <c r="D98" s="15"/>
      <c r="E98" s="37"/>
      <c r="F98" s="37"/>
      <c r="G98" s="38"/>
      <c r="H98" s="38"/>
      <c r="I98" s="17">
        <v>0</v>
      </c>
    </row>
    <row r="99" spans="1:9">
      <c r="A99" s="45"/>
      <c r="B99" s="41" t="s">
        <v>173</v>
      </c>
      <c r="C99" s="32"/>
      <c r="D99" s="32"/>
      <c r="E99" s="32"/>
      <c r="F99" s="32"/>
      <c r="G99" s="32"/>
      <c r="H99" s="32"/>
      <c r="I99" s="39">
        <f>I97+I91</f>
        <v>109748.92909903334</v>
      </c>
    </row>
    <row r="100" spans="1:9" ht="15.75">
      <c r="A100" s="240" t="s">
        <v>324</v>
      </c>
      <c r="B100" s="240"/>
      <c r="C100" s="240"/>
      <c r="D100" s="240"/>
      <c r="E100" s="240"/>
      <c r="F100" s="240"/>
      <c r="G100" s="240"/>
      <c r="H100" s="240"/>
      <c r="I100" s="240"/>
    </row>
    <row r="101" spans="1:9" ht="15.75">
      <c r="A101" s="56"/>
      <c r="B101" s="241" t="s">
        <v>325</v>
      </c>
      <c r="C101" s="241"/>
      <c r="D101" s="241"/>
      <c r="E101" s="241"/>
      <c r="F101" s="241"/>
      <c r="G101" s="241"/>
      <c r="H101" s="61"/>
      <c r="I101" s="3"/>
    </row>
    <row r="102" spans="1:9">
      <c r="A102" s="170"/>
      <c r="B102" s="228" t="s">
        <v>6</v>
      </c>
      <c r="C102" s="228"/>
      <c r="D102" s="228"/>
      <c r="E102" s="228"/>
      <c r="F102" s="228"/>
      <c r="G102" s="228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242" t="s">
        <v>7</v>
      </c>
      <c r="B104" s="242"/>
      <c r="C104" s="242"/>
      <c r="D104" s="242"/>
      <c r="E104" s="242"/>
      <c r="F104" s="242"/>
      <c r="G104" s="242"/>
      <c r="H104" s="242"/>
      <c r="I104" s="242"/>
    </row>
    <row r="105" spans="1:9" ht="15.75">
      <c r="A105" s="242" t="s">
        <v>8</v>
      </c>
      <c r="B105" s="242"/>
      <c r="C105" s="242"/>
      <c r="D105" s="242"/>
      <c r="E105" s="242"/>
      <c r="F105" s="242"/>
      <c r="G105" s="242"/>
      <c r="H105" s="242"/>
      <c r="I105" s="242"/>
    </row>
    <row r="106" spans="1:9" ht="15.75">
      <c r="A106" s="232" t="s">
        <v>60</v>
      </c>
      <c r="B106" s="232"/>
      <c r="C106" s="232"/>
      <c r="D106" s="232"/>
      <c r="E106" s="232"/>
      <c r="F106" s="232"/>
      <c r="G106" s="232"/>
      <c r="H106" s="232"/>
      <c r="I106" s="232"/>
    </row>
    <row r="107" spans="1:9" ht="15.75">
      <c r="A107" s="11"/>
    </row>
    <row r="108" spans="1:9" ht="15.75">
      <c r="A108" s="226" t="s">
        <v>9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ht="15.75">
      <c r="A109" s="4"/>
    </row>
    <row r="110" spans="1:9" ht="15.75">
      <c r="B110" s="171" t="s">
        <v>10</v>
      </c>
      <c r="C110" s="227" t="s">
        <v>326</v>
      </c>
      <c r="D110" s="227"/>
      <c r="E110" s="227"/>
      <c r="F110" s="59"/>
      <c r="I110" s="169"/>
    </row>
    <row r="111" spans="1:9">
      <c r="A111" s="170"/>
      <c r="C111" s="228" t="s">
        <v>11</v>
      </c>
      <c r="D111" s="228"/>
      <c r="E111" s="228"/>
      <c r="F111" s="24"/>
      <c r="I111" s="168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171" t="s">
        <v>13</v>
      </c>
      <c r="C113" s="229"/>
      <c r="D113" s="229"/>
      <c r="E113" s="229"/>
      <c r="F113" s="60"/>
      <c r="I113" s="169"/>
    </row>
    <row r="114" spans="1:9">
      <c r="A114" s="170"/>
      <c r="C114" s="230" t="s">
        <v>11</v>
      </c>
      <c r="D114" s="230"/>
      <c r="E114" s="230"/>
      <c r="F114" s="170"/>
      <c r="I114" s="168" t="s">
        <v>12</v>
      </c>
    </row>
    <row r="115" spans="1:9" ht="15.75">
      <c r="A115" s="4" t="s">
        <v>14</v>
      </c>
    </row>
    <row r="116" spans="1:9">
      <c r="A116" s="231" t="s">
        <v>15</v>
      </c>
      <c r="B116" s="231"/>
      <c r="C116" s="231"/>
      <c r="D116" s="231"/>
      <c r="E116" s="231"/>
      <c r="F116" s="231"/>
      <c r="G116" s="231"/>
      <c r="H116" s="231"/>
      <c r="I116" s="231"/>
    </row>
    <row r="117" spans="1:9" ht="48.75" customHeight="1">
      <c r="A117" s="225" t="s">
        <v>16</v>
      </c>
      <c r="B117" s="225"/>
      <c r="C117" s="225"/>
      <c r="D117" s="225"/>
      <c r="E117" s="225"/>
      <c r="F117" s="225"/>
      <c r="G117" s="225"/>
      <c r="H117" s="225"/>
      <c r="I117" s="225"/>
    </row>
    <row r="118" spans="1:9" ht="34.5" customHeight="1">
      <c r="A118" s="225" t="s">
        <v>17</v>
      </c>
      <c r="B118" s="225"/>
      <c r="C118" s="225"/>
      <c r="D118" s="225"/>
      <c r="E118" s="225"/>
      <c r="F118" s="225"/>
      <c r="G118" s="225"/>
      <c r="H118" s="225"/>
      <c r="I118" s="225"/>
    </row>
    <row r="119" spans="1:9" ht="35.25" customHeight="1">
      <c r="A119" s="225" t="s">
        <v>21</v>
      </c>
      <c r="B119" s="225"/>
      <c r="C119" s="225"/>
      <c r="D119" s="225"/>
      <c r="E119" s="225"/>
      <c r="F119" s="225"/>
      <c r="G119" s="225"/>
      <c r="H119" s="225"/>
      <c r="I119" s="225"/>
    </row>
    <row r="120" spans="1:9" ht="15.75">
      <c r="A120" s="225" t="s">
        <v>20</v>
      </c>
      <c r="B120" s="225"/>
      <c r="C120" s="225"/>
      <c r="D120" s="225"/>
      <c r="E120" s="225"/>
      <c r="F120" s="225"/>
      <c r="G120" s="225"/>
      <c r="H120" s="225"/>
      <c r="I120" s="225"/>
    </row>
  </sheetData>
  <mergeCells count="28">
    <mergeCell ref="A14:I14"/>
    <mergeCell ref="A3:I3"/>
    <mergeCell ref="A4:I4"/>
    <mergeCell ref="A5:I5"/>
    <mergeCell ref="A8:I8"/>
    <mergeCell ref="A10:I10"/>
    <mergeCell ref="A106:I106"/>
    <mergeCell ref="A15:I15"/>
    <mergeCell ref="A28:I28"/>
    <mergeCell ref="A46:I46"/>
    <mergeCell ref="A56:I56"/>
    <mergeCell ref="A88:I88"/>
    <mergeCell ref="A92:I92"/>
    <mergeCell ref="A100:I100"/>
    <mergeCell ref="B101:G101"/>
    <mergeCell ref="B102:G102"/>
    <mergeCell ref="A104:I104"/>
    <mergeCell ref="A105:I105"/>
    <mergeCell ref="A117:I117"/>
    <mergeCell ref="A118:I118"/>
    <mergeCell ref="A119:I119"/>
    <mergeCell ref="A120:I120"/>
    <mergeCell ref="A108:I108"/>
    <mergeCell ref="C110:E110"/>
    <mergeCell ref="C111:E111"/>
    <mergeCell ref="C113:E113"/>
    <mergeCell ref="C114:E114"/>
    <mergeCell ref="A116:I1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rowBreaks count="1" manualBreakCount="1">
    <brk id="10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5"/>
  <sheetViews>
    <sheetView tabSelected="1" view="pageBreakPreview" topLeftCell="A42" zoomScale="60" workbookViewId="0">
      <selection activeCell="G118" sqref="G118"/>
    </sheetView>
  </sheetViews>
  <sheetFormatPr defaultRowHeight="15"/>
  <cols>
    <col min="1" max="1" width="11.7109375" customWidth="1"/>
    <col min="2" max="2" width="55.28515625" customWidth="1"/>
    <col min="3" max="3" width="18.5703125" customWidth="1"/>
    <col min="4" max="4" width="17.85546875" customWidth="1"/>
    <col min="5" max="6" width="0" hidden="1" customWidth="1"/>
    <col min="7" max="7" width="16.42578125" customWidth="1"/>
    <col min="8" max="8" width="0" hidden="1" customWidth="1"/>
    <col min="9" max="9" width="12.57031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204</v>
      </c>
      <c r="B3" s="246"/>
      <c r="C3" s="246"/>
      <c r="D3" s="246"/>
      <c r="E3" s="246"/>
      <c r="F3" s="246"/>
      <c r="G3" s="246"/>
      <c r="H3" s="246"/>
      <c r="I3" s="246"/>
    </row>
    <row r="4" spans="1:9" ht="34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327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80"/>
      <c r="C6" s="180"/>
      <c r="D6" s="180"/>
      <c r="E6" s="180"/>
      <c r="F6" s="180"/>
      <c r="G6" s="180"/>
      <c r="H6" s="180"/>
      <c r="I6" s="139">
        <v>44196</v>
      </c>
    </row>
    <row r="7" spans="1:9" ht="15.75">
      <c r="B7" s="178"/>
      <c r="C7" s="178"/>
      <c r="D7" s="178"/>
      <c r="E7" s="3"/>
      <c r="F7" s="3"/>
      <c r="G7" s="3"/>
      <c r="H7" s="3"/>
    </row>
    <row r="8" spans="1:9" ht="96.75" customHeight="1">
      <c r="A8" s="249" t="s">
        <v>321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9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9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9.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7.2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5.7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7.25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 hidden="1">
      <c r="A27" s="29">
        <v>5</v>
      </c>
      <c r="B27" s="74" t="s">
        <v>23</v>
      </c>
      <c r="C27" s="67" t="s">
        <v>24</v>
      </c>
      <c r="D27" s="74"/>
      <c r="E27" s="68">
        <v>5816.5</v>
      </c>
      <c r="F27" s="69">
        <f>SUM(E27*12)</f>
        <v>69798</v>
      </c>
      <c r="G27" s="69">
        <v>4.5199999999999996</v>
      </c>
      <c r="H27" s="70">
        <f>SUM(F27*G27/1000)</f>
        <v>315.48695999999995</v>
      </c>
      <c r="I27" s="13">
        <f>F27/12*G27</f>
        <v>26290.579999999998</v>
      </c>
    </row>
    <row r="28" spans="1:9">
      <c r="A28" s="233" t="s">
        <v>85</v>
      </c>
      <c r="B28" s="233"/>
      <c r="C28" s="233"/>
      <c r="D28" s="233"/>
      <c r="E28" s="233"/>
      <c r="F28" s="233"/>
      <c r="G28" s="233"/>
      <c r="H28" s="233"/>
      <c r="I28" s="233"/>
    </row>
    <row r="29" spans="1:9" ht="17.2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</row>
    <row r="30" spans="1:9" hidden="1">
      <c r="A30" s="29">
        <v>6</v>
      </c>
      <c r="B30" s="66" t="s">
        <v>111</v>
      </c>
      <c r="C30" s="67" t="s">
        <v>112</v>
      </c>
      <c r="D30" s="66" t="s">
        <v>113</v>
      </c>
      <c r="E30" s="69">
        <v>357.22</v>
      </c>
      <c r="F30" s="69">
        <f>SUM(E30*52/1000)</f>
        <v>18.575440000000004</v>
      </c>
      <c r="G30" s="69">
        <v>212.62</v>
      </c>
      <c r="H30" s="70">
        <f t="shared" ref="H30:H36" si="1">SUM(F30*G30/1000)</f>
        <v>3.9495100528000009</v>
      </c>
      <c r="I30" s="13">
        <f>F30/6*G30</f>
        <v>658.25167546666682</v>
      </c>
    </row>
    <row r="31" spans="1:9" ht="30" hidden="1">
      <c r="A31" s="29">
        <v>7</v>
      </c>
      <c r="B31" s="66" t="s">
        <v>166</v>
      </c>
      <c r="C31" s="67" t="s">
        <v>112</v>
      </c>
      <c r="D31" s="66" t="s">
        <v>114</v>
      </c>
      <c r="E31" s="69">
        <v>475.06</v>
      </c>
      <c r="F31" s="69">
        <f>SUM(E31*78/1000)</f>
        <v>37.054679999999998</v>
      </c>
      <c r="G31" s="69">
        <v>352.77</v>
      </c>
      <c r="H31" s="70">
        <f t="shared" si="1"/>
        <v>13.071779463599999</v>
      </c>
      <c r="I31" s="13">
        <f>F31/6*G31</f>
        <v>2178.6299105999997</v>
      </c>
    </row>
    <row r="32" spans="1:9" hidden="1">
      <c r="A32" s="29">
        <v>15</v>
      </c>
      <c r="B32" s="66" t="s">
        <v>27</v>
      </c>
      <c r="C32" s="67" t="s">
        <v>112</v>
      </c>
      <c r="D32" s="66" t="s">
        <v>53</v>
      </c>
      <c r="E32" s="69">
        <v>357.22</v>
      </c>
      <c r="F32" s="69">
        <f>SUM(E32/1000)</f>
        <v>0.35722000000000004</v>
      </c>
      <c r="G32" s="69">
        <v>4119.68</v>
      </c>
      <c r="H32" s="70">
        <f t="shared" si="1"/>
        <v>1.4716320896000001</v>
      </c>
      <c r="I32" s="13">
        <f>F32*G32</f>
        <v>1471.6320896000002</v>
      </c>
    </row>
    <row r="33" spans="1:9" hidden="1">
      <c r="A33" s="29">
        <v>8</v>
      </c>
      <c r="B33" s="66" t="s">
        <v>140</v>
      </c>
      <c r="C33" s="67" t="s">
        <v>39</v>
      </c>
      <c r="D33" s="66" t="s">
        <v>175</v>
      </c>
      <c r="E33" s="69">
        <v>5</v>
      </c>
      <c r="F33" s="69">
        <f>E33*155/100</f>
        <v>7.75</v>
      </c>
      <c r="G33" s="69">
        <v>1775.94</v>
      </c>
      <c r="H33" s="70">
        <f>G33*F33/1000</f>
        <v>13.763534999999999</v>
      </c>
      <c r="I33" s="13">
        <f>F33/6*G33</f>
        <v>2293.9225000000001</v>
      </c>
    </row>
    <row r="34" spans="1:9" hidden="1">
      <c r="A34" s="29">
        <v>9</v>
      </c>
      <c r="B34" s="66" t="s">
        <v>115</v>
      </c>
      <c r="C34" s="67" t="s">
        <v>30</v>
      </c>
      <c r="D34" s="66" t="s">
        <v>62</v>
      </c>
      <c r="E34" s="73">
        <f>1/3</f>
        <v>0.33333333333333331</v>
      </c>
      <c r="F34" s="69">
        <f>155/3</f>
        <v>51.666666666666664</v>
      </c>
      <c r="G34" s="69">
        <v>77.33</v>
      </c>
      <c r="H34" s="70">
        <f>SUM(G34*155/3/1000)</f>
        <v>3.9953833333333333</v>
      </c>
      <c r="I34" s="13">
        <f>F34/6*G34</f>
        <v>665.89722222222213</v>
      </c>
    </row>
    <row r="35" spans="1:9" hidden="1">
      <c r="A35" s="29">
        <v>10</v>
      </c>
      <c r="B35" s="66" t="s">
        <v>63</v>
      </c>
      <c r="C35" s="67" t="s">
        <v>33</v>
      </c>
      <c r="D35" s="66" t="s">
        <v>65</v>
      </c>
      <c r="E35" s="68"/>
      <c r="F35" s="69">
        <v>2</v>
      </c>
      <c r="G35" s="69">
        <v>260.95</v>
      </c>
      <c r="H35" s="70">
        <f t="shared" si="1"/>
        <v>0.52190000000000003</v>
      </c>
      <c r="I35" s="13">
        <v>0</v>
      </c>
    </row>
    <row r="36" spans="1:9" hidden="1">
      <c r="A36" s="29"/>
      <c r="B36" s="66" t="s">
        <v>64</v>
      </c>
      <c r="C36" s="67" t="s">
        <v>32</v>
      </c>
      <c r="D36" s="66" t="s">
        <v>65</v>
      </c>
      <c r="E36" s="68"/>
      <c r="F36" s="69">
        <v>1</v>
      </c>
      <c r="G36" s="69">
        <v>1549.92</v>
      </c>
      <c r="H36" s="70">
        <f t="shared" si="1"/>
        <v>1.54992</v>
      </c>
      <c r="I36" s="13">
        <v>0</v>
      </c>
    </row>
    <row r="37" spans="1:9" ht="20.25" customHeight="1">
      <c r="A37" s="29"/>
      <c r="B37" s="87" t="s">
        <v>5</v>
      </c>
      <c r="C37" s="67"/>
      <c r="D37" s="66"/>
      <c r="E37" s="68"/>
      <c r="F37" s="69"/>
      <c r="G37" s="69"/>
      <c r="H37" s="70" t="s">
        <v>129</v>
      </c>
      <c r="I37" s="13"/>
    </row>
    <row r="38" spans="1:9" ht="33" customHeight="1">
      <c r="A38" s="29">
        <v>5</v>
      </c>
      <c r="B38" s="66" t="s">
        <v>26</v>
      </c>
      <c r="C38" s="67" t="s">
        <v>32</v>
      </c>
      <c r="D38" s="66" t="s">
        <v>328</v>
      </c>
      <c r="E38" s="68"/>
      <c r="F38" s="69">
        <v>5</v>
      </c>
      <c r="G38" s="69">
        <v>2083</v>
      </c>
      <c r="H38" s="70">
        <f t="shared" ref="H38:H45" si="2">SUM(F38*G38/1000)</f>
        <v>10.414999999999999</v>
      </c>
      <c r="I38" s="13">
        <f>G38*0.8</f>
        <v>1666.4</v>
      </c>
    </row>
    <row r="39" spans="1:9" ht="14.25" customHeight="1">
      <c r="A39" s="29">
        <v>6</v>
      </c>
      <c r="B39" s="66" t="s">
        <v>66</v>
      </c>
      <c r="C39" s="67" t="s">
        <v>29</v>
      </c>
      <c r="D39" s="66" t="s">
        <v>216</v>
      </c>
      <c r="E39" s="69">
        <v>469.73</v>
      </c>
      <c r="F39" s="69">
        <f>SUM(E39*30/1000)</f>
        <v>14.091900000000001</v>
      </c>
      <c r="G39" s="69">
        <v>2868.09</v>
      </c>
      <c r="H39" s="70">
        <f t="shared" si="2"/>
        <v>40.416837471000008</v>
      </c>
      <c r="I39" s="13">
        <f t="shared" ref="I39:I45" si="3">F39/6*G39</f>
        <v>6736.1395785000004</v>
      </c>
    </row>
    <row r="40" spans="1:9" ht="15.75" customHeight="1">
      <c r="A40" s="29">
        <v>7</v>
      </c>
      <c r="B40" s="66" t="s">
        <v>67</v>
      </c>
      <c r="C40" s="67" t="s">
        <v>29</v>
      </c>
      <c r="D40" s="66" t="s">
        <v>217</v>
      </c>
      <c r="E40" s="69">
        <v>475.06</v>
      </c>
      <c r="F40" s="69">
        <f>SUM(E40*155/1000)</f>
        <v>73.634299999999996</v>
      </c>
      <c r="G40" s="69">
        <v>478.42</v>
      </c>
      <c r="H40" s="70">
        <f t="shared" si="2"/>
        <v>35.228121806000004</v>
      </c>
      <c r="I40" s="13">
        <f t="shared" si="3"/>
        <v>5871.3536343333326</v>
      </c>
    </row>
    <row r="41" spans="1:9" ht="30" hidden="1">
      <c r="A41" s="29">
        <v>9</v>
      </c>
      <c r="B41" s="66" t="s">
        <v>94</v>
      </c>
      <c r="C41" s="67" t="s">
        <v>133</v>
      </c>
      <c r="D41" s="66" t="s">
        <v>176</v>
      </c>
      <c r="E41" s="68"/>
      <c r="F41" s="69">
        <v>39</v>
      </c>
      <c r="G41" s="69">
        <v>314</v>
      </c>
      <c r="H41" s="70">
        <f>SUM(F41*G41/1000)</f>
        <v>12.246</v>
      </c>
      <c r="I41" s="13">
        <v>0</v>
      </c>
    </row>
    <row r="42" spans="1:9" ht="48.75" customHeight="1">
      <c r="A42" s="29">
        <v>8</v>
      </c>
      <c r="B42" s="66" t="s">
        <v>82</v>
      </c>
      <c r="C42" s="67" t="s">
        <v>112</v>
      </c>
      <c r="D42" s="66" t="s">
        <v>218</v>
      </c>
      <c r="E42" s="69">
        <v>40.6</v>
      </c>
      <c r="F42" s="69">
        <f>SUM(E42*35/1000)</f>
        <v>1.421</v>
      </c>
      <c r="G42" s="69">
        <v>7915.6</v>
      </c>
      <c r="H42" s="70">
        <f t="shared" si="2"/>
        <v>11.248067600000001</v>
      </c>
      <c r="I42" s="13">
        <f t="shared" si="3"/>
        <v>1874.6779333333334</v>
      </c>
    </row>
    <row r="43" spans="1:9" ht="16.5" hidden="1" customHeight="1">
      <c r="A43" s="29">
        <v>9</v>
      </c>
      <c r="B43" s="66" t="s">
        <v>118</v>
      </c>
      <c r="C43" s="67" t="s">
        <v>112</v>
      </c>
      <c r="D43" s="66" t="s">
        <v>219</v>
      </c>
      <c r="E43" s="69">
        <v>167.03</v>
      </c>
      <c r="F43" s="69">
        <f>SUM(E43*45/1000)</f>
        <v>7.5163500000000001</v>
      </c>
      <c r="G43" s="69">
        <v>584.74</v>
      </c>
      <c r="H43" s="70">
        <f t="shared" si="2"/>
        <v>4.3951104990000003</v>
      </c>
      <c r="I43" s="13">
        <f>(F43/7.5)*G43</f>
        <v>586.01473320000002</v>
      </c>
    </row>
    <row r="44" spans="1:9" ht="16.5" hidden="1" customHeight="1">
      <c r="A44" s="29">
        <v>10</v>
      </c>
      <c r="B44" s="66" t="s">
        <v>69</v>
      </c>
      <c r="C44" s="67" t="s">
        <v>33</v>
      </c>
      <c r="D44" s="66"/>
      <c r="E44" s="68"/>
      <c r="F44" s="69">
        <v>1.2</v>
      </c>
      <c r="G44" s="69">
        <v>800</v>
      </c>
      <c r="H44" s="70">
        <f t="shared" si="2"/>
        <v>0.96</v>
      </c>
      <c r="I44" s="13">
        <f>(F44/7.5)*G44</f>
        <v>128</v>
      </c>
    </row>
    <row r="45" spans="1:9" ht="36" customHeight="1">
      <c r="A45" s="29">
        <v>9</v>
      </c>
      <c r="B45" s="46" t="s">
        <v>177</v>
      </c>
      <c r="C45" s="62" t="s">
        <v>29</v>
      </c>
      <c r="D45" s="66" t="s">
        <v>227</v>
      </c>
      <c r="E45" s="68">
        <v>4.2</v>
      </c>
      <c r="F45" s="69">
        <f>SUM(E45*12/1000)</f>
        <v>5.0400000000000007E-2</v>
      </c>
      <c r="G45" s="69">
        <v>270.61</v>
      </c>
      <c r="H45" s="70">
        <f t="shared" si="2"/>
        <v>1.3638744000000003E-2</v>
      </c>
      <c r="I45" s="13">
        <f t="shared" si="3"/>
        <v>2.2731240000000006</v>
      </c>
    </row>
    <row r="46" spans="1:9">
      <c r="A46" s="252" t="s">
        <v>190</v>
      </c>
      <c r="B46" s="253"/>
      <c r="C46" s="253"/>
      <c r="D46" s="253"/>
      <c r="E46" s="253"/>
      <c r="F46" s="253"/>
      <c r="G46" s="253"/>
      <c r="H46" s="253"/>
      <c r="I46" s="254"/>
    </row>
    <row r="47" spans="1:9" hidden="1">
      <c r="A47" s="29">
        <v>12</v>
      </c>
      <c r="B47" s="66" t="s">
        <v>119</v>
      </c>
      <c r="C47" s="67" t="s">
        <v>112</v>
      </c>
      <c r="D47" s="66" t="s">
        <v>41</v>
      </c>
      <c r="E47" s="68">
        <v>1603.6</v>
      </c>
      <c r="F47" s="69">
        <f>SUM(E47*2/1000)</f>
        <v>3.2071999999999998</v>
      </c>
      <c r="G47" s="13">
        <v>1158.7</v>
      </c>
      <c r="H47" s="70">
        <f t="shared" ref="H47:H55" si="4">SUM(F47*G47/1000)</f>
        <v>3.71618264</v>
      </c>
      <c r="I47" s="13">
        <f>F47/2*G47</f>
        <v>1858.09132</v>
      </c>
    </row>
    <row r="48" spans="1:9" hidden="1">
      <c r="A48" s="29">
        <v>13</v>
      </c>
      <c r="B48" s="66" t="s">
        <v>34</v>
      </c>
      <c r="C48" s="67" t="s">
        <v>112</v>
      </c>
      <c r="D48" s="66" t="s">
        <v>41</v>
      </c>
      <c r="E48" s="68">
        <v>65</v>
      </c>
      <c r="F48" s="69">
        <f>SUM(E48*2/1000)</f>
        <v>0.13</v>
      </c>
      <c r="G48" s="13">
        <v>790.38</v>
      </c>
      <c r="H48" s="70">
        <f t="shared" si="4"/>
        <v>0.1027494</v>
      </c>
      <c r="I48" s="13">
        <f>F48/2*G48</f>
        <v>51.374700000000004</v>
      </c>
    </row>
    <row r="49" spans="1:9" hidden="1">
      <c r="A49" s="29">
        <v>14</v>
      </c>
      <c r="B49" s="66" t="s">
        <v>35</v>
      </c>
      <c r="C49" s="67" t="s">
        <v>112</v>
      </c>
      <c r="D49" s="66" t="s">
        <v>41</v>
      </c>
      <c r="E49" s="68">
        <v>1825.8</v>
      </c>
      <c r="F49" s="69">
        <f>SUM(E49*2/1000)</f>
        <v>3.6515999999999997</v>
      </c>
      <c r="G49" s="13">
        <v>790.38</v>
      </c>
      <c r="H49" s="70">
        <f t="shared" si="4"/>
        <v>2.8861516079999996</v>
      </c>
      <c r="I49" s="13">
        <f t="shared" ref="I49:I54" si="5">F49/2*G49</f>
        <v>1443.0758039999998</v>
      </c>
    </row>
    <row r="50" spans="1:9" hidden="1">
      <c r="A50" s="29">
        <v>15</v>
      </c>
      <c r="B50" s="66" t="s">
        <v>36</v>
      </c>
      <c r="C50" s="67" t="s">
        <v>112</v>
      </c>
      <c r="D50" s="66" t="s">
        <v>41</v>
      </c>
      <c r="E50" s="68">
        <v>3163.96</v>
      </c>
      <c r="F50" s="69">
        <f>SUM(E50*2/1000)</f>
        <v>6.3279199999999998</v>
      </c>
      <c r="G50" s="13">
        <v>827.65</v>
      </c>
      <c r="H50" s="70">
        <f t="shared" si="4"/>
        <v>5.2373029879999997</v>
      </c>
      <c r="I50" s="13">
        <f t="shared" si="5"/>
        <v>2618.6514939999997</v>
      </c>
    </row>
    <row r="51" spans="1:9" ht="18.75" customHeight="1">
      <c r="A51" s="29">
        <v>10</v>
      </c>
      <c r="B51" s="66" t="s">
        <v>55</v>
      </c>
      <c r="C51" s="67" t="s">
        <v>112</v>
      </c>
      <c r="D51" s="66" t="s">
        <v>221</v>
      </c>
      <c r="E51" s="68">
        <v>5816.5</v>
      </c>
      <c r="F51" s="69">
        <f>SUM(E51*5/1000)</f>
        <v>29.0825</v>
      </c>
      <c r="G51" s="13">
        <v>1655.27</v>
      </c>
      <c r="H51" s="70">
        <f t="shared" si="4"/>
        <v>48.139389774999998</v>
      </c>
      <c r="I51" s="13">
        <f>F51/5*G51</f>
        <v>9627.8779549999999</v>
      </c>
    </row>
    <row r="52" spans="1:9" ht="30" hidden="1">
      <c r="A52" s="29">
        <v>10</v>
      </c>
      <c r="B52" s="66" t="s">
        <v>120</v>
      </c>
      <c r="C52" s="67" t="s">
        <v>112</v>
      </c>
      <c r="D52" s="66" t="s">
        <v>41</v>
      </c>
      <c r="E52" s="68">
        <v>5816.5</v>
      </c>
      <c r="F52" s="69">
        <f>SUM(E52*2/1000)</f>
        <v>11.632999999999999</v>
      </c>
      <c r="G52" s="13">
        <v>1655.27</v>
      </c>
      <c r="H52" s="70">
        <f t="shared" si="4"/>
        <v>19.255755910000001</v>
      </c>
      <c r="I52" s="13">
        <f t="shared" si="5"/>
        <v>9627.8779549999999</v>
      </c>
    </row>
    <row r="53" spans="1:9" ht="30" hidden="1">
      <c r="A53" s="29">
        <v>11</v>
      </c>
      <c r="B53" s="66" t="s">
        <v>121</v>
      </c>
      <c r="C53" s="67" t="s">
        <v>37</v>
      </c>
      <c r="D53" s="66" t="s">
        <v>41</v>
      </c>
      <c r="E53" s="68">
        <v>25</v>
      </c>
      <c r="F53" s="69">
        <f>SUM(E53*2/100)</f>
        <v>0.5</v>
      </c>
      <c r="G53" s="13">
        <v>3724.37</v>
      </c>
      <c r="H53" s="70">
        <f t="shared" si="4"/>
        <v>1.862185</v>
      </c>
      <c r="I53" s="13">
        <f t="shared" si="5"/>
        <v>931.09249999999997</v>
      </c>
    </row>
    <row r="54" spans="1:9" hidden="1">
      <c r="A54" s="29">
        <v>12</v>
      </c>
      <c r="B54" s="66" t="s">
        <v>38</v>
      </c>
      <c r="C54" s="67" t="s">
        <v>39</v>
      </c>
      <c r="D54" s="66" t="s">
        <v>41</v>
      </c>
      <c r="E54" s="68">
        <v>1</v>
      </c>
      <c r="F54" s="69">
        <v>0.02</v>
      </c>
      <c r="G54" s="13">
        <v>7709.44</v>
      </c>
      <c r="H54" s="70">
        <f t="shared" si="4"/>
        <v>0.15418879999999999</v>
      </c>
      <c r="I54" s="13">
        <f t="shared" si="5"/>
        <v>77.094399999999993</v>
      </c>
    </row>
    <row r="55" spans="1:9">
      <c r="A55" s="29">
        <v>11</v>
      </c>
      <c r="B55" s="66" t="s">
        <v>40</v>
      </c>
      <c r="C55" s="67" t="s">
        <v>30</v>
      </c>
      <c r="D55" s="217">
        <v>44183</v>
      </c>
      <c r="E55" s="68">
        <v>198</v>
      </c>
      <c r="F55" s="69">
        <f>SUM(E55)*3</f>
        <v>594</v>
      </c>
      <c r="G55" s="13">
        <v>89.59</v>
      </c>
      <c r="H55" s="70">
        <f t="shared" si="4"/>
        <v>53.216459999999998</v>
      </c>
      <c r="I55" s="13">
        <f>F55/3*G55</f>
        <v>17738.82</v>
      </c>
    </row>
    <row r="56" spans="1:9">
      <c r="A56" s="234" t="s">
        <v>137</v>
      </c>
      <c r="B56" s="235"/>
      <c r="C56" s="235"/>
      <c r="D56" s="235"/>
      <c r="E56" s="235"/>
      <c r="F56" s="235"/>
      <c r="G56" s="235"/>
      <c r="H56" s="235"/>
      <c r="I56" s="236"/>
    </row>
    <row r="57" spans="1:9" hidden="1">
      <c r="A57" s="29"/>
      <c r="B57" s="87" t="s">
        <v>42</v>
      </c>
      <c r="C57" s="67"/>
      <c r="D57" s="66"/>
      <c r="E57" s="68"/>
      <c r="F57" s="69"/>
      <c r="G57" s="69"/>
      <c r="H57" s="70"/>
      <c r="I57" s="13"/>
    </row>
    <row r="58" spans="1:9" ht="30" hidden="1">
      <c r="A58" s="29">
        <v>16</v>
      </c>
      <c r="B58" s="66" t="s">
        <v>123</v>
      </c>
      <c r="C58" s="67" t="s">
        <v>104</v>
      </c>
      <c r="D58" s="66" t="s">
        <v>71</v>
      </c>
      <c r="E58" s="68">
        <v>118.3</v>
      </c>
      <c r="F58" s="69">
        <f>E58*6/100</f>
        <v>7.0979999999999999</v>
      </c>
      <c r="G58" s="76">
        <v>2110.4699999999998</v>
      </c>
      <c r="H58" s="70">
        <f>F58*G58/1000</f>
        <v>14.980116059999999</v>
      </c>
      <c r="I58" s="13">
        <f>G58*1.028</f>
        <v>2169.5631599999997</v>
      </c>
    </row>
    <row r="59" spans="1:9" ht="16.5" hidden="1" customHeight="1">
      <c r="A59" s="29">
        <v>13</v>
      </c>
      <c r="B59" s="66" t="s">
        <v>179</v>
      </c>
      <c r="C59" s="67" t="s">
        <v>104</v>
      </c>
      <c r="D59" s="66" t="s">
        <v>221</v>
      </c>
      <c r="E59" s="75">
        <v>3.78</v>
      </c>
      <c r="F59" s="13">
        <f>E59*6/100</f>
        <v>0.2268</v>
      </c>
      <c r="G59" s="69">
        <v>2110.4699999999998</v>
      </c>
      <c r="H59" s="70">
        <f>SUM(F59*G59/1000)</f>
        <v>0.47865459599999999</v>
      </c>
      <c r="I59" s="13">
        <f>F59/6*G59</f>
        <v>79.77576599999999</v>
      </c>
    </row>
    <row r="60" spans="1:9" hidden="1">
      <c r="A60" s="29">
        <v>15</v>
      </c>
      <c r="B60" s="77" t="s">
        <v>99</v>
      </c>
      <c r="C60" s="67" t="s">
        <v>100</v>
      </c>
      <c r="D60" s="77" t="s">
        <v>41</v>
      </c>
      <c r="E60" s="78">
        <v>5</v>
      </c>
      <c r="F60" s="79">
        <v>10</v>
      </c>
      <c r="G60" s="76">
        <v>246.58</v>
      </c>
      <c r="H60" s="80">
        <v>0.99099999999999999</v>
      </c>
      <c r="I60" s="13">
        <f>F60/2*G60</f>
        <v>1232.9000000000001</v>
      </c>
    </row>
    <row r="61" spans="1:9" hidden="1">
      <c r="A61" s="29">
        <v>14</v>
      </c>
      <c r="B61" s="77" t="s">
        <v>180</v>
      </c>
      <c r="C61" s="81" t="s">
        <v>32</v>
      </c>
      <c r="D61" s="77" t="s">
        <v>65</v>
      </c>
      <c r="E61" s="78"/>
      <c r="F61" s="80">
        <v>5</v>
      </c>
      <c r="G61" s="101">
        <v>1645</v>
      </c>
      <c r="H61" s="80">
        <f>SUM(F61*G61/1000)</f>
        <v>8.2249999999999996</v>
      </c>
      <c r="I61" s="101">
        <f>G61*1</f>
        <v>1645</v>
      </c>
    </row>
    <row r="62" spans="1:9" ht="15" customHeight="1">
      <c r="A62" s="29"/>
      <c r="B62" s="88" t="s">
        <v>43</v>
      </c>
      <c r="C62" s="81"/>
      <c r="D62" s="66"/>
      <c r="E62" s="68"/>
      <c r="F62" s="69"/>
      <c r="G62" s="69"/>
      <c r="H62" s="69"/>
      <c r="I62" s="124"/>
    </row>
    <row r="63" spans="1:9" hidden="1">
      <c r="A63" s="29"/>
      <c r="B63" s="77" t="s">
        <v>44</v>
      </c>
      <c r="C63" s="81" t="s">
        <v>52</v>
      </c>
      <c r="D63" s="66" t="s">
        <v>53</v>
      </c>
      <c r="E63" s="68">
        <v>352</v>
      </c>
      <c r="F63" s="69">
        <f>E63/100</f>
        <v>3.52</v>
      </c>
      <c r="G63" s="69">
        <v>1082.47</v>
      </c>
      <c r="H63" s="69">
        <f>G63*F63/1000</f>
        <v>3.8102944000000001</v>
      </c>
      <c r="I63" s="124">
        <v>0</v>
      </c>
    </row>
    <row r="64" spans="1:9" ht="17.25" customHeight="1">
      <c r="A64" s="29">
        <v>12</v>
      </c>
      <c r="B64" s="77" t="s">
        <v>95</v>
      </c>
      <c r="C64" s="81" t="s">
        <v>25</v>
      </c>
      <c r="D64" s="66" t="s">
        <v>221</v>
      </c>
      <c r="E64" s="68">
        <v>200</v>
      </c>
      <c r="F64" s="69">
        <f>E64*12</f>
        <v>2400</v>
      </c>
      <c r="G64" s="69">
        <v>1.4</v>
      </c>
      <c r="H64" s="69">
        <f>G64*F64/1000</f>
        <v>3.36</v>
      </c>
      <c r="I64" s="13">
        <f>F64/12*G64</f>
        <v>280</v>
      </c>
    </row>
    <row r="65" spans="1:9" ht="17.25" customHeight="1">
      <c r="A65" s="29"/>
      <c r="B65" s="88" t="s">
        <v>45</v>
      </c>
      <c r="C65" s="81"/>
      <c r="D65" s="121"/>
      <c r="E65" s="71"/>
      <c r="F65" s="116"/>
      <c r="G65" s="116"/>
      <c r="H65" s="122" t="s">
        <v>129</v>
      </c>
      <c r="I65" s="123"/>
    </row>
    <row r="66" spans="1:9" ht="16.5" customHeight="1">
      <c r="A66" s="29">
        <v>13</v>
      </c>
      <c r="B66" s="14" t="s">
        <v>46</v>
      </c>
      <c r="C66" s="16" t="s">
        <v>122</v>
      </c>
      <c r="D66" s="14" t="s">
        <v>329</v>
      </c>
      <c r="E66" s="18">
        <v>14</v>
      </c>
      <c r="F66" s="13">
        <f>SUM(E66)</f>
        <v>14</v>
      </c>
      <c r="G66" s="13">
        <v>303.35000000000002</v>
      </c>
      <c r="H66" s="63">
        <f t="shared" ref="H66:H85" si="6">SUM(F66*G66/1000)</f>
        <v>4.2469000000000001</v>
      </c>
      <c r="I66" s="13">
        <f>G66*3</f>
        <v>910.05000000000007</v>
      </c>
    </row>
    <row r="67" spans="1:9" hidden="1">
      <c r="A67" s="29"/>
      <c r="B67" s="14" t="s">
        <v>47</v>
      </c>
      <c r="C67" s="16" t="s">
        <v>122</v>
      </c>
      <c r="D67" s="14" t="s">
        <v>65</v>
      </c>
      <c r="E67" s="18">
        <v>7</v>
      </c>
      <c r="F67" s="13">
        <f>SUM(E67)</f>
        <v>7</v>
      </c>
      <c r="G67" s="13">
        <v>104.01</v>
      </c>
      <c r="H67" s="63">
        <f t="shared" si="6"/>
        <v>0.72806999999999999</v>
      </c>
      <c r="I67" s="13">
        <v>0</v>
      </c>
    </row>
    <row r="68" spans="1:9" hidden="1">
      <c r="A68" s="29">
        <v>24</v>
      </c>
      <c r="B68" s="14" t="s">
        <v>48</v>
      </c>
      <c r="C68" s="16" t="s">
        <v>124</v>
      </c>
      <c r="D68" s="14" t="s">
        <v>53</v>
      </c>
      <c r="E68" s="68">
        <v>23808</v>
      </c>
      <c r="F68" s="13">
        <f>SUM(E68/100)</f>
        <v>238.08</v>
      </c>
      <c r="G68" s="13">
        <v>289.37</v>
      </c>
      <c r="H68" s="63">
        <f t="shared" si="6"/>
        <v>68.893209600000006</v>
      </c>
      <c r="I68" s="13">
        <f t="shared" ref="I68:I73" si="7">F68*G68</f>
        <v>68893.209600000002</v>
      </c>
    </row>
    <row r="69" spans="1:9" hidden="1">
      <c r="A69" s="29">
        <v>25</v>
      </c>
      <c r="B69" s="14" t="s">
        <v>49</v>
      </c>
      <c r="C69" s="16" t="s">
        <v>125</v>
      </c>
      <c r="D69" s="14"/>
      <c r="E69" s="68">
        <v>23808</v>
      </c>
      <c r="F69" s="13">
        <f>SUM(E69/1000)</f>
        <v>23.808</v>
      </c>
      <c r="G69" s="13">
        <v>225.35</v>
      </c>
      <c r="H69" s="63">
        <f t="shared" si="6"/>
        <v>5.3651327999999996</v>
      </c>
      <c r="I69" s="13">
        <f t="shared" si="7"/>
        <v>5365.1327999999994</v>
      </c>
    </row>
    <row r="70" spans="1:9" hidden="1">
      <c r="A70" s="29">
        <v>26</v>
      </c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2829.78</v>
      </c>
      <c r="H70" s="63">
        <f t="shared" si="6"/>
        <v>107.81461800000001</v>
      </c>
      <c r="I70" s="13">
        <f t="shared" si="7"/>
        <v>107814.61800000002</v>
      </c>
    </row>
    <row r="71" spans="1:9" hidden="1">
      <c r="A71" s="29">
        <v>27</v>
      </c>
      <c r="B71" s="83" t="s">
        <v>126</v>
      </c>
      <c r="C71" s="16" t="s">
        <v>33</v>
      </c>
      <c r="D71" s="14"/>
      <c r="E71" s="68">
        <v>12.8</v>
      </c>
      <c r="F71" s="13">
        <f>SUM(E71)</f>
        <v>12.8</v>
      </c>
      <c r="G71" s="13">
        <v>44.31</v>
      </c>
      <c r="H71" s="63">
        <f t="shared" si="6"/>
        <v>0.56716800000000001</v>
      </c>
      <c r="I71" s="13">
        <f t="shared" si="7"/>
        <v>567.16800000000001</v>
      </c>
    </row>
    <row r="72" spans="1:9" hidden="1">
      <c r="A72" s="29">
        <v>28</v>
      </c>
      <c r="B72" s="83" t="s">
        <v>135</v>
      </c>
      <c r="C72" s="16" t="s">
        <v>33</v>
      </c>
      <c r="D72" s="14"/>
      <c r="E72" s="68">
        <v>12.8</v>
      </c>
      <c r="F72" s="13">
        <f>SUM(E72)</f>
        <v>12.8</v>
      </c>
      <c r="G72" s="13">
        <v>47.79</v>
      </c>
      <c r="H72" s="63">
        <f t="shared" si="6"/>
        <v>0.61171200000000003</v>
      </c>
      <c r="I72" s="13">
        <f t="shared" si="7"/>
        <v>611.71199999999999</v>
      </c>
    </row>
    <row r="73" spans="1:9" hidden="1">
      <c r="A73" s="29">
        <v>20</v>
      </c>
      <c r="B73" s="14" t="s">
        <v>56</v>
      </c>
      <c r="C73" s="16" t="s">
        <v>57</v>
      </c>
      <c r="D73" s="14" t="s">
        <v>53</v>
      </c>
      <c r="E73" s="18">
        <v>6</v>
      </c>
      <c r="F73" s="69">
        <f>SUM(E73)</f>
        <v>6</v>
      </c>
      <c r="G73" s="13">
        <v>68.040000000000006</v>
      </c>
      <c r="H73" s="63">
        <f t="shared" si="6"/>
        <v>0.40823999999999999</v>
      </c>
      <c r="I73" s="13">
        <f t="shared" si="7"/>
        <v>408.24</v>
      </c>
    </row>
    <row r="74" spans="1:9" ht="29.25" customHeight="1">
      <c r="A74" s="29">
        <v>14</v>
      </c>
      <c r="B74" s="83" t="s">
        <v>181</v>
      </c>
      <c r="C74" s="16"/>
      <c r="D74" s="14" t="s">
        <v>222</v>
      </c>
      <c r="E74" s="18">
        <v>1</v>
      </c>
      <c r="F74" s="13">
        <v>12</v>
      </c>
      <c r="G74" s="13">
        <v>1194</v>
      </c>
      <c r="H74" s="63">
        <f t="shared" si="6"/>
        <v>14.327999999999999</v>
      </c>
      <c r="I74" s="13">
        <f>F74/12*G74</f>
        <v>1194</v>
      </c>
    </row>
    <row r="75" spans="1:9" ht="15" customHeight="1">
      <c r="A75" s="29"/>
      <c r="B75" s="181" t="s">
        <v>182</v>
      </c>
      <c r="C75" s="16"/>
      <c r="D75" s="14"/>
      <c r="E75" s="18"/>
      <c r="F75" s="57"/>
      <c r="G75" s="13"/>
      <c r="H75" s="63"/>
      <c r="I75" s="13"/>
    </row>
    <row r="76" spans="1:9" ht="35.25" customHeight="1">
      <c r="A76" s="29">
        <v>15</v>
      </c>
      <c r="B76" s="14" t="s">
        <v>183</v>
      </c>
      <c r="C76" s="29" t="s">
        <v>184</v>
      </c>
      <c r="D76" s="14"/>
      <c r="E76" s="18">
        <v>5816.5</v>
      </c>
      <c r="F76" s="69">
        <f>SUM(E76)*12</f>
        <v>69798</v>
      </c>
      <c r="G76" s="13">
        <v>2.37</v>
      </c>
      <c r="H76" s="63">
        <f>SUM(F76*G76/1000)</f>
        <v>165.42126000000002</v>
      </c>
      <c r="I76" s="13">
        <f>F76/12*G76</f>
        <v>13785.105000000001</v>
      </c>
    </row>
    <row r="77" spans="1:9" ht="33" customHeight="1">
      <c r="A77" s="29">
        <v>16</v>
      </c>
      <c r="B77" s="46" t="s">
        <v>185</v>
      </c>
      <c r="C77" s="62" t="s">
        <v>122</v>
      </c>
      <c r="D77" s="14" t="s">
        <v>222</v>
      </c>
      <c r="E77" s="118">
        <v>1</v>
      </c>
      <c r="F77" s="79">
        <f>E77*12</f>
        <v>12</v>
      </c>
      <c r="G77" s="101">
        <v>55.55</v>
      </c>
      <c r="H77" s="63">
        <f>SUM(F77*G77/1000)</f>
        <v>0.66659999999999986</v>
      </c>
      <c r="I77" s="13">
        <f>F77/12*G77</f>
        <v>55.55</v>
      </c>
    </row>
    <row r="78" spans="1:9" hidden="1">
      <c r="A78" s="110"/>
      <c r="B78" s="181" t="s">
        <v>72</v>
      </c>
      <c r="C78" s="16"/>
      <c r="D78" s="14"/>
      <c r="E78" s="18"/>
      <c r="F78" s="13"/>
      <c r="G78" s="13"/>
      <c r="H78" s="63" t="s">
        <v>129</v>
      </c>
      <c r="I78" s="111"/>
    </row>
    <row r="79" spans="1:9" ht="30" hidden="1">
      <c r="A79" s="110"/>
      <c r="B79" s="14" t="s">
        <v>186</v>
      </c>
      <c r="C79" s="16" t="s">
        <v>30</v>
      </c>
      <c r="D79" s="14" t="s">
        <v>65</v>
      </c>
      <c r="E79" s="18">
        <v>2</v>
      </c>
      <c r="F79" s="69">
        <f>E79</f>
        <v>2</v>
      </c>
      <c r="G79" s="13">
        <v>2112.2800000000002</v>
      </c>
      <c r="H79" s="63">
        <f>G79*F79/1000</f>
        <v>4.2245600000000003</v>
      </c>
      <c r="I79" s="111">
        <v>0</v>
      </c>
    </row>
    <row r="80" spans="1:9" hidden="1">
      <c r="A80" s="110"/>
      <c r="B80" s="46" t="s">
        <v>187</v>
      </c>
      <c r="C80" s="62" t="s">
        <v>122</v>
      </c>
      <c r="D80" s="14" t="s">
        <v>65</v>
      </c>
      <c r="E80" s="18">
        <v>5</v>
      </c>
      <c r="F80" s="13">
        <v>5</v>
      </c>
      <c r="G80" s="13">
        <v>136.19999999999999</v>
      </c>
      <c r="H80" s="63">
        <f>SUM(F80*G80/1000)</f>
        <v>0.68100000000000005</v>
      </c>
      <c r="I80" s="111">
        <v>0</v>
      </c>
    </row>
    <row r="81" spans="1:9" hidden="1">
      <c r="A81" s="110"/>
      <c r="B81" s="14" t="s">
        <v>73</v>
      </c>
      <c r="C81" s="16" t="s">
        <v>188</v>
      </c>
      <c r="D81" s="14" t="s">
        <v>65</v>
      </c>
      <c r="E81" s="18">
        <v>6</v>
      </c>
      <c r="F81" s="13">
        <f>E81/10</f>
        <v>0.6</v>
      </c>
      <c r="G81" s="13">
        <v>684.19</v>
      </c>
      <c r="H81" s="63">
        <f>SUM(F81*G81/1000)</f>
        <v>0.41051399999999999</v>
      </c>
      <c r="I81" s="111">
        <v>0</v>
      </c>
    </row>
    <row r="82" spans="1:9" hidden="1">
      <c r="A82" s="110"/>
      <c r="B82" s="14" t="s">
        <v>74</v>
      </c>
      <c r="C82" s="16" t="s">
        <v>30</v>
      </c>
      <c r="D82" s="14" t="s">
        <v>65</v>
      </c>
      <c r="E82" s="18">
        <v>1</v>
      </c>
      <c r="F82" s="57">
        <v>1</v>
      </c>
      <c r="G82" s="13">
        <v>1163.47</v>
      </c>
      <c r="H82" s="63">
        <f>SUM(F82*G82/1000)</f>
        <v>1.16347</v>
      </c>
      <c r="I82" s="111">
        <v>0</v>
      </c>
    </row>
    <row r="83" spans="1:9" hidden="1">
      <c r="A83" s="110"/>
      <c r="B83" s="46" t="s">
        <v>189</v>
      </c>
      <c r="C83" s="62" t="s">
        <v>122</v>
      </c>
      <c r="D83" s="14" t="s">
        <v>65</v>
      </c>
      <c r="E83" s="18">
        <v>1</v>
      </c>
      <c r="F83" s="69">
        <f>E83</f>
        <v>1</v>
      </c>
      <c r="G83" s="13">
        <v>1670.07</v>
      </c>
      <c r="H83" s="63">
        <f>SUM(F83*G83/1000)</f>
        <v>1.6700699999999999</v>
      </c>
      <c r="I83" s="111">
        <v>0</v>
      </c>
    </row>
    <row r="84" spans="1:9" hidden="1">
      <c r="A84" s="110"/>
      <c r="B84" s="84" t="s">
        <v>75</v>
      </c>
      <c r="C84" s="16"/>
      <c r="D84" s="14"/>
      <c r="E84" s="18"/>
      <c r="F84" s="13"/>
      <c r="G84" s="13" t="s">
        <v>129</v>
      </c>
      <c r="H84" s="63" t="s">
        <v>129</v>
      </c>
      <c r="I84" s="111"/>
    </row>
    <row r="85" spans="1:9" hidden="1">
      <c r="A85" s="110"/>
      <c r="B85" s="42" t="s">
        <v>130</v>
      </c>
      <c r="C85" s="16" t="s">
        <v>76</v>
      </c>
      <c r="D85" s="14"/>
      <c r="E85" s="18"/>
      <c r="F85" s="13">
        <v>0.6</v>
      </c>
      <c r="G85" s="13">
        <v>4144.28</v>
      </c>
      <c r="H85" s="63">
        <f t="shared" si="6"/>
        <v>2.4865679999999997</v>
      </c>
      <c r="I85" s="111">
        <v>0</v>
      </c>
    </row>
    <row r="86" spans="1:9" ht="18.75" customHeight="1">
      <c r="A86" s="110"/>
      <c r="B86" s="181" t="s">
        <v>127</v>
      </c>
      <c r="C86" s="84"/>
      <c r="D86" s="117"/>
      <c r="E86" s="31"/>
      <c r="F86" s="119"/>
      <c r="G86" s="119"/>
      <c r="H86" s="120">
        <f>SUM(H58:H85)</f>
        <v>411.53215745600005</v>
      </c>
      <c r="I86" s="111"/>
    </row>
    <row r="87" spans="1:9" ht="17.25" customHeight="1">
      <c r="A87" s="110">
        <v>17</v>
      </c>
      <c r="B87" s="66" t="s">
        <v>128</v>
      </c>
      <c r="C87" s="16"/>
      <c r="D87" s="14"/>
      <c r="E87" s="58"/>
      <c r="F87" s="13">
        <v>1</v>
      </c>
      <c r="G87" s="13">
        <v>415</v>
      </c>
      <c r="H87" s="63">
        <f>G87*F87/1000</f>
        <v>0.41499999999999998</v>
      </c>
      <c r="I87" s="111">
        <f>G87*1</f>
        <v>415</v>
      </c>
    </row>
    <row r="88" spans="1:9">
      <c r="A88" s="243" t="s">
        <v>138</v>
      </c>
      <c r="B88" s="244"/>
      <c r="C88" s="244"/>
      <c r="D88" s="244"/>
      <c r="E88" s="244"/>
      <c r="F88" s="244"/>
      <c r="G88" s="244"/>
      <c r="H88" s="244"/>
      <c r="I88" s="245"/>
    </row>
    <row r="89" spans="1:9" ht="16.5" customHeight="1">
      <c r="A89" s="110">
        <v>18</v>
      </c>
      <c r="B89" s="66" t="s">
        <v>131</v>
      </c>
      <c r="C89" s="16" t="s">
        <v>54</v>
      </c>
      <c r="D89" s="85"/>
      <c r="E89" s="13">
        <v>5816.5</v>
      </c>
      <c r="F89" s="13">
        <f>SUM(E89*12)</f>
        <v>69798</v>
      </c>
      <c r="G89" s="13">
        <v>3.22</v>
      </c>
      <c r="H89" s="63">
        <f>SUM(F89*G89/1000)</f>
        <v>224.74956000000003</v>
      </c>
      <c r="I89" s="13">
        <f>F89/12*G89</f>
        <v>18729.13</v>
      </c>
    </row>
    <row r="90" spans="1:9" ht="31.5" customHeight="1">
      <c r="A90" s="29">
        <v>19</v>
      </c>
      <c r="B90" s="14" t="s">
        <v>77</v>
      </c>
      <c r="C90" s="16"/>
      <c r="D90" s="85"/>
      <c r="E90" s="68">
        <f>E89</f>
        <v>5816.5</v>
      </c>
      <c r="F90" s="13">
        <f>E90*12</f>
        <v>69798</v>
      </c>
      <c r="G90" s="13">
        <v>3.64</v>
      </c>
      <c r="H90" s="63">
        <f>F90*G90/1000</f>
        <v>254.06471999999999</v>
      </c>
      <c r="I90" s="13">
        <f>F90/12*G90</f>
        <v>21172.06</v>
      </c>
    </row>
    <row r="91" spans="1:9">
      <c r="A91" s="179"/>
      <c r="B91" s="34" t="s">
        <v>79</v>
      </c>
      <c r="C91" s="35"/>
      <c r="D91" s="15"/>
      <c r="E91" s="15"/>
      <c r="F91" s="15"/>
      <c r="G91" s="18"/>
      <c r="H91" s="18"/>
      <c r="I91" s="31">
        <f>I90+I89+I87+I77+I76+I74+I66+I64+I55+I51+I45+I42+I40+I39+I38+I26+I18+I17+I16</f>
        <v>133558.62859850001</v>
      </c>
    </row>
    <row r="92" spans="1:9">
      <c r="A92" s="237" t="s">
        <v>59</v>
      </c>
      <c r="B92" s="238"/>
      <c r="C92" s="238"/>
      <c r="D92" s="238"/>
      <c r="E92" s="238"/>
      <c r="F92" s="238"/>
      <c r="G92" s="238"/>
      <c r="H92" s="238"/>
      <c r="I92" s="239"/>
    </row>
    <row r="93" spans="1:9" ht="30">
      <c r="A93" s="29">
        <v>20</v>
      </c>
      <c r="B93" s="48" t="s">
        <v>150</v>
      </c>
      <c r="C93" s="91" t="s">
        <v>83</v>
      </c>
      <c r="D93" s="93" t="s">
        <v>342</v>
      </c>
      <c r="E93" s="33"/>
      <c r="F93" s="33">
        <v>17</v>
      </c>
      <c r="G93" s="33">
        <v>222.63</v>
      </c>
      <c r="H93" s="90"/>
      <c r="I93" s="47">
        <f>G93*1</f>
        <v>222.63</v>
      </c>
    </row>
    <row r="94" spans="1:9">
      <c r="A94" s="29">
        <v>21</v>
      </c>
      <c r="B94" s="48" t="s">
        <v>174</v>
      </c>
      <c r="C94" s="91" t="s">
        <v>193</v>
      </c>
      <c r="D94" s="92" t="s">
        <v>373</v>
      </c>
      <c r="E94" s="33"/>
      <c r="F94" s="33">
        <v>71</v>
      </c>
      <c r="G94" s="33">
        <v>284</v>
      </c>
      <c r="H94" s="90"/>
      <c r="I94" s="47">
        <v>0</v>
      </c>
    </row>
    <row r="95" spans="1:9">
      <c r="A95" s="29">
        <v>22</v>
      </c>
      <c r="B95" s="48" t="s">
        <v>191</v>
      </c>
      <c r="C95" s="91" t="s">
        <v>122</v>
      </c>
      <c r="D95" s="92" t="s">
        <v>343</v>
      </c>
      <c r="E95" s="33"/>
      <c r="F95" s="33">
        <v>3</v>
      </c>
      <c r="G95" s="33">
        <v>90</v>
      </c>
      <c r="H95" s="90"/>
      <c r="I95" s="47">
        <v>0</v>
      </c>
    </row>
    <row r="96" spans="1:9">
      <c r="A96" s="29">
        <v>23</v>
      </c>
      <c r="B96" s="48" t="s">
        <v>81</v>
      </c>
      <c r="C96" s="91" t="s">
        <v>122</v>
      </c>
      <c r="D96" s="92"/>
      <c r="E96" s="33"/>
      <c r="F96" s="33">
        <v>17</v>
      </c>
      <c r="G96" s="33">
        <v>215.85</v>
      </c>
      <c r="H96" s="90"/>
      <c r="I96" s="47">
        <f>G96*1</f>
        <v>215.85</v>
      </c>
    </row>
    <row r="97" spans="1:9">
      <c r="A97" s="29">
        <v>24</v>
      </c>
      <c r="B97" s="48" t="s">
        <v>247</v>
      </c>
      <c r="C97" s="91" t="s">
        <v>39</v>
      </c>
      <c r="D97" s="92" t="s">
        <v>308</v>
      </c>
      <c r="E97" s="33"/>
      <c r="F97" s="33">
        <v>0.11</v>
      </c>
      <c r="G97" s="33">
        <v>27139.18</v>
      </c>
      <c r="H97" s="90"/>
      <c r="I97" s="47">
        <v>0</v>
      </c>
    </row>
    <row r="98" spans="1:9" ht="30">
      <c r="A98" s="29">
        <v>25</v>
      </c>
      <c r="B98" s="48" t="s">
        <v>275</v>
      </c>
      <c r="C98" s="91" t="s">
        <v>122</v>
      </c>
      <c r="D98" s="92" t="s">
        <v>337</v>
      </c>
      <c r="E98" s="33"/>
      <c r="F98" s="33">
        <v>3</v>
      </c>
      <c r="G98" s="33">
        <v>945.36</v>
      </c>
      <c r="H98" s="90"/>
      <c r="I98" s="47">
        <f>G98*1</f>
        <v>945.36</v>
      </c>
    </row>
    <row r="99" spans="1:9">
      <c r="A99" s="29">
        <v>26</v>
      </c>
      <c r="B99" s="48" t="s">
        <v>277</v>
      </c>
      <c r="C99" s="91" t="s">
        <v>122</v>
      </c>
      <c r="D99" s="92"/>
      <c r="E99" s="33"/>
      <c r="F99" s="33">
        <v>2</v>
      </c>
      <c r="G99" s="33">
        <v>98</v>
      </c>
      <c r="H99" s="90"/>
      <c r="I99" s="47">
        <f>G99*1</f>
        <v>98</v>
      </c>
    </row>
    <row r="100" spans="1:9">
      <c r="A100" s="29">
        <v>27</v>
      </c>
      <c r="B100" s="48" t="s">
        <v>281</v>
      </c>
      <c r="C100" s="91" t="s">
        <v>122</v>
      </c>
      <c r="D100" s="92"/>
      <c r="E100" s="33"/>
      <c r="F100" s="33">
        <v>2</v>
      </c>
      <c r="G100" s="33">
        <v>49</v>
      </c>
      <c r="H100" s="90"/>
      <c r="I100" s="47">
        <f>G100*1</f>
        <v>49</v>
      </c>
    </row>
    <row r="101" spans="1:9">
      <c r="A101" s="29">
        <v>28</v>
      </c>
      <c r="B101" s="182" t="s">
        <v>330</v>
      </c>
      <c r="C101" s="35" t="s">
        <v>106</v>
      </c>
      <c r="D101" s="92"/>
      <c r="E101" s="33"/>
      <c r="F101" s="33">
        <v>0.06</v>
      </c>
      <c r="G101" s="33">
        <v>2638.36</v>
      </c>
      <c r="H101" s="90"/>
      <c r="I101" s="47">
        <f>G101*0.06</f>
        <v>158.30160000000001</v>
      </c>
    </row>
    <row r="102" spans="1:9">
      <c r="A102" s="29">
        <v>29</v>
      </c>
      <c r="B102" s="48" t="s">
        <v>331</v>
      </c>
      <c r="C102" s="91" t="s">
        <v>52</v>
      </c>
      <c r="D102" s="92" t="s">
        <v>341</v>
      </c>
      <c r="E102" s="33"/>
      <c r="F102" s="33">
        <v>6.0000000000000001E-3</v>
      </c>
      <c r="G102" s="33">
        <v>58109.85</v>
      </c>
      <c r="H102" s="90"/>
      <c r="I102" s="47">
        <f>G102*0.006</f>
        <v>348.65910000000002</v>
      </c>
    </row>
    <row r="103" spans="1:9">
      <c r="A103" s="29">
        <v>30</v>
      </c>
      <c r="B103" s="48" t="s">
        <v>332</v>
      </c>
      <c r="C103" s="91" t="s">
        <v>96</v>
      </c>
      <c r="D103" s="92" t="s">
        <v>341</v>
      </c>
      <c r="E103" s="33"/>
      <c r="F103" s="33">
        <v>6.0000000000000001E-3</v>
      </c>
      <c r="G103" s="33">
        <v>11682.48</v>
      </c>
      <c r="H103" s="90"/>
      <c r="I103" s="47">
        <f>G103*0.006</f>
        <v>70.094880000000003</v>
      </c>
    </row>
    <row r="104" spans="1:9">
      <c r="A104" s="29">
        <v>31</v>
      </c>
      <c r="B104" s="48" t="s">
        <v>333</v>
      </c>
      <c r="C104" s="91" t="s">
        <v>122</v>
      </c>
      <c r="D104" s="92" t="s">
        <v>340</v>
      </c>
      <c r="E104" s="33"/>
      <c r="F104" s="33">
        <v>2</v>
      </c>
      <c r="G104" s="33">
        <v>3014.01</v>
      </c>
      <c r="H104" s="90"/>
      <c r="I104" s="47">
        <f>G104*2</f>
        <v>6028.02</v>
      </c>
    </row>
    <row r="105" spans="1:9">
      <c r="A105" s="29">
        <v>32</v>
      </c>
      <c r="B105" s="48" t="s">
        <v>334</v>
      </c>
      <c r="C105" s="91" t="s">
        <v>91</v>
      </c>
      <c r="D105" s="92" t="s">
        <v>232</v>
      </c>
      <c r="E105" s="33"/>
      <c r="F105" s="33">
        <v>1</v>
      </c>
      <c r="G105" s="33">
        <v>7508.71</v>
      </c>
      <c r="H105" s="90"/>
      <c r="I105" s="47">
        <f>G105*1</f>
        <v>7508.71</v>
      </c>
    </row>
    <row r="106" spans="1:9" ht="30">
      <c r="A106" s="29">
        <v>33</v>
      </c>
      <c r="B106" s="48" t="s">
        <v>335</v>
      </c>
      <c r="C106" s="91" t="s">
        <v>80</v>
      </c>
      <c r="D106" s="92" t="s">
        <v>339</v>
      </c>
      <c r="E106" s="33"/>
      <c r="F106" s="33">
        <v>1</v>
      </c>
      <c r="G106" s="33">
        <v>1345.37</v>
      </c>
      <c r="H106" s="90"/>
      <c r="I106" s="47">
        <f>G106*1</f>
        <v>1345.37</v>
      </c>
    </row>
    <row r="107" spans="1:9">
      <c r="A107" s="29">
        <v>34</v>
      </c>
      <c r="B107" s="48" t="s">
        <v>336</v>
      </c>
      <c r="C107" s="91" t="s">
        <v>30</v>
      </c>
      <c r="D107" s="92" t="s">
        <v>338</v>
      </c>
      <c r="E107" s="33"/>
      <c r="F107" s="33">
        <v>1</v>
      </c>
      <c r="G107" s="33">
        <v>591.69000000000005</v>
      </c>
      <c r="H107" s="90"/>
      <c r="I107" s="47">
        <f>G107*1</f>
        <v>591.69000000000005</v>
      </c>
    </row>
    <row r="108" spans="1:9" ht="30">
      <c r="A108" s="29">
        <v>35</v>
      </c>
      <c r="B108" s="48" t="s">
        <v>210</v>
      </c>
      <c r="C108" s="91" t="s">
        <v>37</v>
      </c>
      <c r="D108" s="92" t="s">
        <v>221</v>
      </c>
      <c r="E108" s="33"/>
      <c r="F108" s="33">
        <v>0.13</v>
      </c>
      <c r="G108" s="33">
        <v>4070.89</v>
      </c>
      <c r="H108" s="90"/>
      <c r="I108" s="47">
        <v>0</v>
      </c>
    </row>
    <row r="109" spans="1:9" hidden="1">
      <c r="A109" s="29"/>
      <c r="B109" s="48"/>
      <c r="C109" s="91"/>
      <c r="D109" s="102"/>
      <c r="E109" s="33"/>
      <c r="F109" s="33"/>
      <c r="G109" s="33"/>
      <c r="H109" s="90"/>
      <c r="I109" s="47"/>
    </row>
    <row r="110" spans="1:9" hidden="1">
      <c r="A110" s="29"/>
      <c r="B110" s="48"/>
      <c r="C110" s="91"/>
      <c r="D110" s="102"/>
      <c r="E110" s="33"/>
      <c r="F110" s="33"/>
      <c r="G110" s="33"/>
      <c r="H110" s="90"/>
      <c r="I110" s="47"/>
    </row>
    <row r="111" spans="1:9" hidden="1">
      <c r="A111" s="29"/>
      <c r="B111" s="48"/>
      <c r="C111" s="91"/>
      <c r="D111" s="102"/>
      <c r="E111" s="33"/>
      <c r="F111" s="33"/>
      <c r="G111" s="33"/>
      <c r="H111" s="90"/>
      <c r="I111" s="47"/>
    </row>
    <row r="112" spans="1:9" ht="17.25" customHeight="1">
      <c r="A112" s="29"/>
      <c r="B112" s="40" t="s">
        <v>51</v>
      </c>
      <c r="C112" s="36"/>
      <c r="D112" s="44"/>
      <c r="E112" s="36">
        <v>1</v>
      </c>
      <c r="F112" s="36"/>
      <c r="G112" s="36"/>
      <c r="H112" s="36"/>
      <c r="I112" s="31">
        <f>SUM(I93:I111)</f>
        <v>17581.685579999998</v>
      </c>
    </row>
    <row r="113" spans="1:9">
      <c r="A113" s="29"/>
      <c r="B113" s="42" t="s">
        <v>78</v>
      </c>
      <c r="C113" s="15"/>
      <c r="D113" s="15"/>
      <c r="E113" s="37"/>
      <c r="F113" s="37"/>
      <c r="G113" s="38"/>
      <c r="H113" s="38"/>
      <c r="I113" s="17">
        <v>0</v>
      </c>
    </row>
    <row r="114" spans="1:9">
      <c r="A114" s="45"/>
      <c r="B114" s="41" t="s">
        <v>173</v>
      </c>
      <c r="C114" s="32"/>
      <c r="D114" s="32"/>
      <c r="E114" s="32"/>
      <c r="F114" s="32"/>
      <c r="G114" s="32"/>
      <c r="H114" s="32"/>
      <c r="I114" s="39">
        <f>I112+I91</f>
        <v>151140.3141785</v>
      </c>
    </row>
    <row r="115" spans="1:9" ht="15.75">
      <c r="A115" s="240" t="s">
        <v>374</v>
      </c>
      <c r="B115" s="240"/>
      <c r="C115" s="240"/>
      <c r="D115" s="240"/>
      <c r="E115" s="240"/>
      <c r="F115" s="240"/>
      <c r="G115" s="240"/>
      <c r="H115" s="240"/>
      <c r="I115" s="240"/>
    </row>
    <row r="116" spans="1:9" ht="15.75">
      <c r="A116" s="56"/>
      <c r="B116" s="241" t="s">
        <v>375</v>
      </c>
      <c r="C116" s="241"/>
      <c r="D116" s="241"/>
      <c r="E116" s="241"/>
      <c r="F116" s="241"/>
      <c r="G116" s="241"/>
      <c r="H116" s="61"/>
      <c r="I116" s="3"/>
    </row>
    <row r="117" spans="1:9">
      <c r="A117" s="177"/>
      <c r="B117" s="228" t="s">
        <v>6</v>
      </c>
      <c r="C117" s="228"/>
      <c r="D117" s="228"/>
      <c r="E117" s="228"/>
      <c r="F117" s="228"/>
      <c r="G117" s="228"/>
      <c r="H117" s="24"/>
      <c r="I117" s="5"/>
    </row>
    <row r="118" spans="1:9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ht="15.75">
      <c r="A119" s="242" t="s">
        <v>7</v>
      </c>
      <c r="B119" s="242"/>
      <c r="C119" s="242"/>
      <c r="D119" s="242"/>
      <c r="E119" s="242"/>
      <c r="F119" s="242"/>
      <c r="G119" s="242"/>
      <c r="H119" s="242"/>
      <c r="I119" s="242"/>
    </row>
    <row r="120" spans="1:9" ht="15.75">
      <c r="A120" s="242" t="s">
        <v>8</v>
      </c>
      <c r="B120" s="242"/>
      <c r="C120" s="242"/>
      <c r="D120" s="242"/>
      <c r="E120" s="242"/>
      <c r="F120" s="242"/>
      <c r="G120" s="242"/>
      <c r="H120" s="242"/>
      <c r="I120" s="242"/>
    </row>
    <row r="121" spans="1:9" ht="15.75">
      <c r="A121" s="232" t="s">
        <v>60</v>
      </c>
      <c r="B121" s="232"/>
      <c r="C121" s="232"/>
      <c r="D121" s="232"/>
      <c r="E121" s="232"/>
      <c r="F121" s="232"/>
      <c r="G121" s="232"/>
      <c r="H121" s="232"/>
      <c r="I121" s="232"/>
    </row>
    <row r="122" spans="1:9" ht="15.75">
      <c r="A122" s="11"/>
    </row>
    <row r="123" spans="1:9" ht="15.75">
      <c r="A123" s="226" t="s">
        <v>9</v>
      </c>
      <c r="B123" s="226"/>
      <c r="C123" s="226"/>
      <c r="D123" s="226"/>
      <c r="E123" s="226"/>
      <c r="F123" s="226"/>
      <c r="G123" s="226"/>
      <c r="H123" s="226"/>
      <c r="I123" s="226"/>
    </row>
    <row r="124" spans="1:9" ht="15.75">
      <c r="A124" s="4"/>
    </row>
    <row r="125" spans="1:9" ht="15.75">
      <c r="B125" s="178" t="s">
        <v>10</v>
      </c>
      <c r="C125" s="227" t="s">
        <v>318</v>
      </c>
      <c r="D125" s="227"/>
      <c r="E125" s="227"/>
      <c r="F125" s="59"/>
      <c r="I125" s="176"/>
    </row>
    <row r="126" spans="1:9">
      <c r="A126" s="177"/>
      <c r="C126" s="228" t="s">
        <v>11</v>
      </c>
      <c r="D126" s="228"/>
      <c r="E126" s="228"/>
      <c r="F126" s="24"/>
      <c r="I126" s="175" t="s">
        <v>12</v>
      </c>
    </row>
    <row r="127" spans="1:9" ht="15.75">
      <c r="A127" s="25"/>
      <c r="C127" s="12"/>
      <c r="D127" s="12"/>
      <c r="G127" s="12"/>
      <c r="H127" s="12"/>
    </row>
    <row r="128" spans="1:9" ht="15.75">
      <c r="B128" s="178" t="s">
        <v>13</v>
      </c>
      <c r="C128" s="229"/>
      <c r="D128" s="229"/>
      <c r="E128" s="229"/>
      <c r="F128" s="60"/>
      <c r="I128" s="176"/>
    </row>
    <row r="129" spans="1:9">
      <c r="A129" s="177"/>
      <c r="C129" s="230" t="s">
        <v>11</v>
      </c>
      <c r="D129" s="230"/>
      <c r="E129" s="230"/>
      <c r="F129" s="177"/>
      <c r="I129" s="175" t="s">
        <v>12</v>
      </c>
    </row>
    <row r="130" spans="1:9" ht="15.75">
      <c r="A130" s="4" t="s">
        <v>14</v>
      </c>
    </row>
    <row r="131" spans="1:9">
      <c r="A131" s="231" t="s">
        <v>15</v>
      </c>
      <c r="B131" s="231"/>
      <c r="C131" s="231"/>
      <c r="D131" s="231"/>
      <c r="E131" s="231"/>
      <c r="F131" s="231"/>
      <c r="G131" s="231"/>
      <c r="H131" s="231"/>
      <c r="I131" s="231"/>
    </row>
    <row r="132" spans="1:9" ht="42.75" customHeight="1">
      <c r="A132" s="225" t="s">
        <v>16</v>
      </c>
      <c r="B132" s="225"/>
      <c r="C132" s="225"/>
      <c r="D132" s="225"/>
      <c r="E132" s="225"/>
      <c r="F132" s="225"/>
      <c r="G132" s="225"/>
      <c r="H132" s="225"/>
      <c r="I132" s="225"/>
    </row>
    <row r="133" spans="1:9" ht="36.75" customHeight="1">
      <c r="A133" s="225" t="s">
        <v>17</v>
      </c>
      <c r="B133" s="225"/>
      <c r="C133" s="225"/>
      <c r="D133" s="225"/>
      <c r="E133" s="225"/>
      <c r="F133" s="225"/>
      <c r="G133" s="225"/>
      <c r="H133" s="225"/>
      <c r="I133" s="225"/>
    </row>
    <row r="134" spans="1:9" ht="32.25" customHeight="1">
      <c r="A134" s="225" t="s">
        <v>21</v>
      </c>
      <c r="B134" s="225"/>
      <c r="C134" s="225"/>
      <c r="D134" s="225"/>
      <c r="E134" s="225"/>
      <c r="F134" s="225"/>
      <c r="G134" s="225"/>
      <c r="H134" s="225"/>
      <c r="I134" s="225"/>
    </row>
    <row r="135" spans="1:9" ht="15.75">
      <c r="A135" s="225" t="s">
        <v>20</v>
      </c>
      <c r="B135" s="225"/>
      <c r="C135" s="225"/>
      <c r="D135" s="225"/>
      <c r="E135" s="225"/>
      <c r="F135" s="225"/>
      <c r="G135" s="225"/>
      <c r="H135" s="225"/>
      <c r="I135" s="225"/>
    </row>
  </sheetData>
  <mergeCells count="28">
    <mergeCell ref="A14:I14"/>
    <mergeCell ref="A3:I3"/>
    <mergeCell ref="A4:I4"/>
    <mergeCell ref="A5:I5"/>
    <mergeCell ref="A8:I8"/>
    <mergeCell ref="A10:I10"/>
    <mergeCell ref="A121:I121"/>
    <mergeCell ref="A15:I15"/>
    <mergeCell ref="A28:I28"/>
    <mergeCell ref="A46:I46"/>
    <mergeCell ref="A56:I56"/>
    <mergeCell ref="A88:I88"/>
    <mergeCell ref="A92:I92"/>
    <mergeCell ref="A115:I115"/>
    <mergeCell ref="B116:G116"/>
    <mergeCell ref="B117:G117"/>
    <mergeCell ref="A119:I119"/>
    <mergeCell ref="A120:I120"/>
    <mergeCell ref="A132:I132"/>
    <mergeCell ref="A133:I133"/>
    <mergeCell ref="A134:I134"/>
    <mergeCell ref="A135:I135"/>
    <mergeCell ref="A123:I123"/>
    <mergeCell ref="C125:E125"/>
    <mergeCell ref="C126:E126"/>
    <mergeCell ref="C128:E128"/>
    <mergeCell ref="C129:E129"/>
    <mergeCell ref="A131:I13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7"/>
  <sheetViews>
    <sheetView view="pageBreakPreview" topLeftCell="A95" zoomScale="60" workbookViewId="0">
      <selection activeCell="A113" sqref="A113:I11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6" t="s">
        <v>168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236</v>
      </c>
      <c r="B5" s="248"/>
      <c r="C5" s="248"/>
      <c r="D5" s="248"/>
      <c r="E5" s="248"/>
      <c r="F5" s="248"/>
      <c r="G5" s="248"/>
      <c r="H5" s="248"/>
      <c r="I5" s="248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43889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  <c r="J15" s="8"/>
      <c r="K15" s="8"/>
      <c r="L15" s="8"/>
      <c r="M15" s="8"/>
    </row>
    <row r="16" spans="1:13" ht="15.7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 t="shared" ref="H16:H26" si="0"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 t="shared" si="0"/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181.91</v>
      </c>
      <c r="H19" s="70">
        <f t="shared" si="0"/>
        <v>0.52390080000000006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112" t="s">
        <v>97</v>
      </c>
      <c r="C20" s="113" t="s">
        <v>104</v>
      </c>
      <c r="D20" s="112" t="s">
        <v>41</v>
      </c>
      <c r="E20" s="190">
        <v>17.5</v>
      </c>
      <c r="F20" s="114">
        <f>SUM(E20*2/100)</f>
        <v>0.35</v>
      </c>
      <c r="G20" s="114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112" t="s">
        <v>98</v>
      </c>
      <c r="C21" s="113" t="s">
        <v>104</v>
      </c>
      <c r="D21" s="96" t="s">
        <v>41</v>
      </c>
      <c r="E21" s="98">
        <v>5.94</v>
      </c>
      <c r="F21" s="114">
        <f>SUM(E21*2/100)</f>
        <v>0.1188</v>
      </c>
      <c r="G21" s="9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287.83999999999997</v>
      </c>
      <c r="H22" s="70">
        <f t="shared" si="0"/>
        <v>1.0822783999999999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109</v>
      </c>
      <c r="C23" s="67" t="s">
        <v>52</v>
      </c>
      <c r="D23" s="66" t="s">
        <v>107</v>
      </c>
      <c r="E23" s="71">
        <v>60.4</v>
      </c>
      <c r="F23" s="69">
        <f>SUM(E23/100)</f>
        <v>0.60399999999999998</v>
      </c>
      <c r="G23" s="69">
        <v>47.34</v>
      </c>
      <c r="H23" s="70">
        <f t="shared" si="0"/>
        <v>2.8593360000000002E-2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101</v>
      </c>
      <c r="C24" s="67" t="s">
        <v>52</v>
      </c>
      <c r="D24" s="66" t="s">
        <v>53</v>
      </c>
      <c r="E24" s="18">
        <v>25</v>
      </c>
      <c r="F24" s="72">
        <f>E24/100</f>
        <v>0.25</v>
      </c>
      <c r="G24" s="69">
        <v>416.62</v>
      </c>
      <c r="H24" s="70">
        <f>F24*G24/1000</f>
        <v>0.104155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110</v>
      </c>
      <c r="C25" s="67" t="s">
        <v>52</v>
      </c>
      <c r="D25" s="66" t="s">
        <v>107</v>
      </c>
      <c r="E25" s="71">
        <v>23.75</v>
      </c>
      <c r="F25" s="69">
        <f>E25/100</f>
        <v>0.23749999999999999</v>
      </c>
      <c r="G25" s="69">
        <v>231.03</v>
      </c>
      <c r="H25" s="70">
        <f>F25*G25/1000</f>
        <v>5.4869624999999998E-2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11</v>
      </c>
      <c r="B26" s="66" t="s">
        <v>102</v>
      </c>
      <c r="C26" s="67" t="s">
        <v>52</v>
      </c>
      <c r="D26" s="66" t="s">
        <v>107</v>
      </c>
      <c r="E26" s="68">
        <v>10.63</v>
      </c>
      <c r="F26" s="69">
        <f>SUM(E26/100)</f>
        <v>0.10630000000000001</v>
      </c>
      <c r="G26" s="69">
        <v>556.74</v>
      </c>
      <c r="H26" s="70">
        <f t="shared" si="0"/>
        <v>5.9181462000000004E-2</v>
      </c>
      <c r="I26" s="13">
        <v>0</v>
      </c>
      <c r="J26" s="22"/>
      <c r="K26" s="8"/>
      <c r="L26" s="8"/>
      <c r="M26" s="8"/>
    </row>
    <row r="27" spans="1:13" ht="15.75" customHeight="1">
      <c r="A27" s="29">
        <v>4</v>
      </c>
      <c r="B27" s="112" t="s">
        <v>211</v>
      </c>
      <c r="C27" s="113" t="s">
        <v>25</v>
      </c>
      <c r="D27" s="112" t="s">
        <v>215</v>
      </c>
      <c r="E27" s="215">
        <v>5.72</v>
      </c>
      <c r="F27" s="114">
        <f>E27*258</f>
        <v>1475.76</v>
      </c>
      <c r="G27" s="114">
        <v>10.39</v>
      </c>
      <c r="H27" s="70">
        <f>SUM(F27*G27/1000)</f>
        <v>15.333146400000002</v>
      </c>
      <c r="I27" s="13">
        <f>F27/12*G27</f>
        <v>1277.7622000000001</v>
      </c>
      <c r="J27" s="23"/>
    </row>
    <row r="28" spans="1:13" ht="15.75" customHeight="1">
      <c r="A28" s="233" t="s">
        <v>85</v>
      </c>
      <c r="B28" s="233"/>
      <c r="C28" s="233"/>
      <c r="D28" s="233"/>
      <c r="E28" s="233"/>
      <c r="F28" s="233"/>
      <c r="G28" s="233"/>
      <c r="H28" s="233"/>
      <c r="I28" s="233"/>
      <c r="J28" s="22"/>
      <c r="K28" s="8"/>
      <c r="L28" s="8"/>
      <c r="M28" s="8"/>
    </row>
    <row r="29" spans="1:13" ht="15.75" hidden="1" customHeight="1">
      <c r="A29" s="29"/>
      <c r="B29" s="87" t="s">
        <v>28</v>
      </c>
      <c r="C29" s="67"/>
      <c r="D29" s="66"/>
      <c r="E29" s="68"/>
      <c r="F29" s="69"/>
      <c r="G29" s="69"/>
      <c r="H29" s="70"/>
      <c r="I29" s="13"/>
      <c r="J29" s="22"/>
      <c r="K29" s="8"/>
      <c r="L29" s="8"/>
      <c r="M29" s="8"/>
    </row>
    <row r="30" spans="1:13" ht="15.75" hidden="1" customHeight="1">
      <c r="A30" s="29">
        <v>7</v>
      </c>
      <c r="B30" s="66" t="s">
        <v>111</v>
      </c>
      <c r="C30" s="67" t="s">
        <v>112</v>
      </c>
      <c r="D30" s="66" t="s">
        <v>113</v>
      </c>
      <c r="E30" s="69">
        <v>357.22</v>
      </c>
      <c r="F30" s="69">
        <f>SUM(E30*52/1000)</f>
        <v>18.575440000000004</v>
      </c>
      <c r="G30" s="69">
        <v>166.65</v>
      </c>
      <c r="H30" s="70">
        <f t="shared" ref="H30:H37" si="1">SUM(F30*G30/1000)</f>
        <v>3.0955970760000011</v>
      </c>
      <c r="I30" s="13">
        <f>F30/6*G30</f>
        <v>515.93284600000015</v>
      </c>
      <c r="J30" s="22"/>
      <c r="K30" s="8"/>
      <c r="L30" s="8"/>
      <c r="M30" s="8"/>
    </row>
    <row r="31" spans="1:13" ht="31.5" hidden="1" customHeight="1">
      <c r="A31" s="29">
        <v>8</v>
      </c>
      <c r="B31" s="66" t="s">
        <v>166</v>
      </c>
      <c r="C31" s="67" t="s">
        <v>112</v>
      </c>
      <c r="D31" s="66" t="s">
        <v>114</v>
      </c>
      <c r="E31" s="69">
        <v>475.06</v>
      </c>
      <c r="F31" s="69">
        <f>SUM(E31*78/1000)</f>
        <v>37.054679999999998</v>
      </c>
      <c r="G31" s="69">
        <v>276.48</v>
      </c>
      <c r="H31" s="70">
        <f t="shared" si="1"/>
        <v>10.244877926400001</v>
      </c>
      <c r="I31" s="13">
        <f>F31/6*G31</f>
        <v>1707.4796544000001</v>
      </c>
      <c r="J31" s="22"/>
      <c r="K31" s="8"/>
      <c r="L31" s="8"/>
      <c r="M31" s="8"/>
    </row>
    <row r="32" spans="1:13" ht="15.75" hidden="1" customHeight="1">
      <c r="A32" s="29">
        <v>16</v>
      </c>
      <c r="B32" s="66" t="s">
        <v>27</v>
      </c>
      <c r="C32" s="67" t="s">
        <v>112</v>
      </c>
      <c r="D32" s="66" t="s">
        <v>53</v>
      </c>
      <c r="E32" s="69">
        <v>357.22</v>
      </c>
      <c r="F32" s="69">
        <f>SUM(E32/1000)</f>
        <v>0.35722000000000004</v>
      </c>
      <c r="G32" s="69">
        <v>3228.73</v>
      </c>
      <c r="H32" s="70">
        <f t="shared" si="1"/>
        <v>1.1533669306000001</v>
      </c>
      <c r="I32" s="13">
        <f>F32*G32</f>
        <v>1153.3669306000002</v>
      </c>
      <c r="J32" s="22"/>
      <c r="K32" s="8"/>
      <c r="L32" s="8"/>
      <c r="M32" s="8"/>
    </row>
    <row r="33" spans="1:14" ht="15.75" hidden="1" customHeight="1">
      <c r="A33" s="29">
        <v>9</v>
      </c>
      <c r="B33" s="66" t="s">
        <v>140</v>
      </c>
      <c r="C33" s="67" t="s">
        <v>39</v>
      </c>
      <c r="D33" s="66" t="s">
        <v>141</v>
      </c>
      <c r="E33" s="69">
        <v>5</v>
      </c>
      <c r="F33" s="69">
        <f>E33*155/100</f>
        <v>7.75</v>
      </c>
      <c r="G33" s="69">
        <v>1391.86</v>
      </c>
      <c r="H33" s="70">
        <f>G33*F33/1000</f>
        <v>10.786914999999999</v>
      </c>
      <c r="I33" s="13">
        <f>F33/6*G33</f>
        <v>1797.8191666666667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115</v>
      </c>
      <c r="C34" s="67" t="s">
        <v>30</v>
      </c>
      <c r="D34" s="66" t="s">
        <v>62</v>
      </c>
      <c r="E34" s="73">
        <v>0.33333333333333331</v>
      </c>
      <c r="F34" s="69">
        <f>155/3</f>
        <v>51.666666666666664</v>
      </c>
      <c r="G34" s="69">
        <v>60.6</v>
      </c>
      <c r="H34" s="70">
        <f>SUM(G34*155/3/1000)</f>
        <v>3.1309999999999998</v>
      </c>
      <c r="I34" s="13">
        <f>F34/6*G34</f>
        <v>521.83333333333337</v>
      </c>
      <c r="J34" s="22"/>
      <c r="K34" s="8"/>
    </row>
    <row r="35" spans="1:14" ht="15.75" hidden="1" customHeight="1">
      <c r="A35" s="29"/>
      <c r="B35" s="66" t="s">
        <v>63</v>
      </c>
      <c r="C35" s="67" t="s">
        <v>33</v>
      </c>
      <c r="D35" s="66" t="s">
        <v>65</v>
      </c>
      <c r="E35" s="68"/>
      <c r="F35" s="69">
        <v>3</v>
      </c>
      <c r="G35" s="69">
        <v>204.52</v>
      </c>
      <c r="H35" s="70">
        <f t="shared" si="1"/>
        <v>0.61356000000000011</v>
      </c>
      <c r="I35" s="13">
        <v>0</v>
      </c>
      <c r="J35" s="23"/>
    </row>
    <row r="36" spans="1:14" ht="15.75" hidden="1" customHeight="1">
      <c r="A36" s="29"/>
      <c r="B36" s="66" t="s">
        <v>64</v>
      </c>
      <c r="C36" s="67" t="s">
        <v>32</v>
      </c>
      <c r="D36" s="66" t="s">
        <v>65</v>
      </c>
      <c r="E36" s="68"/>
      <c r="F36" s="69">
        <v>2</v>
      </c>
      <c r="G36" s="69">
        <v>1214.74</v>
      </c>
      <c r="H36" s="70">
        <f t="shared" si="1"/>
        <v>2.4294799999999999</v>
      </c>
      <c r="I36" s="13">
        <v>0</v>
      </c>
      <c r="J36" s="23"/>
    </row>
    <row r="37" spans="1:14" ht="15.75" hidden="1" customHeight="1">
      <c r="A37" s="29"/>
      <c r="B37" s="46" t="s">
        <v>142</v>
      </c>
      <c r="C37" s="62" t="s">
        <v>29</v>
      </c>
      <c r="D37" s="66"/>
      <c r="E37" s="68">
        <v>360.36</v>
      </c>
      <c r="F37" s="69">
        <f>E37*36/1000</f>
        <v>12.97296</v>
      </c>
      <c r="G37" s="69">
        <v>3228.73</v>
      </c>
      <c r="H37" s="70">
        <f t="shared" si="1"/>
        <v>41.886185140800002</v>
      </c>
      <c r="I37" s="13">
        <v>0</v>
      </c>
      <c r="J37" s="23"/>
    </row>
    <row r="38" spans="1:14" ht="15.75" customHeight="1">
      <c r="A38" s="29"/>
      <c r="B38" s="87" t="s">
        <v>5</v>
      </c>
      <c r="C38" s="67"/>
      <c r="D38" s="66"/>
      <c r="E38" s="68"/>
      <c r="F38" s="69"/>
      <c r="G38" s="69"/>
      <c r="H38" s="70" t="s">
        <v>129</v>
      </c>
      <c r="I38" s="13"/>
      <c r="J38" s="23"/>
    </row>
    <row r="39" spans="1:14" ht="15.75" customHeight="1">
      <c r="A39" s="29">
        <v>5</v>
      </c>
      <c r="B39" s="192" t="s">
        <v>26</v>
      </c>
      <c r="C39" s="113" t="s">
        <v>32</v>
      </c>
      <c r="D39" s="112" t="s">
        <v>237</v>
      </c>
      <c r="E39" s="190"/>
      <c r="F39" s="114">
        <v>5</v>
      </c>
      <c r="G39" s="114">
        <v>2083</v>
      </c>
      <c r="H39" s="70">
        <f t="shared" ref="H39:H45" si="2">SUM(F39*G39/1000)</f>
        <v>10.414999999999999</v>
      </c>
      <c r="I39" s="13">
        <f>G39*0.8</f>
        <v>1666.4</v>
      </c>
      <c r="J39" s="23"/>
      <c r="L39" s="19"/>
      <c r="M39" s="20"/>
      <c r="N39" s="21"/>
    </row>
    <row r="40" spans="1:14" ht="15.75" customHeight="1">
      <c r="A40" s="29">
        <v>6</v>
      </c>
      <c r="B40" s="192" t="s">
        <v>66</v>
      </c>
      <c r="C40" s="193" t="s">
        <v>29</v>
      </c>
      <c r="D40" s="192" t="s">
        <v>216</v>
      </c>
      <c r="E40" s="194">
        <v>469.73</v>
      </c>
      <c r="F40" s="194">
        <f>SUM(E40*30/1000)</f>
        <v>14.091900000000001</v>
      </c>
      <c r="G40" s="194">
        <v>2868.09</v>
      </c>
      <c r="H40" s="70">
        <f t="shared" si="2"/>
        <v>40.416837471000008</v>
      </c>
      <c r="I40" s="13">
        <f>F40/6*G40</f>
        <v>6736.1395785000004</v>
      </c>
      <c r="J40" s="23"/>
      <c r="L40" s="19"/>
      <c r="M40" s="20"/>
      <c r="N40" s="21"/>
    </row>
    <row r="41" spans="1:14" ht="15.75" hidden="1" customHeight="1">
      <c r="A41" s="29"/>
      <c r="B41" s="112" t="s">
        <v>67</v>
      </c>
      <c r="C41" s="113" t="s">
        <v>29</v>
      </c>
      <c r="D41" s="112" t="s">
        <v>217</v>
      </c>
      <c r="E41" s="114">
        <v>475.06</v>
      </c>
      <c r="F41" s="194">
        <f>SUM(E41*155/1000)</f>
        <v>73.634299999999996</v>
      </c>
      <c r="G41" s="114">
        <v>478.42</v>
      </c>
      <c r="H41" s="70">
        <f t="shared" si="2"/>
        <v>35.228121806000004</v>
      </c>
      <c r="I41" s="13">
        <v>0</v>
      </c>
      <c r="J41" s="23"/>
      <c r="L41" s="19"/>
      <c r="M41" s="20"/>
      <c r="N41" s="21"/>
    </row>
    <row r="42" spans="1:14" ht="15.75" customHeight="1">
      <c r="A42" s="29">
        <v>7</v>
      </c>
      <c r="B42" s="112" t="s">
        <v>67</v>
      </c>
      <c r="C42" s="113" t="s">
        <v>29</v>
      </c>
      <c r="D42" s="112" t="s">
        <v>217</v>
      </c>
      <c r="E42" s="114">
        <v>475.06</v>
      </c>
      <c r="F42" s="194">
        <f>SUM(E42*155/1000)</f>
        <v>73.634299999999996</v>
      </c>
      <c r="G42" s="114">
        <v>478.42</v>
      </c>
      <c r="H42" s="70">
        <f t="shared" si="2"/>
        <v>35.228121806000004</v>
      </c>
      <c r="I42" s="13">
        <f>F42/6*G42</f>
        <v>5871.3536343333326</v>
      </c>
      <c r="J42" s="23"/>
      <c r="L42" s="19"/>
      <c r="M42" s="20"/>
      <c r="N42" s="21"/>
    </row>
    <row r="43" spans="1:14" ht="47.25" customHeight="1">
      <c r="A43" s="29">
        <v>8</v>
      </c>
      <c r="B43" s="112" t="s">
        <v>82</v>
      </c>
      <c r="C43" s="113" t="s">
        <v>112</v>
      </c>
      <c r="D43" s="112" t="s">
        <v>218</v>
      </c>
      <c r="E43" s="114">
        <v>40.6</v>
      </c>
      <c r="F43" s="194">
        <f>SUM(E43*35/1000)</f>
        <v>1.421</v>
      </c>
      <c r="G43" s="114">
        <v>7915.6</v>
      </c>
      <c r="H43" s="70">
        <f t="shared" si="2"/>
        <v>11.248067600000001</v>
      </c>
      <c r="I43" s="13">
        <f>F43/6*G43</f>
        <v>1874.6779333333334</v>
      </c>
      <c r="J43" s="23"/>
      <c r="L43" s="19"/>
      <c r="M43" s="20"/>
      <c r="N43" s="21"/>
    </row>
    <row r="44" spans="1:14" ht="15.75" customHeight="1">
      <c r="A44" s="29">
        <v>9</v>
      </c>
      <c r="B44" s="112" t="s">
        <v>118</v>
      </c>
      <c r="C44" s="113" t="s">
        <v>112</v>
      </c>
      <c r="D44" s="112" t="s">
        <v>238</v>
      </c>
      <c r="E44" s="114">
        <v>167.03</v>
      </c>
      <c r="F44" s="194">
        <f>SUM(E44*45/1000)</f>
        <v>7.5163500000000001</v>
      </c>
      <c r="G44" s="114">
        <v>584.74</v>
      </c>
      <c r="H44" s="70">
        <f t="shared" si="2"/>
        <v>4.3951104990000003</v>
      </c>
      <c r="I44" s="13">
        <f>G44*F44/45</f>
        <v>97.669122200000004</v>
      </c>
      <c r="J44" s="23"/>
      <c r="L44" s="19"/>
      <c r="M44" s="20"/>
      <c r="N44" s="21"/>
    </row>
    <row r="45" spans="1:14" ht="15.75" customHeight="1">
      <c r="A45" s="186">
        <v>10</v>
      </c>
      <c r="B45" s="195" t="s">
        <v>69</v>
      </c>
      <c r="C45" s="196" t="s">
        <v>33</v>
      </c>
      <c r="D45" s="195"/>
      <c r="E45" s="197"/>
      <c r="F45" s="198">
        <v>1.2</v>
      </c>
      <c r="G45" s="198">
        <v>800</v>
      </c>
      <c r="H45" s="80">
        <f t="shared" si="2"/>
        <v>0.96</v>
      </c>
      <c r="I45" s="101">
        <f>G45*F45/45</f>
        <v>21.333333333333332</v>
      </c>
      <c r="J45" s="23"/>
      <c r="L45" s="19"/>
      <c r="M45" s="20"/>
      <c r="N45" s="21"/>
    </row>
    <row r="46" spans="1:14" ht="33" customHeight="1">
      <c r="A46" s="29">
        <v>11</v>
      </c>
      <c r="B46" s="48" t="s">
        <v>177</v>
      </c>
      <c r="C46" s="91" t="s">
        <v>29</v>
      </c>
      <c r="D46" s="192" t="s">
        <v>220</v>
      </c>
      <c r="E46" s="191">
        <v>4.2</v>
      </c>
      <c r="F46" s="194">
        <f>SUM(E46*12/1000)</f>
        <v>5.0400000000000007E-2</v>
      </c>
      <c r="G46" s="194">
        <v>270.61</v>
      </c>
      <c r="H46" s="13"/>
      <c r="I46" s="13">
        <f>G46*F46/6</f>
        <v>2.2731240000000006</v>
      </c>
      <c r="J46" s="23"/>
      <c r="L46" s="19"/>
      <c r="M46" s="20"/>
      <c r="N46" s="21"/>
    </row>
    <row r="47" spans="1:14" ht="15.75" customHeight="1">
      <c r="A47" s="234" t="s">
        <v>136</v>
      </c>
      <c r="B47" s="235"/>
      <c r="C47" s="235"/>
      <c r="D47" s="235"/>
      <c r="E47" s="235"/>
      <c r="F47" s="235"/>
      <c r="G47" s="235"/>
      <c r="H47" s="235"/>
      <c r="I47" s="236"/>
      <c r="J47" s="23"/>
      <c r="L47" s="19"/>
      <c r="M47" s="20"/>
      <c r="N47" s="21"/>
    </row>
    <row r="48" spans="1:14" ht="15.75" hidden="1" customHeight="1">
      <c r="A48" s="29"/>
      <c r="B48" s="66" t="s">
        <v>119</v>
      </c>
      <c r="C48" s="67" t="s">
        <v>112</v>
      </c>
      <c r="D48" s="66" t="s">
        <v>41</v>
      </c>
      <c r="E48" s="68">
        <v>1603.6</v>
      </c>
      <c r="F48" s="69">
        <f>SUM(E48*2/1000)</f>
        <v>3.2071999999999998</v>
      </c>
      <c r="G48" s="13">
        <v>908.11</v>
      </c>
      <c r="H48" s="70">
        <f t="shared" ref="H48:H56" si="3">SUM(F48*G48/1000)</f>
        <v>2.9124903919999996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6" t="s">
        <v>34</v>
      </c>
      <c r="C49" s="67" t="s">
        <v>112</v>
      </c>
      <c r="D49" s="66" t="s">
        <v>41</v>
      </c>
      <c r="E49" s="68">
        <v>65</v>
      </c>
      <c r="F49" s="69">
        <f>SUM(E49*2/1000)</f>
        <v>0.13</v>
      </c>
      <c r="G49" s="13">
        <v>619.46</v>
      </c>
      <c r="H49" s="70">
        <f t="shared" si="3"/>
        <v>8.0529800000000012E-2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6" t="s">
        <v>35</v>
      </c>
      <c r="C50" s="67" t="s">
        <v>112</v>
      </c>
      <c r="D50" s="66" t="s">
        <v>41</v>
      </c>
      <c r="E50" s="68">
        <v>1825.8</v>
      </c>
      <c r="F50" s="69">
        <f>SUM(E50*2/1000)</f>
        <v>3.6515999999999997</v>
      </c>
      <c r="G50" s="13">
        <v>619.46</v>
      </c>
      <c r="H50" s="70">
        <f t="shared" si="3"/>
        <v>2.2620201360000003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6" t="s">
        <v>36</v>
      </c>
      <c r="C51" s="67" t="s">
        <v>112</v>
      </c>
      <c r="D51" s="66" t="s">
        <v>41</v>
      </c>
      <c r="E51" s="68">
        <v>3163.96</v>
      </c>
      <c r="F51" s="69">
        <f>SUM(E51*2/1000)</f>
        <v>6.3279199999999998</v>
      </c>
      <c r="G51" s="13">
        <v>648.64</v>
      </c>
      <c r="H51" s="70">
        <f t="shared" si="3"/>
        <v>4.1045420287999992</v>
      </c>
      <c r="I51" s="13">
        <v>0</v>
      </c>
      <c r="J51" s="23"/>
      <c r="L51" s="19"/>
      <c r="M51" s="20"/>
      <c r="N51" s="21"/>
    </row>
    <row r="52" spans="1:22" ht="15.75" customHeight="1">
      <c r="A52" s="29">
        <v>12</v>
      </c>
      <c r="B52" s="112" t="s">
        <v>55</v>
      </c>
      <c r="C52" s="113" t="s">
        <v>112</v>
      </c>
      <c r="D52" s="112" t="s">
        <v>221</v>
      </c>
      <c r="E52" s="190">
        <v>5816.5</v>
      </c>
      <c r="F52" s="114">
        <f>SUM(E52*5/1000)</f>
        <v>29.0825</v>
      </c>
      <c r="G52" s="33">
        <v>1655.27</v>
      </c>
      <c r="H52" s="70">
        <f t="shared" si="3"/>
        <v>48.139389774999998</v>
      </c>
      <c r="I52" s="13">
        <f>F52/5*G52</f>
        <v>9627.8779549999999</v>
      </c>
      <c r="J52" s="23"/>
      <c r="L52" s="19"/>
      <c r="M52" s="20"/>
      <c r="N52" s="21"/>
    </row>
    <row r="53" spans="1:22" ht="31.5" hidden="1" customHeight="1">
      <c r="A53" s="29">
        <v>14</v>
      </c>
      <c r="B53" s="66" t="s">
        <v>120</v>
      </c>
      <c r="C53" s="67" t="s">
        <v>112</v>
      </c>
      <c r="D53" s="66" t="s">
        <v>41</v>
      </c>
      <c r="E53" s="68">
        <v>1583</v>
      </c>
      <c r="F53" s="69">
        <f>SUM(E53*2/1000)</f>
        <v>3.1659999999999999</v>
      </c>
      <c r="G53" s="13">
        <v>1297.28</v>
      </c>
      <c r="H53" s="70">
        <f t="shared" si="3"/>
        <v>4.1071884799999996</v>
      </c>
      <c r="I53" s="13">
        <f>F53/2*G53</f>
        <v>2053.5942399999999</v>
      </c>
      <c r="J53" s="23"/>
      <c r="L53" s="19"/>
      <c r="M53" s="20"/>
      <c r="N53" s="21"/>
    </row>
    <row r="54" spans="1:22" ht="31.5" hidden="1" customHeight="1">
      <c r="A54" s="29"/>
      <c r="B54" s="66" t="s">
        <v>121</v>
      </c>
      <c r="C54" s="67" t="s">
        <v>37</v>
      </c>
      <c r="D54" s="66" t="s">
        <v>41</v>
      </c>
      <c r="E54" s="68">
        <v>25</v>
      </c>
      <c r="F54" s="69">
        <f>SUM(E54*2/100)</f>
        <v>0.5</v>
      </c>
      <c r="G54" s="13">
        <v>2918.89</v>
      </c>
      <c r="H54" s="70">
        <f t="shared" si="3"/>
        <v>1.4594449999999999</v>
      </c>
      <c r="I54" s="13">
        <v>0</v>
      </c>
      <c r="J54" s="23"/>
      <c r="L54" s="19"/>
      <c r="M54" s="20"/>
      <c r="N54" s="21"/>
    </row>
    <row r="55" spans="1:22" ht="15.75" hidden="1" customHeight="1">
      <c r="A55" s="29"/>
      <c r="B55" s="66" t="s">
        <v>38</v>
      </c>
      <c r="C55" s="67" t="s">
        <v>39</v>
      </c>
      <c r="D55" s="66" t="s">
        <v>41</v>
      </c>
      <c r="E55" s="68">
        <v>1</v>
      </c>
      <c r="F55" s="69">
        <v>0.02</v>
      </c>
      <c r="G55" s="13">
        <v>6042.12</v>
      </c>
      <c r="H55" s="70">
        <f t="shared" si="3"/>
        <v>0.1208424</v>
      </c>
      <c r="I55" s="13">
        <v>0</v>
      </c>
      <c r="J55" s="23"/>
      <c r="L55" s="19"/>
      <c r="M55" s="20"/>
      <c r="N55" s="21"/>
    </row>
    <row r="56" spans="1:22" ht="15.75" hidden="1" customHeight="1">
      <c r="A56" s="29">
        <v>15</v>
      </c>
      <c r="B56" s="66" t="s">
        <v>40</v>
      </c>
      <c r="C56" s="67" t="s">
        <v>30</v>
      </c>
      <c r="D56" s="66" t="s">
        <v>70</v>
      </c>
      <c r="E56" s="68">
        <v>36</v>
      </c>
      <c r="F56" s="69">
        <f>SUM(E56)*3</f>
        <v>108</v>
      </c>
      <c r="G56" s="13">
        <v>70.209999999999994</v>
      </c>
      <c r="H56" s="70">
        <f t="shared" si="3"/>
        <v>7.582679999999999</v>
      </c>
      <c r="I56" s="13">
        <f>E56*G56</f>
        <v>2527.56</v>
      </c>
      <c r="J56" s="23"/>
      <c r="L56" s="19"/>
      <c r="M56" s="20"/>
      <c r="N56" s="21"/>
    </row>
    <row r="57" spans="1:22" ht="15.75" customHeight="1">
      <c r="A57" s="234" t="s">
        <v>137</v>
      </c>
      <c r="B57" s="235"/>
      <c r="C57" s="235"/>
      <c r="D57" s="235"/>
      <c r="E57" s="235"/>
      <c r="F57" s="235"/>
      <c r="G57" s="235"/>
      <c r="H57" s="235"/>
      <c r="I57" s="236"/>
      <c r="J57" s="23"/>
      <c r="L57" s="19"/>
      <c r="M57" s="20"/>
      <c r="N57" s="21"/>
    </row>
    <row r="58" spans="1:22" ht="15.75" hidden="1" customHeight="1">
      <c r="A58" s="29"/>
      <c r="B58" s="87" t="s">
        <v>42</v>
      </c>
      <c r="C58" s="67"/>
      <c r="D58" s="66"/>
      <c r="E58" s="68"/>
      <c r="F58" s="69"/>
      <c r="G58" s="69"/>
      <c r="H58" s="70"/>
      <c r="I58" s="13"/>
      <c r="J58" s="23"/>
      <c r="L58" s="19"/>
      <c r="M58" s="20"/>
      <c r="N58" s="21"/>
    </row>
    <row r="59" spans="1:22" ht="18" hidden="1" customHeight="1">
      <c r="A59" s="29">
        <v>13</v>
      </c>
      <c r="B59" s="112" t="s">
        <v>179</v>
      </c>
      <c r="C59" s="113" t="s">
        <v>104</v>
      </c>
      <c r="D59" s="112" t="s">
        <v>221</v>
      </c>
      <c r="E59" s="200">
        <v>3.78</v>
      </c>
      <c r="F59" s="33">
        <f>E59*6/100</f>
        <v>0.2268</v>
      </c>
      <c r="G59" s="194">
        <v>2110.4699999999998</v>
      </c>
      <c r="H59" s="70">
        <f>SUM(F59*G59/1000)</f>
        <v>0.47865459599999999</v>
      </c>
      <c r="I59" s="13">
        <f>F59/6*G59</f>
        <v>79.77576599999999</v>
      </c>
      <c r="J59" s="23"/>
      <c r="L59" s="19"/>
      <c r="M59" s="20"/>
      <c r="N59" s="21"/>
    </row>
    <row r="60" spans="1:22" ht="31.5" hidden="1" customHeight="1">
      <c r="A60" s="29">
        <v>15</v>
      </c>
      <c r="B60" s="66" t="s">
        <v>123</v>
      </c>
      <c r="C60" s="67" t="s">
        <v>104</v>
      </c>
      <c r="D60" s="66" t="s">
        <v>71</v>
      </c>
      <c r="E60" s="68">
        <v>185.36</v>
      </c>
      <c r="F60" s="69">
        <f>E60*6/100</f>
        <v>11.121600000000001</v>
      </c>
      <c r="G60" s="76">
        <v>1654.04</v>
      </c>
      <c r="H60" s="70">
        <f>F60*G60/1000</f>
        <v>18.395571264000001</v>
      </c>
      <c r="I60" s="13">
        <f>G60*0.248</f>
        <v>410.20191999999997</v>
      </c>
      <c r="J60" s="23"/>
      <c r="L60" s="19"/>
    </row>
    <row r="61" spans="1:22" ht="15.75" hidden="1" customHeight="1">
      <c r="A61" s="29"/>
      <c r="B61" s="77" t="s">
        <v>99</v>
      </c>
      <c r="C61" s="67" t="s">
        <v>100</v>
      </c>
      <c r="D61" s="77" t="s">
        <v>41</v>
      </c>
      <c r="E61" s="78">
        <v>5</v>
      </c>
      <c r="F61" s="79">
        <v>10</v>
      </c>
      <c r="G61" s="76">
        <v>198.25</v>
      </c>
      <c r="H61" s="80">
        <v>0.99099999999999999</v>
      </c>
      <c r="I61" s="13">
        <v>0</v>
      </c>
      <c r="J61" s="23"/>
      <c r="L61" s="19"/>
    </row>
    <row r="62" spans="1:22" ht="15.75" customHeight="1">
      <c r="A62" s="29"/>
      <c r="B62" s="88" t="s">
        <v>43</v>
      </c>
      <c r="C62" s="81"/>
      <c r="D62" s="77"/>
      <c r="E62" s="78"/>
      <c r="F62" s="79"/>
      <c r="G62" s="82"/>
      <c r="H62" s="80"/>
      <c r="I62" s="13"/>
    </row>
    <row r="63" spans="1:22" ht="15.75" hidden="1" customHeight="1">
      <c r="A63" s="29"/>
      <c r="B63" s="77" t="s">
        <v>44</v>
      </c>
      <c r="C63" s="81" t="s">
        <v>52</v>
      </c>
      <c r="D63" s="77" t="s">
        <v>53</v>
      </c>
      <c r="E63" s="78">
        <v>1752</v>
      </c>
      <c r="F63" s="79">
        <f>E63/100</f>
        <v>17.52</v>
      </c>
      <c r="G63" s="69">
        <v>848.37</v>
      </c>
      <c r="H63" s="80">
        <f>G63*F63/1000</f>
        <v>14.8634424</v>
      </c>
      <c r="I63" s="13">
        <v>0</v>
      </c>
    </row>
    <row r="64" spans="1:22" ht="15.75" customHeight="1">
      <c r="A64" s="29">
        <v>13</v>
      </c>
      <c r="B64" s="96" t="s">
        <v>95</v>
      </c>
      <c r="C64" s="97" t="s">
        <v>25</v>
      </c>
      <c r="D64" s="96" t="s">
        <v>221</v>
      </c>
      <c r="E64" s="98">
        <v>200</v>
      </c>
      <c r="F64" s="99">
        <f>E64*12</f>
        <v>2400</v>
      </c>
      <c r="G64" s="100">
        <v>1.4</v>
      </c>
      <c r="H64" s="80">
        <f>G64*F64/1000</f>
        <v>3.36</v>
      </c>
      <c r="I64" s="13">
        <f>F64/12*G64</f>
        <v>280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/>
      <c r="B65" s="88" t="s">
        <v>45</v>
      </c>
      <c r="C65" s="81"/>
      <c r="D65" s="77"/>
      <c r="E65" s="78"/>
      <c r="F65" s="79"/>
      <c r="G65" s="89"/>
      <c r="H65" s="80" t="s">
        <v>129</v>
      </c>
      <c r="I65" s="13"/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29">
        <v>15</v>
      </c>
      <c r="B66" s="214" t="s">
        <v>46</v>
      </c>
      <c r="C66" s="102" t="s">
        <v>122</v>
      </c>
      <c r="D66" s="93" t="s">
        <v>221</v>
      </c>
      <c r="E66" s="17">
        <v>14</v>
      </c>
      <c r="F66" s="115">
        <f>SUM(E66)</f>
        <v>14</v>
      </c>
      <c r="G66" s="33">
        <v>303.35000000000002</v>
      </c>
      <c r="H66" s="63">
        <f t="shared" ref="H66:H83" si="4">SUM(F66*G66/1000)</f>
        <v>4.2469000000000001</v>
      </c>
      <c r="I66" s="13">
        <f>G66*1</f>
        <v>303.35000000000002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/>
      <c r="B67" s="14" t="s">
        <v>47</v>
      </c>
      <c r="C67" s="16" t="s">
        <v>122</v>
      </c>
      <c r="D67" s="14" t="s">
        <v>65</v>
      </c>
      <c r="E67" s="18">
        <v>5</v>
      </c>
      <c r="F67" s="69">
        <v>5</v>
      </c>
      <c r="G67" s="13">
        <v>81.510000000000005</v>
      </c>
      <c r="H67" s="63">
        <f t="shared" si="4"/>
        <v>0.40755000000000002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230"/>
      <c r="S67" s="230"/>
      <c r="T67" s="230"/>
      <c r="U67" s="230"/>
    </row>
    <row r="68" spans="1:21" ht="15.75" hidden="1" customHeight="1">
      <c r="A68" s="29"/>
      <c r="B68" s="14" t="s">
        <v>48</v>
      </c>
      <c r="C68" s="16" t="s">
        <v>124</v>
      </c>
      <c r="D68" s="14" t="s">
        <v>53</v>
      </c>
      <c r="E68" s="68">
        <v>23808</v>
      </c>
      <c r="F68" s="13">
        <f>SUM(E68/100)</f>
        <v>238.08</v>
      </c>
      <c r="G68" s="13">
        <v>226.79</v>
      </c>
      <c r="H68" s="63">
        <f t="shared" si="4"/>
        <v>53.994163200000003</v>
      </c>
      <c r="I68" s="13">
        <f t="shared" ref="I68:I73" si="5">F68*G68</f>
        <v>53994.163200000003</v>
      </c>
    </row>
    <row r="69" spans="1:21" ht="15.75" hidden="1" customHeight="1">
      <c r="A69" s="29"/>
      <c r="B69" s="14" t="s">
        <v>49</v>
      </c>
      <c r="C69" s="16" t="s">
        <v>125</v>
      </c>
      <c r="D69" s="14"/>
      <c r="E69" s="68">
        <v>23808</v>
      </c>
      <c r="F69" s="13">
        <f>SUM(E69/1000)</f>
        <v>23.808</v>
      </c>
      <c r="G69" s="13">
        <v>176.61</v>
      </c>
      <c r="H69" s="63">
        <f t="shared" si="4"/>
        <v>4.2047308800000005</v>
      </c>
      <c r="I69" s="13">
        <f t="shared" si="5"/>
        <v>4204.7308800000001</v>
      </c>
    </row>
    <row r="70" spans="1:21" ht="15.75" hidden="1" customHeight="1">
      <c r="A70" s="29"/>
      <c r="B70" s="14" t="s">
        <v>50</v>
      </c>
      <c r="C70" s="16" t="s">
        <v>76</v>
      </c>
      <c r="D70" s="14" t="s">
        <v>53</v>
      </c>
      <c r="E70" s="68">
        <v>3810</v>
      </c>
      <c r="F70" s="13">
        <f>SUM(E70/100)</f>
        <v>38.1</v>
      </c>
      <c r="G70" s="13">
        <v>2217.7800000000002</v>
      </c>
      <c r="H70" s="63">
        <f t="shared" si="4"/>
        <v>84.49741800000001</v>
      </c>
      <c r="I70" s="13">
        <f t="shared" si="5"/>
        <v>84497.418000000005</v>
      </c>
    </row>
    <row r="71" spans="1:21" ht="15.75" hidden="1" customHeight="1">
      <c r="A71" s="29"/>
      <c r="B71" s="83" t="s">
        <v>126</v>
      </c>
      <c r="C71" s="16" t="s">
        <v>33</v>
      </c>
      <c r="D71" s="14"/>
      <c r="E71" s="68">
        <v>23.4</v>
      </c>
      <c r="F71" s="13">
        <f>SUM(E71)</f>
        <v>23.4</v>
      </c>
      <c r="G71" s="13">
        <v>42.67</v>
      </c>
      <c r="H71" s="63">
        <f t="shared" si="4"/>
        <v>0.99847799999999998</v>
      </c>
      <c r="I71" s="13">
        <f t="shared" si="5"/>
        <v>998.47799999999995</v>
      </c>
    </row>
    <row r="72" spans="1:21" ht="15.75" hidden="1" customHeight="1">
      <c r="A72" s="29"/>
      <c r="B72" s="83" t="s">
        <v>135</v>
      </c>
      <c r="C72" s="16" t="s">
        <v>33</v>
      </c>
      <c r="D72" s="14"/>
      <c r="E72" s="68">
        <v>23.4</v>
      </c>
      <c r="F72" s="13">
        <f>SUM(E72)</f>
        <v>23.4</v>
      </c>
      <c r="G72" s="13">
        <v>39.81</v>
      </c>
      <c r="H72" s="63">
        <f t="shared" si="4"/>
        <v>0.93155399999999999</v>
      </c>
      <c r="I72" s="13">
        <f t="shared" si="5"/>
        <v>931.55399999999997</v>
      </c>
    </row>
    <row r="73" spans="1:21" ht="15.75" hidden="1" customHeight="1">
      <c r="A73" s="29"/>
      <c r="B73" s="14" t="s">
        <v>56</v>
      </c>
      <c r="C73" s="16" t="s">
        <v>57</v>
      </c>
      <c r="D73" s="14" t="s">
        <v>53</v>
      </c>
      <c r="E73" s="18">
        <v>5</v>
      </c>
      <c r="F73" s="69">
        <f>SUM(E73)</f>
        <v>5</v>
      </c>
      <c r="G73" s="13">
        <v>53.32</v>
      </c>
      <c r="H73" s="63">
        <f t="shared" si="4"/>
        <v>0.2666</v>
      </c>
      <c r="I73" s="13">
        <f t="shared" si="5"/>
        <v>266.60000000000002</v>
      </c>
    </row>
    <row r="74" spans="1:21" ht="15.75" customHeight="1">
      <c r="A74" s="29">
        <v>14</v>
      </c>
      <c r="B74" s="83" t="s">
        <v>181</v>
      </c>
      <c r="C74" s="102"/>
      <c r="D74" s="93" t="s">
        <v>222</v>
      </c>
      <c r="E74" s="17">
        <v>1</v>
      </c>
      <c r="F74" s="33">
        <v>12</v>
      </c>
      <c r="G74" s="33">
        <v>1194</v>
      </c>
      <c r="H74" s="63">
        <v>8.5310000000000006</v>
      </c>
      <c r="I74" s="13">
        <f>F74/12*G74</f>
        <v>1194</v>
      </c>
    </row>
    <row r="75" spans="1:21" ht="15.75" customHeight="1">
      <c r="A75" s="29"/>
      <c r="B75" s="213" t="s">
        <v>182</v>
      </c>
      <c r="C75" s="102"/>
      <c r="D75" s="93"/>
      <c r="E75" s="17"/>
      <c r="F75" s="203"/>
      <c r="G75" s="33"/>
      <c r="H75" s="13"/>
      <c r="I75" s="13"/>
    </row>
    <row r="76" spans="1:21" ht="31.5" customHeight="1">
      <c r="A76" s="29">
        <v>15</v>
      </c>
      <c r="B76" s="204" t="s">
        <v>183</v>
      </c>
      <c r="C76" s="205" t="s">
        <v>184</v>
      </c>
      <c r="D76" s="204"/>
      <c r="E76" s="206">
        <v>5816.5</v>
      </c>
      <c r="F76" s="99">
        <f>SUM(E76)*12</f>
        <v>69798</v>
      </c>
      <c r="G76" s="207">
        <v>2.37</v>
      </c>
      <c r="H76" s="101"/>
      <c r="I76" s="101">
        <f>G76*F76/12</f>
        <v>13785.105000000001</v>
      </c>
    </row>
    <row r="77" spans="1:21" ht="17.25" customHeight="1">
      <c r="A77" s="29"/>
      <c r="B77" s="211" t="s">
        <v>72</v>
      </c>
      <c r="C77" s="16"/>
      <c r="D77" s="14"/>
      <c r="E77" s="18"/>
      <c r="F77" s="13"/>
      <c r="G77" s="13"/>
      <c r="H77" s="63" t="s">
        <v>129</v>
      </c>
      <c r="I77" s="13"/>
    </row>
    <row r="78" spans="1:21" ht="17.25" hidden="1" customHeight="1">
      <c r="A78" s="29">
        <v>18</v>
      </c>
      <c r="B78" s="93" t="s">
        <v>73</v>
      </c>
      <c r="C78" s="102" t="s">
        <v>188</v>
      </c>
      <c r="D78" s="93" t="s">
        <v>91</v>
      </c>
      <c r="E78" s="17">
        <v>6</v>
      </c>
      <c r="F78" s="33">
        <f>E78/10</f>
        <v>0.6</v>
      </c>
      <c r="G78" s="33">
        <v>684.19</v>
      </c>
      <c r="H78" s="63">
        <v>0.107</v>
      </c>
      <c r="I78" s="13">
        <f>G78*0.1</f>
        <v>68.419000000000011</v>
      </c>
    </row>
    <row r="79" spans="1:21" ht="19.5" hidden="1" customHeight="1">
      <c r="A79" s="29"/>
      <c r="B79" s="14" t="s">
        <v>87</v>
      </c>
      <c r="C79" s="16" t="s">
        <v>30</v>
      </c>
      <c r="D79" s="14"/>
      <c r="E79" s="18">
        <v>1</v>
      </c>
      <c r="F79" s="69">
        <f>SUM(E79)</f>
        <v>1</v>
      </c>
      <c r="G79" s="13">
        <v>383.25</v>
      </c>
      <c r="H79" s="63">
        <f t="shared" si="4"/>
        <v>0.38324999999999998</v>
      </c>
      <c r="I79" s="13">
        <v>0</v>
      </c>
    </row>
    <row r="80" spans="1:21" ht="21.75" hidden="1" customHeight="1">
      <c r="A80" s="29"/>
      <c r="B80" s="14" t="s">
        <v>74</v>
      </c>
      <c r="C80" s="16" t="s">
        <v>30</v>
      </c>
      <c r="D80" s="14"/>
      <c r="E80" s="18">
        <v>1</v>
      </c>
      <c r="F80" s="13">
        <v>1</v>
      </c>
      <c r="G80" s="13">
        <v>911.85</v>
      </c>
      <c r="H80" s="63">
        <f>F80*G80/1000</f>
        <v>0.91185000000000005</v>
      </c>
      <c r="I80" s="13">
        <v>0</v>
      </c>
    </row>
    <row r="81" spans="1:21" ht="32.25" customHeight="1">
      <c r="A81" s="29">
        <v>16</v>
      </c>
      <c r="B81" s="48" t="s">
        <v>185</v>
      </c>
      <c r="C81" s="91" t="s">
        <v>122</v>
      </c>
      <c r="D81" s="93" t="s">
        <v>221</v>
      </c>
      <c r="E81" s="206">
        <v>1</v>
      </c>
      <c r="F81" s="99">
        <f>E81*12</f>
        <v>12</v>
      </c>
      <c r="G81" s="207">
        <v>55.55</v>
      </c>
      <c r="H81" s="63"/>
      <c r="I81" s="13">
        <f>G81*1</f>
        <v>55.55</v>
      </c>
    </row>
    <row r="82" spans="1:21" ht="21.75" hidden="1" customHeight="1">
      <c r="A82" s="29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3"/>
    </row>
    <row r="83" spans="1:21" ht="20.25" hidden="1" customHeight="1">
      <c r="A83" s="29"/>
      <c r="B83" s="42" t="s">
        <v>130</v>
      </c>
      <c r="C83" s="16" t="s">
        <v>76</v>
      </c>
      <c r="D83" s="14"/>
      <c r="E83" s="18"/>
      <c r="F83" s="13">
        <v>0.6</v>
      </c>
      <c r="G83" s="13">
        <v>2949.85</v>
      </c>
      <c r="H83" s="63">
        <f t="shared" si="4"/>
        <v>1.7699099999999999</v>
      </c>
      <c r="I83" s="13">
        <v>0</v>
      </c>
      <c r="J83" s="5"/>
      <c r="K83" s="5"/>
      <c r="L83" s="5"/>
      <c r="M83" s="5"/>
      <c r="N83" s="5"/>
      <c r="O83" s="5"/>
      <c r="P83" s="5"/>
      <c r="Q83" s="5"/>
      <c r="R83" s="53"/>
      <c r="S83" s="53"/>
      <c r="T83" s="53"/>
      <c r="U83" s="53"/>
    </row>
    <row r="84" spans="1:21" ht="22.5" hidden="1" customHeight="1">
      <c r="A84" s="210"/>
      <c r="B84" s="211" t="s">
        <v>127</v>
      </c>
      <c r="C84" s="211"/>
      <c r="D84" s="211"/>
      <c r="E84" s="211"/>
      <c r="F84" s="211"/>
      <c r="G84" s="211"/>
      <c r="H84" s="211"/>
      <c r="I84" s="18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21.75" hidden="1" customHeight="1">
      <c r="A85" s="29"/>
      <c r="B85" s="66" t="s">
        <v>128</v>
      </c>
      <c r="C85" s="16"/>
      <c r="D85" s="14"/>
      <c r="E85" s="58"/>
      <c r="F85" s="13">
        <v>1</v>
      </c>
      <c r="G85" s="13">
        <v>21062.799999999999</v>
      </c>
      <c r="H85" s="63">
        <f>G85*F85/1000</f>
        <v>21.062799999999999</v>
      </c>
      <c r="I85" s="13">
        <v>0</v>
      </c>
      <c r="J85" s="5"/>
      <c r="K85" s="5"/>
      <c r="L85" s="5"/>
      <c r="M85" s="5"/>
      <c r="N85" s="5"/>
      <c r="O85" s="5"/>
      <c r="P85" s="5"/>
      <c r="Q85" s="5"/>
      <c r="R85" s="53"/>
      <c r="S85" s="53"/>
      <c r="T85" s="53"/>
      <c r="U85" s="53"/>
    </row>
    <row r="86" spans="1:21" ht="15.75" customHeight="1">
      <c r="A86" s="243" t="s">
        <v>138</v>
      </c>
      <c r="B86" s="244"/>
      <c r="C86" s="244"/>
      <c r="D86" s="244"/>
      <c r="E86" s="244"/>
      <c r="F86" s="244"/>
      <c r="G86" s="244"/>
      <c r="H86" s="244"/>
      <c r="I86" s="245"/>
    </row>
    <row r="87" spans="1:21" ht="15.75" customHeight="1">
      <c r="A87" s="29">
        <v>17</v>
      </c>
      <c r="B87" s="112" t="s">
        <v>131</v>
      </c>
      <c r="C87" s="102" t="s">
        <v>54</v>
      </c>
      <c r="D87" s="208"/>
      <c r="E87" s="33">
        <v>5816.5</v>
      </c>
      <c r="F87" s="33">
        <f>SUM(E87*12)</f>
        <v>69798</v>
      </c>
      <c r="G87" s="33">
        <v>3.22</v>
      </c>
      <c r="H87" s="63">
        <f>SUM(F87*G87/1000)</f>
        <v>224.74956000000003</v>
      </c>
      <c r="I87" s="13">
        <f>F87/12*G87</f>
        <v>18729.13</v>
      </c>
      <c r="J87" s="5"/>
      <c r="K87" s="5"/>
      <c r="L87" s="5"/>
      <c r="M87" s="5"/>
      <c r="N87" s="5"/>
      <c r="O87" s="5"/>
      <c r="P87" s="5"/>
      <c r="Q87" s="5"/>
      <c r="R87" s="53"/>
      <c r="S87" s="53"/>
      <c r="T87" s="53"/>
      <c r="U87" s="53"/>
    </row>
    <row r="88" spans="1:21" ht="31.5" customHeight="1">
      <c r="A88" s="29">
        <v>18</v>
      </c>
      <c r="B88" s="93" t="s">
        <v>77</v>
      </c>
      <c r="C88" s="102"/>
      <c r="D88" s="92"/>
      <c r="E88" s="190">
        <f>E86</f>
        <v>0</v>
      </c>
      <c r="F88" s="33">
        <v>69798</v>
      </c>
      <c r="G88" s="33">
        <v>3.64</v>
      </c>
      <c r="H88" s="63">
        <f>F88*G88/1000</f>
        <v>254.06471999999999</v>
      </c>
      <c r="I88" s="13">
        <f>F88/12*G88</f>
        <v>21172.06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15.75" customHeight="1">
      <c r="A89" s="210"/>
      <c r="B89" s="34" t="s">
        <v>79</v>
      </c>
      <c r="C89" s="35"/>
      <c r="D89" s="15"/>
      <c r="E89" s="15"/>
      <c r="F89" s="15"/>
      <c r="G89" s="18"/>
      <c r="H89" s="18"/>
      <c r="I89" s="31">
        <f>I88+I87+I81+I76+I74+I64+I52+I46+I45+I44+I43+I42+I40+I39+I27+I18+I17+I16</f>
        <v>114613.76105403334</v>
      </c>
    </row>
    <row r="90" spans="1:21" ht="15.75" customHeight="1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21" ht="28.5" customHeight="1">
      <c r="A91" s="29">
        <v>19</v>
      </c>
      <c r="B91" s="48" t="s">
        <v>150</v>
      </c>
      <c r="C91" s="91" t="s">
        <v>83</v>
      </c>
      <c r="D91" s="14" t="s">
        <v>243</v>
      </c>
      <c r="E91" s="13"/>
      <c r="F91" s="13">
        <v>3</v>
      </c>
      <c r="G91" s="33">
        <v>222.63</v>
      </c>
      <c r="H91" s="63">
        <f>G91*F91/1000</f>
        <v>0.66788999999999998</v>
      </c>
      <c r="I91" s="101">
        <f>G91*1</f>
        <v>222.63</v>
      </c>
      <c r="J91" s="5"/>
      <c r="K91" s="5"/>
      <c r="L91" s="5"/>
      <c r="M91" s="5"/>
      <c r="N91" s="5"/>
      <c r="O91" s="5"/>
      <c r="P91" s="5"/>
      <c r="Q91" s="5"/>
      <c r="R91" s="53"/>
      <c r="S91" s="53"/>
      <c r="T91" s="53"/>
      <c r="U91" s="53"/>
    </row>
    <row r="92" spans="1:21" ht="15.75" customHeight="1">
      <c r="A92" s="29">
        <v>20</v>
      </c>
      <c r="B92" s="48" t="s">
        <v>174</v>
      </c>
      <c r="C92" s="91" t="s">
        <v>193</v>
      </c>
      <c r="D92" s="93" t="s">
        <v>344</v>
      </c>
      <c r="E92" s="17"/>
      <c r="F92" s="33">
        <v>45</v>
      </c>
      <c r="G92" s="33">
        <v>284</v>
      </c>
      <c r="H92" s="90">
        <f>G92*F92/1000</f>
        <v>12.78</v>
      </c>
      <c r="I92" s="101">
        <v>0</v>
      </c>
      <c r="J92" s="5"/>
      <c r="K92" s="5"/>
      <c r="L92" s="5"/>
      <c r="M92" s="5"/>
      <c r="N92" s="5"/>
      <c r="O92" s="5"/>
      <c r="P92" s="5"/>
      <c r="Q92" s="5"/>
      <c r="R92" s="95"/>
      <c r="S92" s="95"/>
      <c r="T92" s="95"/>
      <c r="U92" s="95"/>
    </row>
    <row r="93" spans="1:21" ht="15.75" customHeight="1">
      <c r="A93" s="29">
        <v>21</v>
      </c>
      <c r="B93" s="48" t="s">
        <v>347</v>
      </c>
      <c r="C93" s="91" t="s">
        <v>83</v>
      </c>
      <c r="D93" s="92"/>
      <c r="E93" s="33"/>
      <c r="F93" s="33">
        <v>2</v>
      </c>
      <c r="G93" s="33">
        <v>269.91000000000003</v>
      </c>
      <c r="H93" s="90">
        <f>G93*F93/1000</f>
        <v>0.53982000000000008</v>
      </c>
      <c r="I93" s="13">
        <v>0</v>
      </c>
      <c r="J93" s="5"/>
      <c r="K93" s="5"/>
      <c r="L93" s="5"/>
      <c r="M93" s="5"/>
      <c r="N93" s="5"/>
      <c r="O93" s="5"/>
      <c r="P93" s="5"/>
      <c r="Q93" s="5"/>
      <c r="R93" s="94"/>
      <c r="S93" s="94"/>
      <c r="T93" s="94"/>
      <c r="U93" s="94"/>
    </row>
    <row r="94" spans="1:21" ht="15.75" customHeight="1">
      <c r="A94" s="29">
        <v>22</v>
      </c>
      <c r="B94" s="48" t="s">
        <v>239</v>
      </c>
      <c r="C94" s="91" t="s">
        <v>122</v>
      </c>
      <c r="D94" s="92"/>
      <c r="E94" s="33"/>
      <c r="F94" s="33">
        <v>1</v>
      </c>
      <c r="G94" s="33">
        <v>24605</v>
      </c>
      <c r="H94" s="90">
        <f>G94*F94/1000</f>
        <v>24.605</v>
      </c>
      <c r="I94" s="13">
        <f>G94*2</f>
        <v>49210</v>
      </c>
      <c r="J94" s="5"/>
      <c r="K94" s="5"/>
      <c r="L94" s="5"/>
      <c r="M94" s="5"/>
      <c r="N94" s="5"/>
      <c r="O94" s="5"/>
      <c r="P94" s="5"/>
      <c r="Q94" s="5"/>
      <c r="R94" s="94"/>
      <c r="S94" s="94"/>
      <c r="T94" s="94"/>
      <c r="U94" s="94"/>
    </row>
    <row r="95" spans="1:21" ht="15.75" customHeight="1">
      <c r="A95" s="29">
        <v>23</v>
      </c>
      <c r="B95" s="48" t="s">
        <v>240</v>
      </c>
      <c r="C95" s="91" t="s">
        <v>122</v>
      </c>
      <c r="D95" s="92"/>
      <c r="E95" s="33"/>
      <c r="F95" s="33">
        <v>1</v>
      </c>
      <c r="G95" s="33">
        <v>1538.49</v>
      </c>
      <c r="H95" s="90">
        <f>G95*F95/1000</f>
        <v>1.5384899999999999</v>
      </c>
      <c r="I95" s="13">
        <f>G95*2</f>
        <v>3076.98</v>
      </c>
      <c r="J95" s="5"/>
      <c r="K95" s="5"/>
      <c r="L95" s="5"/>
      <c r="M95" s="5"/>
      <c r="N95" s="5"/>
      <c r="O95" s="5"/>
      <c r="P95" s="5"/>
      <c r="Q95" s="5"/>
      <c r="R95" s="94"/>
      <c r="S95" s="94"/>
      <c r="T95" s="94"/>
      <c r="U95" s="94"/>
    </row>
    <row r="96" spans="1:21" ht="15.75" customHeight="1">
      <c r="A96" s="29">
        <v>24</v>
      </c>
      <c r="B96" s="48" t="s">
        <v>191</v>
      </c>
      <c r="C96" s="91" t="s">
        <v>122</v>
      </c>
      <c r="D96" s="92" t="s">
        <v>244</v>
      </c>
      <c r="E96" s="33"/>
      <c r="F96" s="33"/>
      <c r="G96" s="33">
        <v>90</v>
      </c>
      <c r="H96" s="90"/>
      <c r="I96" s="13">
        <v>0</v>
      </c>
      <c r="J96" s="5"/>
      <c r="K96" s="5"/>
      <c r="L96" s="5"/>
      <c r="M96" s="5"/>
      <c r="N96" s="5"/>
      <c r="O96" s="5"/>
      <c r="P96" s="5"/>
      <c r="Q96" s="5"/>
      <c r="R96" s="219"/>
      <c r="S96" s="219"/>
      <c r="T96" s="219"/>
      <c r="U96" s="219"/>
    </row>
    <row r="97" spans="1:21" ht="15.75" customHeight="1">
      <c r="A97" s="29">
        <v>25</v>
      </c>
      <c r="B97" s="48" t="s">
        <v>241</v>
      </c>
      <c r="C97" s="91" t="s">
        <v>122</v>
      </c>
      <c r="D97" s="92"/>
      <c r="E97" s="33"/>
      <c r="F97" s="33"/>
      <c r="G97" s="33">
        <v>475.25</v>
      </c>
      <c r="H97" s="90"/>
      <c r="I97" s="13">
        <f>G97*1</f>
        <v>475.25</v>
      </c>
      <c r="J97" s="5"/>
      <c r="K97" s="5"/>
      <c r="L97" s="5"/>
      <c r="M97" s="5"/>
      <c r="N97" s="5"/>
      <c r="O97" s="5"/>
      <c r="P97" s="5"/>
      <c r="Q97" s="5"/>
      <c r="R97" s="219"/>
      <c r="S97" s="219"/>
      <c r="T97" s="219"/>
      <c r="U97" s="219"/>
    </row>
    <row r="98" spans="1:21" ht="15.75" customHeight="1">
      <c r="A98" s="29">
        <v>26</v>
      </c>
      <c r="B98" s="48" t="s">
        <v>242</v>
      </c>
      <c r="C98" s="91" t="s">
        <v>83</v>
      </c>
      <c r="D98" s="92"/>
      <c r="E98" s="33"/>
      <c r="F98" s="33"/>
      <c r="G98" s="33">
        <v>269.91000000000003</v>
      </c>
      <c r="H98" s="90"/>
      <c r="I98" s="13">
        <f>G98*1</f>
        <v>269.91000000000003</v>
      </c>
      <c r="J98" s="5"/>
      <c r="K98" s="5"/>
      <c r="L98" s="5"/>
      <c r="M98" s="5"/>
      <c r="N98" s="5"/>
      <c r="O98" s="5"/>
      <c r="P98" s="5"/>
      <c r="Q98" s="5"/>
      <c r="R98" s="219"/>
      <c r="S98" s="219"/>
      <c r="T98" s="219"/>
      <c r="U98" s="219"/>
    </row>
    <row r="99" spans="1:21" ht="15.75" customHeight="1">
      <c r="A99" s="29">
        <v>27</v>
      </c>
      <c r="B99" s="48" t="s">
        <v>81</v>
      </c>
      <c r="C99" s="91" t="s">
        <v>122</v>
      </c>
      <c r="D99" s="92"/>
      <c r="E99" s="33"/>
      <c r="F99" s="33"/>
      <c r="G99" s="33">
        <v>215.85</v>
      </c>
      <c r="H99" s="90"/>
      <c r="I99" s="13">
        <f>G99*1</f>
        <v>215.85</v>
      </c>
      <c r="J99" s="5"/>
      <c r="K99" s="5"/>
      <c r="L99" s="5"/>
      <c r="M99" s="5"/>
      <c r="N99" s="5"/>
      <c r="O99" s="5"/>
      <c r="P99" s="5"/>
      <c r="Q99" s="5"/>
      <c r="R99" s="219"/>
      <c r="S99" s="219"/>
      <c r="T99" s="219"/>
      <c r="U99" s="219"/>
    </row>
    <row r="100" spans="1:21" ht="36.75" customHeight="1">
      <c r="A100" s="29">
        <v>28</v>
      </c>
      <c r="B100" s="48" t="s">
        <v>210</v>
      </c>
      <c r="C100" s="91" t="s">
        <v>37</v>
      </c>
      <c r="D100" s="92" t="s">
        <v>221</v>
      </c>
      <c r="E100" s="33"/>
      <c r="F100" s="33"/>
      <c r="G100" s="33">
        <v>4070.89</v>
      </c>
      <c r="H100" s="90"/>
      <c r="I100" s="13">
        <v>0</v>
      </c>
      <c r="J100" s="5"/>
      <c r="K100" s="5"/>
      <c r="L100" s="5"/>
      <c r="M100" s="5"/>
      <c r="N100" s="5"/>
      <c r="O100" s="5"/>
      <c r="P100" s="5"/>
      <c r="Q100" s="5"/>
      <c r="R100" s="219"/>
      <c r="S100" s="219"/>
      <c r="T100" s="219"/>
      <c r="U100" s="219"/>
    </row>
    <row r="101" spans="1:21" ht="36.75" customHeight="1">
      <c r="A101" s="29">
        <v>29</v>
      </c>
      <c r="B101" s="48" t="s">
        <v>226</v>
      </c>
      <c r="C101" s="91" t="s">
        <v>193</v>
      </c>
      <c r="D101" s="92" t="s">
        <v>245</v>
      </c>
      <c r="E101" s="33"/>
      <c r="F101" s="33"/>
      <c r="G101" s="33">
        <v>1421.68</v>
      </c>
      <c r="H101" s="90"/>
      <c r="I101" s="13">
        <f>G101*1</f>
        <v>1421.68</v>
      </c>
      <c r="J101" s="5"/>
      <c r="K101" s="5"/>
      <c r="L101" s="5"/>
      <c r="M101" s="5"/>
      <c r="N101" s="5"/>
      <c r="O101" s="5"/>
      <c r="P101" s="5"/>
      <c r="Q101" s="5"/>
      <c r="R101" s="220"/>
      <c r="S101" s="220"/>
      <c r="T101" s="220"/>
      <c r="U101" s="220"/>
    </row>
    <row r="102" spans="1:21" ht="15" customHeight="1">
      <c r="A102" s="29">
        <v>30</v>
      </c>
      <c r="B102" s="222" t="s">
        <v>246</v>
      </c>
      <c r="C102" s="223" t="s">
        <v>90</v>
      </c>
      <c r="D102" s="92"/>
      <c r="E102" s="33"/>
      <c r="F102" s="33"/>
      <c r="G102" s="33">
        <v>1274.19</v>
      </c>
      <c r="H102" s="90"/>
      <c r="I102" s="13">
        <f>G102*1/3</f>
        <v>424.73</v>
      </c>
      <c r="J102" s="5"/>
      <c r="K102" s="5"/>
      <c r="L102" s="5"/>
      <c r="M102" s="5"/>
      <c r="N102" s="5"/>
      <c r="O102" s="5"/>
      <c r="P102" s="5"/>
      <c r="Q102" s="5"/>
      <c r="R102" s="220"/>
      <c r="S102" s="220"/>
      <c r="T102" s="220"/>
      <c r="U102" s="220"/>
    </row>
    <row r="103" spans="1:21" ht="15" customHeight="1">
      <c r="A103" s="29">
        <v>31</v>
      </c>
      <c r="B103" s="48" t="s">
        <v>247</v>
      </c>
      <c r="C103" s="91" t="s">
        <v>39</v>
      </c>
      <c r="D103" s="92" t="s">
        <v>221</v>
      </c>
      <c r="E103" s="33"/>
      <c r="F103" s="33">
        <v>0.01</v>
      </c>
      <c r="G103" s="33">
        <v>27139.18</v>
      </c>
      <c r="H103" s="90"/>
      <c r="I103" s="13">
        <v>0</v>
      </c>
      <c r="J103" s="5"/>
      <c r="K103" s="5"/>
      <c r="L103" s="5"/>
      <c r="M103" s="5"/>
      <c r="N103" s="5"/>
      <c r="O103" s="5"/>
      <c r="P103" s="5"/>
      <c r="Q103" s="5"/>
      <c r="R103" s="221"/>
      <c r="S103" s="221"/>
      <c r="T103" s="221"/>
      <c r="U103" s="221"/>
    </row>
    <row r="104" spans="1:21" ht="15.75" customHeight="1">
      <c r="A104" s="29"/>
      <c r="B104" s="40" t="s">
        <v>51</v>
      </c>
      <c r="C104" s="36"/>
      <c r="D104" s="44"/>
      <c r="E104" s="36">
        <v>1</v>
      </c>
      <c r="F104" s="36"/>
      <c r="G104" s="36"/>
      <c r="H104" s="36"/>
      <c r="I104" s="31">
        <f>SUM(I91:I103)</f>
        <v>55317.030000000006</v>
      </c>
    </row>
    <row r="105" spans="1:21" ht="15.75" customHeight="1">
      <c r="A105" s="29"/>
      <c r="B105" s="42" t="s">
        <v>78</v>
      </c>
      <c r="C105" s="15"/>
      <c r="D105" s="15"/>
      <c r="E105" s="37"/>
      <c r="F105" s="37"/>
      <c r="G105" s="38"/>
      <c r="H105" s="38"/>
      <c r="I105" s="17">
        <v>0</v>
      </c>
    </row>
    <row r="106" spans="1:21" ht="15.75" customHeight="1">
      <c r="A106" s="45"/>
      <c r="B106" s="41" t="s">
        <v>173</v>
      </c>
      <c r="C106" s="32"/>
      <c r="D106" s="32"/>
      <c r="E106" s="32"/>
      <c r="F106" s="32"/>
      <c r="G106" s="32"/>
      <c r="H106" s="32"/>
      <c r="I106" s="39">
        <f>I89+I104</f>
        <v>169930.79105403335</v>
      </c>
    </row>
    <row r="107" spans="1:21" ht="15.75" customHeight="1">
      <c r="A107" s="240" t="s">
        <v>348</v>
      </c>
      <c r="B107" s="240"/>
      <c r="C107" s="240"/>
      <c r="D107" s="240"/>
      <c r="E107" s="240"/>
      <c r="F107" s="240"/>
      <c r="G107" s="240"/>
      <c r="H107" s="240"/>
      <c r="I107" s="240"/>
    </row>
    <row r="108" spans="1:21" ht="15.75" customHeight="1">
      <c r="A108" s="56"/>
      <c r="B108" s="241" t="s">
        <v>349</v>
      </c>
      <c r="C108" s="241"/>
      <c r="D108" s="241"/>
      <c r="E108" s="241"/>
      <c r="F108" s="241"/>
      <c r="G108" s="241"/>
      <c r="H108" s="61"/>
      <c r="I108" s="3"/>
    </row>
    <row r="109" spans="1:21" ht="15.75" customHeight="1">
      <c r="A109" s="53"/>
      <c r="B109" s="228" t="s">
        <v>6</v>
      </c>
      <c r="C109" s="228"/>
      <c r="D109" s="228"/>
      <c r="E109" s="228"/>
      <c r="F109" s="228"/>
      <c r="G109" s="228"/>
      <c r="H109" s="24"/>
      <c r="I109" s="5"/>
    </row>
    <row r="110" spans="1:21" ht="15.75" customHeight="1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21" ht="15.75" customHeight="1">
      <c r="A111" s="242" t="s">
        <v>7</v>
      </c>
      <c r="B111" s="242"/>
      <c r="C111" s="242"/>
      <c r="D111" s="242"/>
      <c r="E111" s="242"/>
      <c r="F111" s="242"/>
      <c r="G111" s="242"/>
      <c r="H111" s="242"/>
      <c r="I111" s="242"/>
    </row>
    <row r="112" spans="1:21" ht="15.75" customHeight="1">
      <c r="A112" s="242" t="s">
        <v>8</v>
      </c>
      <c r="B112" s="242"/>
      <c r="C112" s="242"/>
      <c r="D112" s="242"/>
      <c r="E112" s="242"/>
      <c r="F112" s="242"/>
      <c r="G112" s="242"/>
      <c r="H112" s="242"/>
      <c r="I112" s="242"/>
    </row>
    <row r="113" spans="1:9" ht="15.75" customHeight="1">
      <c r="A113" s="232" t="s">
        <v>60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15.75" customHeight="1">
      <c r="A114" s="11"/>
    </row>
    <row r="115" spans="1:9" ht="15.75" customHeight="1">
      <c r="A115" s="226" t="s">
        <v>9</v>
      </c>
      <c r="B115" s="226"/>
      <c r="C115" s="226"/>
      <c r="D115" s="226"/>
      <c r="E115" s="226"/>
      <c r="F115" s="226"/>
      <c r="G115" s="226"/>
      <c r="H115" s="226"/>
      <c r="I115" s="226"/>
    </row>
    <row r="116" spans="1:9" ht="15.75" customHeight="1">
      <c r="A116" s="4"/>
    </row>
    <row r="117" spans="1:9" ht="15.75" customHeight="1">
      <c r="B117" s="55" t="s">
        <v>10</v>
      </c>
      <c r="C117" s="227" t="s">
        <v>88</v>
      </c>
      <c r="D117" s="227"/>
      <c r="E117" s="227"/>
      <c r="F117" s="59"/>
      <c r="I117" s="52"/>
    </row>
    <row r="118" spans="1:9" ht="15.75" customHeight="1">
      <c r="A118" s="53"/>
      <c r="C118" s="228" t="s">
        <v>11</v>
      </c>
      <c r="D118" s="228"/>
      <c r="E118" s="228"/>
      <c r="F118" s="24"/>
      <c r="I118" s="51" t="s">
        <v>12</v>
      </c>
    </row>
    <row r="119" spans="1:9" ht="15.75" customHeight="1">
      <c r="A119" s="25"/>
      <c r="C119" s="12"/>
      <c r="D119" s="12"/>
      <c r="G119" s="12"/>
      <c r="H119" s="12"/>
    </row>
    <row r="120" spans="1:9" ht="15.75" customHeight="1">
      <c r="B120" s="55" t="s">
        <v>13</v>
      </c>
      <c r="C120" s="229"/>
      <c r="D120" s="229"/>
      <c r="E120" s="229"/>
      <c r="F120" s="60"/>
      <c r="I120" s="52"/>
    </row>
    <row r="121" spans="1:9" ht="15.75" customHeight="1">
      <c r="A121" s="53"/>
      <c r="C121" s="230" t="s">
        <v>11</v>
      </c>
      <c r="D121" s="230"/>
      <c r="E121" s="230"/>
      <c r="F121" s="53"/>
      <c r="I121" s="51" t="s">
        <v>12</v>
      </c>
    </row>
    <row r="122" spans="1:9" ht="15.75" customHeight="1">
      <c r="A122" s="4" t="s">
        <v>14</v>
      </c>
    </row>
    <row r="123" spans="1:9" ht="15.75" customHeight="1">
      <c r="A123" s="231" t="s">
        <v>15</v>
      </c>
      <c r="B123" s="231"/>
      <c r="C123" s="231"/>
      <c r="D123" s="231"/>
      <c r="E123" s="231"/>
      <c r="F123" s="231"/>
      <c r="G123" s="231"/>
      <c r="H123" s="231"/>
      <c r="I123" s="231"/>
    </row>
    <row r="124" spans="1:9" ht="45" customHeight="1">
      <c r="A124" s="225" t="s">
        <v>16</v>
      </c>
      <c r="B124" s="225"/>
      <c r="C124" s="225"/>
      <c r="D124" s="225"/>
      <c r="E124" s="225"/>
      <c r="F124" s="225"/>
      <c r="G124" s="225"/>
      <c r="H124" s="225"/>
      <c r="I124" s="225"/>
    </row>
    <row r="125" spans="1:9" ht="30" customHeight="1">
      <c r="A125" s="225" t="s">
        <v>17</v>
      </c>
      <c r="B125" s="225"/>
      <c r="C125" s="225"/>
      <c r="D125" s="225"/>
      <c r="E125" s="225"/>
      <c r="F125" s="225"/>
      <c r="G125" s="225"/>
      <c r="H125" s="225"/>
      <c r="I125" s="225"/>
    </row>
    <row r="126" spans="1:9" ht="30" customHeight="1">
      <c r="A126" s="225" t="s">
        <v>21</v>
      </c>
      <c r="B126" s="225"/>
      <c r="C126" s="225"/>
      <c r="D126" s="225"/>
      <c r="E126" s="225"/>
      <c r="F126" s="225"/>
      <c r="G126" s="225"/>
      <c r="H126" s="225"/>
      <c r="I126" s="225"/>
    </row>
    <row r="127" spans="1:9" ht="15" customHeight="1">
      <c r="A127" s="225" t="s">
        <v>20</v>
      </c>
      <c r="B127" s="225"/>
      <c r="C127" s="225"/>
      <c r="D127" s="225"/>
      <c r="E127" s="225"/>
      <c r="F127" s="225"/>
      <c r="G127" s="225"/>
      <c r="H127" s="225"/>
      <c r="I127" s="225"/>
    </row>
  </sheetData>
  <autoFilter ref="I12:I62"/>
  <mergeCells count="29">
    <mergeCell ref="R67:U67"/>
    <mergeCell ref="A86:I86"/>
    <mergeCell ref="A3:I3"/>
    <mergeCell ref="A4:I4"/>
    <mergeCell ref="A5:I5"/>
    <mergeCell ref="A8:I8"/>
    <mergeCell ref="A10:I10"/>
    <mergeCell ref="A14:I14"/>
    <mergeCell ref="A113:I113"/>
    <mergeCell ref="A15:I15"/>
    <mergeCell ref="A28:I28"/>
    <mergeCell ref="A47:I47"/>
    <mergeCell ref="A57:I57"/>
    <mergeCell ref="A90:I90"/>
    <mergeCell ref="A107:I107"/>
    <mergeCell ref="B108:G108"/>
    <mergeCell ref="B109:G109"/>
    <mergeCell ref="A111:I111"/>
    <mergeCell ref="A112:I112"/>
    <mergeCell ref="A124:I124"/>
    <mergeCell ref="A125:I125"/>
    <mergeCell ref="A126:I126"/>
    <mergeCell ref="A127:I127"/>
    <mergeCell ref="A115:I115"/>
    <mergeCell ref="C117:E117"/>
    <mergeCell ref="C118:E118"/>
    <mergeCell ref="C120:E120"/>
    <mergeCell ref="C121:E121"/>
    <mergeCell ref="A123:I123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2"/>
  <sheetViews>
    <sheetView view="pageBreakPreview" topLeftCell="A93" zoomScale="60" workbookViewId="0">
      <selection activeCell="I105" sqref="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197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246" t="s">
        <v>169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248</v>
      </c>
      <c r="B5" s="248"/>
      <c r="C5" s="248"/>
      <c r="D5" s="248"/>
      <c r="E5" s="248"/>
      <c r="F5" s="248"/>
      <c r="G5" s="248"/>
      <c r="H5" s="248"/>
      <c r="I5" s="248"/>
      <c r="J5" s="2"/>
      <c r="K5" s="2"/>
      <c r="L5" s="2"/>
      <c r="M5" s="2"/>
    </row>
    <row r="6" spans="1:13" ht="15.75" customHeight="1">
      <c r="A6" s="2"/>
      <c r="B6" s="54"/>
      <c r="C6" s="54"/>
      <c r="D6" s="54"/>
      <c r="E6" s="54"/>
      <c r="F6" s="54"/>
      <c r="G6" s="54"/>
      <c r="H6" s="54"/>
      <c r="I6" s="30">
        <v>43921</v>
      </c>
      <c r="J6" s="2"/>
      <c r="K6" s="2"/>
      <c r="L6" s="2"/>
      <c r="M6" s="2"/>
    </row>
    <row r="7" spans="1:13" ht="15.75" customHeight="1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  <c r="J15" s="8"/>
      <c r="K15" s="8"/>
      <c r="L15" s="8"/>
      <c r="M15" s="8"/>
    </row>
    <row r="16" spans="1:13" ht="15.7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  <c r="J16" s="8"/>
      <c r="K16" s="8"/>
      <c r="L16" s="8"/>
      <c r="M16" s="8"/>
    </row>
    <row r="17" spans="1:13" ht="15.7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  <c r="J17" s="22"/>
      <c r="K17" s="8"/>
      <c r="L17" s="8"/>
      <c r="M17" s="8"/>
    </row>
    <row r="18" spans="1:13" ht="15.7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  <c r="J18" s="22"/>
      <c r="K18" s="8"/>
      <c r="L18" s="8"/>
      <c r="M18" s="8"/>
    </row>
    <row r="19" spans="1:13" ht="15.75" hidden="1" customHeight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  <c r="J20" s="22"/>
      <c r="K20" s="8"/>
      <c r="L20" s="8"/>
      <c r="M20" s="8"/>
    </row>
    <row r="21" spans="1:13" ht="15.75" hidden="1" customHeight="1">
      <c r="A21" s="29">
        <v>5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  <c r="J21" s="22"/>
      <c r="K21" s="8"/>
      <c r="L21" s="8"/>
      <c r="M21" s="8"/>
    </row>
    <row r="22" spans="1:13" ht="15.75" hidden="1" customHeight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  <c r="J24" s="22"/>
      <c r="K24" s="8"/>
      <c r="L24" s="8"/>
      <c r="M24" s="8"/>
    </row>
    <row r="25" spans="1:13" ht="15.75" hidden="1" customHeight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  <c r="J26" s="22"/>
      <c r="K26" s="8"/>
      <c r="L26" s="8"/>
      <c r="M26" s="8"/>
    </row>
    <row r="27" spans="1:13" ht="15.75" customHeight="1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  <c r="J27" s="22"/>
      <c r="K27" s="8"/>
      <c r="L27" s="8"/>
      <c r="M27" s="8"/>
    </row>
    <row r="28" spans="1:13" ht="15.75" hidden="1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  <c r="J28" s="23"/>
    </row>
    <row r="29" spans="1:13" ht="15.75" hidden="1" customHeight="1">
      <c r="A29" s="29">
        <v>7</v>
      </c>
      <c r="B29" s="66" t="s">
        <v>111</v>
      </c>
      <c r="C29" s="67" t="s">
        <v>112</v>
      </c>
      <c r="D29" s="66" t="s">
        <v>113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5" si="1">SUM(F29*G29/1000)</f>
        <v>3.9495100528000009</v>
      </c>
      <c r="I29" s="13">
        <f>F29/6*G29</f>
        <v>658.25167546666682</v>
      </c>
      <c r="J29" s="23"/>
    </row>
    <row r="30" spans="1:13" ht="31.5" hidden="1" customHeight="1">
      <c r="A30" s="29"/>
      <c r="B30" s="66" t="s">
        <v>166</v>
      </c>
      <c r="C30" s="67" t="s">
        <v>112</v>
      </c>
      <c r="D30" s="66" t="s">
        <v>114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  <c r="J30" s="22"/>
      <c r="K30" s="8"/>
      <c r="L30" s="8"/>
      <c r="M30" s="8"/>
    </row>
    <row r="31" spans="1:13" ht="15.75" hidden="1" customHeight="1">
      <c r="A31" s="29">
        <v>7</v>
      </c>
      <c r="B31" s="66" t="s">
        <v>27</v>
      </c>
      <c r="C31" s="67" t="s">
        <v>112</v>
      </c>
      <c r="D31" s="66" t="s">
        <v>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  <c r="J31" s="22"/>
      <c r="K31" s="8"/>
      <c r="L31" s="8"/>
      <c r="M31" s="8"/>
    </row>
    <row r="32" spans="1:13" ht="15.75" hidden="1" customHeight="1">
      <c r="A32" s="29">
        <v>8</v>
      </c>
      <c r="B32" s="66" t="s">
        <v>140</v>
      </c>
      <c r="C32" s="67" t="s">
        <v>39</v>
      </c>
      <c r="D32" s="66" t="s">
        <v>175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  <c r="J32" s="22"/>
      <c r="K32" s="8"/>
      <c r="L32" s="8"/>
      <c r="M32" s="8"/>
    </row>
    <row r="33" spans="1:14" ht="15.75" hidden="1" customHeight="1">
      <c r="A33" s="29">
        <v>16</v>
      </c>
      <c r="B33" s="66" t="s">
        <v>115</v>
      </c>
      <c r="C33" s="67" t="s">
        <v>30</v>
      </c>
      <c r="D33" s="66" t="s">
        <v>62</v>
      </c>
      <c r="E33" s="73">
        <f>1/3</f>
        <v>0.33333333333333331</v>
      </c>
      <c r="F33" s="69">
        <f>155/3</f>
        <v>51.666666666666664</v>
      </c>
      <c r="G33" s="69">
        <v>77.33</v>
      </c>
      <c r="H33" s="70">
        <f>SUM(G33*155/3/1000)</f>
        <v>3.9953833333333333</v>
      </c>
      <c r="I33" s="13">
        <f>F33/6*G33</f>
        <v>665.89722222222213</v>
      </c>
      <c r="J33" s="22"/>
      <c r="K33" s="8"/>
      <c r="L33" s="8"/>
      <c r="M33" s="8"/>
    </row>
    <row r="34" spans="1:14" ht="15.75" hidden="1" customHeight="1">
      <c r="A34" s="29">
        <v>10</v>
      </c>
      <c r="B34" s="66" t="s">
        <v>63</v>
      </c>
      <c r="C34" s="67" t="s">
        <v>33</v>
      </c>
      <c r="D34" s="66" t="s">
        <v>65</v>
      </c>
      <c r="E34" s="68"/>
      <c r="F34" s="69">
        <v>2</v>
      </c>
      <c r="G34" s="69">
        <v>260.95</v>
      </c>
      <c r="H34" s="70">
        <f t="shared" si="1"/>
        <v>0.52190000000000003</v>
      </c>
      <c r="I34" s="13">
        <v>0</v>
      </c>
      <c r="J34" s="22"/>
      <c r="K34" s="8"/>
    </row>
    <row r="35" spans="1:14" ht="15.75" hidden="1" customHeight="1">
      <c r="A35" s="29"/>
      <c r="B35" s="66" t="s">
        <v>64</v>
      </c>
      <c r="C35" s="67" t="s">
        <v>32</v>
      </c>
      <c r="D35" s="66" t="s">
        <v>65</v>
      </c>
      <c r="E35" s="68"/>
      <c r="F35" s="69">
        <v>1</v>
      </c>
      <c r="G35" s="69">
        <v>1549.92</v>
      </c>
      <c r="H35" s="70">
        <f t="shared" si="1"/>
        <v>1.54992</v>
      </c>
      <c r="I35" s="13">
        <v>0</v>
      </c>
      <c r="J35" s="23"/>
    </row>
    <row r="36" spans="1:14" ht="15.75" customHeight="1">
      <c r="A36" s="29"/>
      <c r="B36" s="87" t="s">
        <v>5</v>
      </c>
      <c r="C36" s="67"/>
      <c r="D36" s="66"/>
      <c r="E36" s="68"/>
      <c r="F36" s="69"/>
      <c r="G36" s="69"/>
      <c r="H36" s="70" t="s">
        <v>129</v>
      </c>
      <c r="I36" s="13"/>
      <c r="J36" s="23"/>
    </row>
    <row r="37" spans="1:14" ht="15.75" customHeight="1">
      <c r="A37" s="29">
        <v>5</v>
      </c>
      <c r="B37" s="192" t="s">
        <v>26</v>
      </c>
      <c r="C37" s="113" t="s">
        <v>32</v>
      </c>
      <c r="D37" s="112" t="s">
        <v>249</v>
      </c>
      <c r="E37" s="190"/>
      <c r="F37" s="114">
        <v>5</v>
      </c>
      <c r="G37" s="114">
        <v>2083</v>
      </c>
      <c r="H37" s="70">
        <f t="shared" ref="H37:H44" si="2">SUM(F37*G37/1000)</f>
        <v>10.414999999999999</v>
      </c>
      <c r="I37" s="13">
        <f>G37*1</f>
        <v>2083</v>
      </c>
      <c r="J37" s="23"/>
      <c r="L37" s="19"/>
      <c r="M37" s="20"/>
      <c r="N37" s="21"/>
    </row>
    <row r="38" spans="1:14" ht="15.75" customHeight="1">
      <c r="A38" s="29">
        <v>6</v>
      </c>
      <c r="B38" s="192" t="s">
        <v>66</v>
      </c>
      <c r="C38" s="193" t="s">
        <v>29</v>
      </c>
      <c r="D38" s="192" t="s">
        <v>216</v>
      </c>
      <c r="E38" s="194">
        <v>469.73</v>
      </c>
      <c r="F38" s="194">
        <f>SUM(E38*30/1000)</f>
        <v>14.091900000000001</v>
      </c>
      <c r="G38" s="194">
        <v>2868.09</v>
      </c>
      <c r="H38" s="70">
        <f t="shared" si="2"/>
        <v>40.416837471000008</v>
      </c>
      <c r="I38" s="13">
        <f t="shared" ref="I38:I44" si="3">F38/6*G38</f>
        <v>6736.1395785000004</v>
      </c>
      <c r="J38" s="23"/>
      <c r="L38" s="19"/>
      <c r="M38" s="20"/>
      <c r="N38" s="21"/>
    </row>
    <row r="39" spans="1:14" ht="15.75" customHeight="1">
      <c r="A39" s="29">
        <v>7</v>
      </c>
      <c r="B39" s="112" t="s">
        <v>67</v>
      </c>
      <c r="C39" s="113" t="s">
        <v>29</v>
      </c>
      <c r="D39" s="112" t="s">
        <v>217</v>
      </c>
      <c r="E39" s="114">
        <v>475.06</v>
      </c>
      <c r="F39" s="194">
        <f>SUM(E39*155/1000)</f>
        <v>73.634299999999996</v>
      </c>
      <c r="G39" s="114">
        <v>478.42</v>
      </c>
      <c r="H39" s="70">
        <f t="shared" si="2"/>
        <v>35.228121806000004</v>
      </c>
      <c r="I39" s="13">
        <f t="shared" si="3"/>
        <v>5871.3536343333326</v>
      </c>
      <c r="J39" s="23"/>
      <c r="L39" s="19"/>
      <c r="M39" s="20"/>
      <c r="N39" s="21"/>
    </row>
    <row r="40" spans="1:14" ht="15.75" hidden="1" customHeight="1">
      <c r="A40" s="29">
        <v>9</v>
      </c>
      <c r="B40" s="112" t="s">
        <v>94</v>
      </c>
      <c r="C40" s="113" t="s">
        <v>133</v>
      </c>
      <c r="D40" s="112" t="s">
        <v>217</v>
      </c>
      <c r="E40" s="190"/>
      <c r="F40" s="194">
        <v>39</v>
      </c>
      <c r="G40" s="114">
        <v>314</v>
      </c>
      <c r="H40" s="70">
        <f>SUM(F40*G40/1000)</f>
        <v>12.246</v>
      </c>
      <c r="I40" s="13">
        <v>0</v>
      </c>
      <c r="J40" s="23"/>
      <c r="L40" s="19"/>
      <c r="M40" s="20"/>
      <c r="N40" s="21"/>
    </row>
    <row r="41" spans="1:14" ht="47.25" customHeight="1">
      <c r="A41" s="29">
        <v>8</v>
      </c>
      <c r="B41" s="112" t="s">
        <v>82</v>
      </c>
      <c r="C41" s="113" t="s">
        <v>112</v>
      </c>
      <c r="D41" s="112" t="s">
        <v>218</v>
      </c>
      <c r="E41" s="114">
        <v>40.6</v>
      </c>
      <c r="F41" s="194">
        <f>SUM(E41*35/1000)</f>
        <v>1.421</v>
      </c>
      <c r="G41" s="114">
        <v>7915.6</v>
      </c>
      <c r="H41" s="70">
        <f t="shared" si="2"/>
        <v>11.248067600000001</v>
      </c>
      <c r="I41" s="13">
        <f t="shared" si="3"/>
        <v>1874.6779333333334</v>
      </c>
      <c r="J41" s="23"/>
      <c r="L41" s="19"/>
      <c r="M41" s="20"/>
      <c r="N41" s="21"/>
    </row>
    <row r="42" spans="1:14" ht="15.75" customHeight="1">
      <c r="A42" s="29">
        <v>9</v>
      </c>
      <c r="B42" s="112" t="s">
        <v>118</v>
      </c>
      <c r="C42" s="113" t="s">
        <v>112</v>
      </c>
      <c r="D42" s="112" t="s">
        <v>254</v>
      </c>
      <c r="E42" s="114">
        <v>167.03</v>
      </c>
      <c r="F42" s="194">
        <f>SUM(E42*45/1000)</f>
        <v>7.5163500000000001</v>
      </c>
      <c r="G42" s="114">
        <v>584.74</v>
      </c>
      <c r="H42" s="70">
        <f t="shared" si="2"/>
        <v>4.3951104990000003</v>
      </c>
      <c r="I42" s="13">
        <f>G42*F42/45*2</f>
        <v>195.33824440000001</v>
      </c>
      <c r="J42" s="23"/>
      <c r="L42" s="19"/>
      <c r="M42" s="20"/>
      <c r="N42" s="21"/>
    </row>
    <row r="43" spans="1:14" ht="15.75" customHeight="1">
      <c r="A43" s="29">
        <v>10</v>
      </c>
      <c r="B43" s="192" t="s">
        <v>69</v>
      </c>
      <c r="C43" s="193" t="s">
        <v>33</v>
      </c>
      <c r="D43" s="195"/>
      <c r="E43" s="191"/>
      <c r="F43" s="194">
        <v>1.2</v>
      </c>
      <c r="G43" s="194">
        <v>800</v>
      </c>
      <c r="H43" s="70">
        <f t="shared" si="2"/>
        <v>0.96</v>
      </c>
      <c r="I43" s="13">
        <f>G43*F43/45*2</f>
        <v>42.666666666666664</v>
      </c>
      <c r="J43" s="23"/>
      <c r="L43" s="19"/>
      <c r="M43" s="20"/>
      <c r="N43" s="21"/>
    </row>
    <row r="44" spans="1:14" ht="31.5" customHeight="1">
      <c r="A44" s="29">
        <v>11</v>
      </c>
      <c r="B44" s="46" t="s">
        <v>177</v>
      </c>
      <c r="C44" s="62" t="s">
        <v>29</v>
      </c>
      <c r="D44" s="192" t="s">
        <v>220</v>
      </c>
      <c r="E44" s="68">
        <v>4.2</v>
      </c>
      <c r="F44" s="69">
        <f>SUM(E44*12/1000)</f>
        <v>5.0400000000000007E-2</v>
      </c>
      <c r="G44" s="69">
        <v>270.61</v>
      </c>
      <c r="H44" s="70">
        <f t="shared" si="2"/>
        <v>1.3638744000000003E-2</v>
      </c>
      <c r="I44" s="13">
        <f t="shared" si="3"/>
        <v>2.2731240000000006</v>
      </c>
      <c r="J44" s="23"/>
      <c r="L44" s="19"/>
      <c r="M44" s="20"/>
      <c r="N44" s="21"/>
    </row>
    <row r="45" spans="1:14" ht="15.75" hidden="1" customHeight="1">
      <c r="A45" s="252" t="s">
        <v>190</v>
      </c>
      <c r="B45" s="253"/>
      <c r="C45" s="253"/>
      <c r="D45" s="253"/>
      <c r="E45" s="253"/>
      <c r="F45" s="253"/>
      <c r="G45" s="253"/>
      <c r="H45" s="253"/>
      <c r="I45" s="254"/>
      <c r="J45" s="23"/>
      <c r="L45" s="19"/>
      <c r="M45" s="20"/>
      <c r="N45" s="21"/>
    </row>
    <row r="46" spans="1:14" ht="15.75" hidden="1" customHeight="1">
      <c r="A46" s="29"/>
      <c r="B46" s="66" t="s">
        <v>119</v>
      </c>
      <c r="C46" s="67" t="s">
        <v>112</v>
      </c>
      <c r="D46" s="66" t="s">
        <v>41</v>
      </c>
      <c r="E46" s="68">
        <v>1603.6</v>
      </c>
      <c r="F46" s="69">
        <f>SUM(E46*2/1000)</f>
        <v>3.2071999999999998</v>
      </c>
      <c r="G46" s="13">
        <v>1158.7</v>
      </c>
      <c r="H46" s="70">
        <f t="shared" ref="H46:H54" si="4">SUM(F46*G46/1000)</f>
        <v>3.71618264</v>
      </c>
      <c r="I46" s="13">
        <f>F46/2*G46</f>
        <v>1858.09132</v>
      </c>
      <c r="J46" s="23"/>
      <c r="L46" s="19"/>
      <c r="M46" s="20"/>
      <c r="N46" s="21"/>
    </row>
    <row r="47" spans="1:14" ht="15.75" hidden="1" customHeight="1">
      <c r="A47" s="29">
        <v>14</v>
      </c>
      <c r="B47" s="66" t="s">
        <v>34</v>
      </c>
      <c r="C47" s="67" t="s">
        <v>112</v>
      </c>
      <c r="D47" s="66" t="s">
        <v>41</v>
      </c>
      <c r="E47" s="68">
        <v>65</v>
      </c>
      <c r="F47" s="69">
        <f>SUM(E47*2/1000)</f>
        <v>0.13</v>
      </c>
      <c r="G47" s="13">
        <v>790.38</v>
      </c>
      <c r="H47" s="70">
        <f t="shared" si="4"/>
        <v>0.1027494</v>
      </c>
      <c r="I47" s="13">
        <f>F47/2*G47</f>
        <v>51.374700000000004</v>
      </c>
      <c r="J47" s="23"/>
      <c r="L47" s="19"/>
      <c r="M47" s="20"/>
      <c r="N47" s="21"/>
    </row>
    <row r="48" spans="1:14" ht="15.75" hidden="1" customHeight="1">
      <c r="A48" s="29"/>
      <c r="B48" s="66" t="s">
        <v>35</v>
      </c>
      <c r="C48" s="67" t="s">
        <v>112</v>
      </c>
      <c r="D48" s="66" t="s">
        <v>41</v>
      </c>
      <c r="E48" s="68">
        <v>1825.8</v>
      </c>
      <c r="F48" s="69">
        <f>SUM(E48*2/1000)</f>
        <v>3.6515999999999997</v>
      </c>
      <c r="G48" s="13">
        <v>790.38</v>
      </c>
      <c r="H48" s="70">
        <f t="shared" si="4"/>
        <v>2.8861516079999996</v>
      </c>
      <c r="I48" s="13">
        <f t="shared" ref="I48:I53" si="5">F48/2*G48</f>
        <v>1443.0758039999998</v>
      </c>
      <c r="J48" s="23"/>
      <c r="L48" s="19"/>
      <c r="M48" s="20"/>
      <c r="N48" s="21"/>
    </row>
    <row r="49" spans="1:22" ht="15.75" hidden="1" customHeight="1">
      <c r="A49" s="29"/>
      <c r="B49" s="66" t="s">
        <v>36</v>
      </c>
      <c r="C49" s="67" t="s">
        <v>112</v>
      </c>
      <c r="D49" s="66" t="s">
        <v>41</v>
      </c>
      <c r="E49" s="68">
        <v>3163.96</v>
      </c>
      <c r="F49" s="69">
        <f>SUM(E49*2/1000)</f>
        <v>6.3279199999999998</v>
      </c>
      <c r="G49" s="13">
        <v>827.65</v>
      </c>
      <c r="H49" s="70">
        <f t="shared" si="4"/>
        <v>5.2373029879999997</v>
      </c>
      <c r="I49" s="13">
        <f t="shared" si="5"/>
        <v>2618.6514939999997</v>
      </c>
      <c r="J49" s="23"/>
      <c r="L49" s="19"/>
      <c r="M49" s="20"/>
      <c r="N49" s="21"/>
    </row>
    <row r="50" spans="1:22" ht="15.75" hidden="1" customHeight="1">
      <c r="A50" s="29"/>
      <c r="B50" s="66" t="s">
        <v>55</v>
      </c>
      <c r="C50" s="67" t="s">
        <v>112</v>
      </c>
      <c r="D50" s="66" t="s">
        <v>167</v>
      </c>
      <c r="E50" s="68">
        <v>5816.5</v>
      </c>
      <c r="F50" s="69">
        <f>SUM(E50*5/1000)</f>
        <v>29.0825</v>
      </c>
      <c r="G50" s="13">
        <v>1655.27</v>
      </c>
      <c r="H50" s="70">
        <f t="shared" si="4"/>
        <v>48.139389774999998</v>
      </c>
      <c r="I50" s="13">
        <f>F50/5*G50</f>
        <v>9627.8779549999999</v>
      </c>
      <c r="J50" s="23"/>
      <c r="L50" s="19"/>
      <c r="M50" s="20"/>
      <c r="N50" s="21"/>
    </row>
    <row r="51" spans="1:22" ht="31.5" hidden="1" customHeight="1">
      <c r="A51" s="29">
        <v>15</v>
      </c>
      <c r="B51" s="66" t="s">
        <v>120</v>
      </c>
      <c r="C51" s="67" t="s">
        <v>112</v>
      </c>
      <c r="D51" s="66" t="s">
        <v>41</v>
      </c>
      <c r="E51" s="68">
        <v>5816.5</v>
      </c>
      <c r="F51" s="69">
        <f>SUM(E51*2/1000)</f>
        <v>11.632999999999999</v>
      </c>
      <c r="G51" s="13">
        <v>1655.27</v>
      </c>
      <c r="H51" s="70">
        <f t="shared" si="4"/>
        <v>19.255755910000001</v>
      </c>
      <c r="I51" s="13">
        <f t="shared" si="5"/>
        <v>9627.8779549999999</v>
      </c>
      <c r="J51" s="23"/>
      <c r="L51" s="19"/>
      <c r="M51" s="20"/>
      <c r="N51" s="21"/>
    </row>
    <row r="52" spans="1:22" ht="31.5" hidden="1" customHeight="1">
      <c r="A52" s="29"/>
      <c r="B52" s="66" t="s">
        <v>121</v>
      </c>
      <c r="C52" s="67" t="s">
        <v>37</v>
      </c>
      <c r="D52" s="66" t="s">
        <v>41</v>
      </c>
      <c r="E52" s="68">
        <v>25</v>
      </c>
      <c r="F52" s="69">
        <f>SUM(E52*2/100)</f>
        <v>0.5</v>
      </c>
      <c r="G52" s="13">
        <v>3724.37</v>
      </c>
      <c r="H52" s="70">
        <f t="shared" si="4"/>
        <v>1.862185</v>
      </c>
      <c r="I52" s="13">
        <f t="shared" si="5"/>
        <v>931.09249999999997</v>
      </c>
      <c r="J52" s="23"/>
      <c r="L52" s="19"/>
      <c r="M52" s="20"/>
      <c r="N52" s="21"/>
    </row>
    <row r="53" spans="1:22" ht="15.75" hidden="1" customHeight="1">
      <c r="A53" s="29">
        <v>14</v>
      </c>
      <c r="B53" s="66" t="s">
        <v>38</v>
      </c>
      <c r="C53" s="67" t="s">
        <v>39</v>
      </c>
      <c r="D53" s="66" t="s">
        <v>41</v>
      </c>
      <c r="E53" s="68">
        <v>1</v>
      </c>
      <c r="F53" s="69">
        <v>0.02</v>
      </c>
      <c r="G53" s="13">
        <v>7709.44</v>
      </c>
      <c r="H53" s="70">
        <f t="shared" si="4"/>
        <v>0.15418879999999999</v>
      </c>
      <c r="I53" s="13">
        <f t="shared" si="5"/>
        <v>77.094399999999993</v>
      </c>
      <c r="J53" s="23"/>
      <c r="L53" s="19"/>
      <c r="M53" s="20"/>
      <c r="N53" s="21"/>
    </row>
    <row r="54" spans="1:22" ht="15.75" hidden="1" customHeight="1">
      <c r="A54" s="29">
        <v>15</v>
      </c>
      <c r="B54" s="66" t="s">
        <v>40</v>
      </c>
      <c r="C54" s="67" t="s">
        <v>30</v>
      </c>
      <c r="D54" s="66" t="s">
        <v>70</v>
      </c>
      <c r="E54" s="68">
        <v>198</v>
      </c>
      <c r="F54" s="69">
        <f>SUM(E54)*3</f>
        <v>594</v>
      </c>
      <c r="G54" s="13">
        <v>89.59</v>
      </c>
      <c r="H54" s="70">
        <f t="shared" si="4"/>
        <v>53.216459999999998</v>
      </c>
      <c r="I54" s="13">
        <f>F54/3*G54</f>
        <v>17738.82</v>
      </c>
      <c r="J54" s="23"/>
      <c r="L54" s="19"/>
    </row>
    <row r="55" spans="1:22" ht="15.75" customHeight="1">
      <c r="A55" s="234" t="s">
        <v>170</v>
      </c>
      <c r="B55" s="235"/>
      <c r="C55" s="235"/>
      <c r="D55" s="235"/>
      <c r="E55" s="235"/>
      <c r="F55" s="235"/>
      <c r="G55" s="235"/>
      <c r="H55" s="235"/>
      <c r="I55" s="236"/>
      <c r="J55" s="23"/>
      <c r="L55" s="19"/>
    </row>
    <row r="56" spans="1:22" ht="15.75" hidden="1" customHeight="1">
      <c r="A56" s="29"/>
      <c r="B56" s="87" t="s">
        <v>42</v>
      </c>
      <c r="C56" s="67"/>
      <c r="D56" s="66"/>
      <c r="E56" s="68"/>
      <c r="F56" s="69"/>
      <c r="G56" s="69"/>
      <c r="H56" s="70"/>
      <c r="I56" s="13"/>
    </row>
    <row r="57" spans="1:22" ht="31.5" hidden="1" customHeight="1">
      <c r="A57" s="29">
        <v>13</v>
      </c>
      <c r="B57" s="66" t="s">
        <v>123</v>
      </c>
      <c r="C57" s="67" t="s">
        <v>104</v>
      </c>
      <c r="D57" s="66" t="s">
        <v>71</v>
      </c>
      <c r="E57" s="68">
        <v>118.3</v>
      </c>
      <c r="F57" s="69">
        <f>E57*6/100</f>
        <v>7.0979999999999999</v>
      </c>
      <c r="G57" s="76">
        <v>2110.4699999999998</v>
      </c>
      <c r="H57" s="70">
        <f>F57*G57/1000</f>
        <v>14.980116059999999</v>
      </c>
      <c r="I57" s="13">
        <f>F57/6*G57</f>
        <v>2496.6860099999999</v>
      </c>
    </row>
    <row r="58" spans="1:22" ht="15.75" hidden="1" customHeight="1">
      <c r="A58" s="29">
        <v>12</v>
      </c>
      <c r="B58" s="112" t="s">
        <v>179</v>
      </c>
      <c r="C58" s="113" t="s">
        <v>104</v>
      </c>
      <c r="D58" s="112" t="s">
        <v>221</v>
      </c>
      <c r="E58" s="200">
        <v>3.78</v>
      </c>
      <c r="F58" s="33">
        <f>E58*6/100</f>
        <v>0.2268</v>
      </c>
      <c r="G58" s="194">
        <v>2110.4699999999998</v>
      </c>
      <c r="H58" s="70">
        <f>SUM(F58*G58/1000)</f>
        <v>0.47865459599999999</v>
      </c>
      <c r="I58" s="13">
        <f>F58/6*G58</f>
        <v>79.77576599999999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>
        <v>14</v>
      </c>
      <c r="B59" s="77" t="s">
        <v>99</v>
      </c>
      <c r="C59" s="67" t="s">
        <v>100</v>
      </c>
      <c r="D59" s="77" t="s">
        <v>41</v>
      </c>
      <c r="E59" s="78">
        <v>5</v>
      </c>
      <c r="F59" s="79">
        <v>10</v>
      </c>
      <c r="G59" s="76">
        <v>246.58</v>
      </c>
      <c r="H59" s="80">
        <v>0.99099999999999999</v>
      </c>
      <c r="I59" s="13">
        <f>F59/2*G59</f>
        <v>1232.9000000000001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>
        <v>18</v>
      </c>
      <c r="B60" s="77" t="s">
        <v>180</v>
      </c>
      <c r="C60" s="81" t="s">
        <v>32</v>
      </c>
      <c r="D60" s="77" t="s">
        <v>65</v>
      </c>
      <c r="E60" s="78"/>
      <c r="F60" s="80">
        <v>5</v>
      </c>
      <c r="G60" s="101">
        <v>1645</v>
      </c>
      <c r="H60" s="80">
        <f>SUM(F60*G60/1000)</f>
        <v>8.2249999999999996</v>
      </c>
      <c r="I60" s="101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/>
      <c r="B61" s="88" t="s">
        <v>43</v>
      </c>
      <c r="C61" s="81"/>
      <c r="D61" s="66"/>
      <c r="E61" s="68"/>
      <c r="F61" s="69"/>
      <c r="G61" s="69"/>
      <c r="H61" s="69"/>
      <c r="I61" s="124"/>
      <c r="J61" s="5"/>
      <c r="K61" s="5"/>
      <c r="L61" s="5"/>
      <c r="M61" s="5"/>
      <c r="N61" s="5"/>
      <c r="O61" s="5"/>
      <c r="P61" s="5"/>
      <c r="Q61" s="5"/>
      <c r="R61" s="230"/>
      <c r="S61" s="230"/>
      <c r="T61" s="230"/>
      <c r="U61" s="230"/>
    </row>
    <row r="62" spans="1:22" ht="15.75" hidden="1" customHeight="1">
      <c r="A62" s="29"/>
      <c r="B62" s="77" t="s">
        <v>44</v>
      </c>
      <c r="C62" s="81" t="s">
        <v>52</v>
      </c>
      <c r="D62" s="66" t="s">
        <v>53</v>
      </c>
      <c r="E62" s="68">
        <v>352</v>
      </c>
      <c r="F62" s="69">
        <f>E62/100</f>
        <v>3.52</v>
      </c>
      <c r="G62" s="69">
        <v>1082.47</v>
      </c>
      <c r="H62" s="69">
        <f>G62*F62/1000</f>
        <v>3.8102944000000001</v>
      </c>
      <c r="I62" s="124">
        <v>0</v>
      </c>
    </row>
    <row r="63" spans="1:22" ht="15.75" customHeight="1">
      <c r="A63" s="29">
        <v>12</v>
      </c>
      <c r="B63" s="77" t="s">
        <v>95</v>
      </c>
      <c r="C63" s="81" t="s">
        <v>25</v>
      </c>
      <c r="D63" s="66" t="s">
        <v>221</v>
      </c>
      <c r="E63" s="68">
        <v>200</v>
      </c>
      <c r="F63" s="69">
        <f>E63*12</f>
        <v>2400</v>
      </c>
      <c r="G63" s="69">
        <v>1.4</v>
      </c>
      <c r="H63" s="69">
        <f>G63*F63/1000</f>
        <v>3.36</v>
      </c>
      <c r="I63" s="13">
        <f>F63/12*G63</f>
        <v>280</v>
      </c>
    </row>
    <row r="64" spans="1:22" ht="15.75" customHeight="1">
      <c r="A64" s="29"/>
      <c r="B64" s="88" t="s">
        <v>45</v>
      </c>
      <c r="C64" s="81"/>
      <c r="D64" s="121"/>
      <c r="E64" s="71"/>
      <c r="F64" s="116"/>
      <c r="G64" s="116"/>
      <c r="H64" s="122" t="s">
        <v>129</v>
      </c>
      <c r="I64" s="123"/>
    </row>
    <row r="65" spans="1:21" ht="15.75" hidden="1" customHeight="1">
      <c r="A65" s="29">
        <v>14</v>
      </c>
      <c r="B65" s="214" t="s">
        <v>46</v>
      </c>
      <c r="C65" s="102" t="s">
        <v>122</v>
      </c>
      <c r="D65" s="93" t="s">
        <v>221</v>
      </c>
      <c r="E65" s="17">
        <v>14</v>
      </c>
      <c r="F65" s="115">
        <f>SUM(E65)</f>
        <v>14</v>
      </c>
      <c r="G65" s="33">
        <v>303.35000000000002</v>
      </c>
      <c r="H65" s="63">
        <f t="shared" ref="H65:H84" si="6">SUM(F65*G65/1000)</f>
        <v>4.2469000000000001</v>
      </c>
      <c r="I65" s="13">
        <f>G65</f>
        <v>303.35000000000002</v>
      </c>
    </row>
    <row r="66" spans="1:21" ht="15.75" hidden="1" customHeight="1">
      <c r="A66" s="29"/>
      <c r="B66" s="14" t="s">
        <v>47</v>
      </c>
      <c r="C66" s="16" t="s">
        <v>122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3">
        <f t="shared" si="6"/>
        <v>0.72806999999999999</v>
      </c>
      <c r="I66" s="13">
        <v>0</v>
      </c>
    </row>
    <row r="67" spans="1:21" ht="15.75" hidden="1" customHeight="1">
      <c r="A67" s="29"/>
      <c r="B67" s="14" t="s">
        <v>48</v>
      </c>
      <c r="C67" s="16" t="s">
        <v>124</v>
      </c>
      <c r="D67" s="14" t="s">
        <v>53</v>
      </c>
      <c r="E67" s="68">
        <v>23808</v>
      </c>
      <c r="F67" s="13">
        <f>SUM(E67/100)</f>
        <v>238.08</v>
      </c>
      <c r="G67" s="13">
        <v>289.37</v>
      </c>
      <c r="H67" s="63">
        <f t="shared" si="6"/>
        <v>68.893209600000006</v>
      </c>
      <c r="I67" s="13">
        <f t="shared" ref="I67:I72" si="7">F67*G67</f>
        <v>68893.209600000002</v>
      </c>
    </row>
    <row r="68" spans="1:21" ht="15.75" hidden="1" customHeight="1">
      <c r="A68" s="29">
        <v>19</v>
      </c>
      <c r="B68" s="14" t="s">
        <v>49</v>
      </c>
      <c r="C68" s="16" t="s">
        <v>125</v>
      </c>
      <c r="D68" s="14"/>
      <c r="E68" s="68">
        <v>23808</v>
      </c>
      <c r="F68" s="13">
        <f>SUM(E68/1000)</f>
        <v>23.808</v>
      </c>
      <c r="G68" s="13">
        <v>225.35</v>
      </c>
      <c r="H68" s="63">
        <f t="shared" si="6"/>
        <v>5.3651327999999996</v>
      </c>
      <c r="I68" s="13">
        <f t="shared" si="7"/>
        <v>5365.1327999999994</v>
      </c>
    </row>
    <row r="69" spans="1:21" ht="15.75" hidden="1" customHeight="1">
      <c r="A69" s="29"/>
      <c r="B69" s="14" t="s">
        <v>50</v>
      </c>
      <c r="C69" s="16" t="s">
        <v>76</v>
      </c>
      <c r="D69" s="14" t="s">
        <v>53</v>
      </c>
      <c r="E69" s="68">
        <v>3810</v>
      </c>
      <c r="F69" s="13">
        <f>SUM(E69/100)</f>
        <v>38.1</v>
      </c>
      <c r="G69" s="13">
        <v>2829.78</v>
      </c>
      <c r="H69" s="63">
        <f t="shared" si="6"/>
        <v>107.81461800000001</v>
      </c>
      <c r="I69" s="13">
        <f t="shared" si="7"/>
        <v>107814.61800000002</v>
      </c>
    </row>
    <row r="70" spans="1:21" ht="15.75" hidden="1" customHeight="1">
      <c r="A70" s="29">
        <v>20</v>
      </c>
      <c r="B70" s="83" t="s">
        <v>126</v>
      </c>
      <c r="C70" s="16" t="s">
        <v>33</v>
      </c>
      <c r="D70" s="14"/>
      <c r="E70" s="68">
        <v>12.8</v>
      </c>
      <c r="F70" s="13">
        <f>SUM(E70)</f>
        <v>12.8</v>
      </c>
      <c r="G70" s="13">
        <v>44.31</v>
      </c>
      <c r="H70" s="63">
        <f t="shared" si="6"/>
        <v>0.56716800000000001</v>
      </c>
      <c r="I70" s="13">
        <f t="shared" si="7"/>
        <v>567.16800000000001</v>
      </c>
    </row>
    <row r="71" spans="1:21" ht="15.75" hidden="1" customHeight="1">
      <c r="A71" s="29"/>
      <c r="B71" s="83" t="s">
        <v>135</v>
      </c>
      <c r="C71" s="16" t="s">
        <v>33</v>
      </c>
      <c r="D71" s="14"/>
      <c r="E71" s="68">
        <v>12.8</v>
      </c>
      <c r="F71" s="13">
        <f>SUM(E71)</f>
        <v>12.8</v>
      </c>
      <c r="G71" s="13">
        <v>47.79</v>
      </c>
      <c r="H71" s="63">
        <f t="shared" si="6"/>
        <v>0.61171200000000003</v>
      </c>
      <c r="I71" s="13">
        <f t="shared" si="7"/>
        <v>611.71199999999999</v>
      </c>
    </row>
    <row r="72" spans="1:21" ht="15.75" hidden="1" customHeight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9">
        <f>SUM(E72)</f>
        <v>6</v>
      </c>
      <c r="G72" s="13">
        <v>68.040000000000006</v>
      </c>
      <c r="H72" s="63">
        <f t="shared" si="6"/>
        <v>0.40823999999999999</v>
      </c>
      <c r="I72" s="13">
        <f t="shared" si="7"/>
        <v>408.24</v>
      </c>
    </row>
    <row r="73" spans="1:21" ht="15.75" customHeight="1">
      <c r="A73" s="29">
        <v>13</v>
      </c>
      <c r="B73" s="83" t="s">
        <v>181</v>
      </c>
      <c r="C73" s="16"/>
      <c r="D73" s="14" t="s">
        <v>222</v>
      </c>
      <c r="E73" s="18">
        <v>1</v>
      </c>
      <c r="F73" s="13">
        <v>12</v>
      </c>
      <c r="G73" s="13">
        <v>1194</v>
      </c>
      <c r="H73" s="63">
        <f t="shared" si="6"/>
        <v>14.327999999999999</v>
      </c>
      <c r="I73" s="13">
        <f>F73/12*G73</f>
        <v>1194</v>
      </c>
    </row>
    <row r="74" spans="1:21" ht="15.75" customHeight="1">
      <c r="A74" s="29"/>
      <c r="B74" s="212" t="s">
        <v>182</v>
      </c>
      <c r="C74" s="16"/>
      <c r="D74" s="14"/>
      <c r="E74" s="18"/>
      <c r="F74" s="57"/>
      <c r="G74" s="13"/>
      <c r="H74" s="63"/>
      <c r="I74" s="13"/>
      <c r="J74" s="5"/>
      <c r="K74" s="5"/>
      <c r="L74" s="5"/>
      <c r="M74" s="5"/>
      <c r="N74" s="5"/>
      <c r="O74" s="5"/>
      <c r="P74" s="5"/>
      <c r="Q74" s="5"/>
      <c r="R74" s="53"/>
      <c r="S74" s="53"/>
      <c r="T74" s="53"/>
      <c r="U74" s="53"/>
    </row>
    <row r="75" spans="1:21" ht="15.75" customHeight="1">
      <c r="A75" s="29">
        <v>14</v>
      </c>
      <c r="B75" s="14" t="s">
        <v>183</v>
      </c>
      <c r="C75" s="29" t="s">
        <v>184</v>
      </c>
      <c r="D75" s="14"/>
      <c r="E75" s="18">
        <v>5816.5</v>
      </c>
      <c r="F75" s="69">
        <f>SUM(E75)*12</f>
        <v>69798</v>
      </c>
      <c r="G75" s="13">
        <v>2.37</v>
      </c>
      <c r="H75" s="63">
        <f>SUM(F75*G75/1000)</f>
        <v>165.42126000000002</v>
      </c>
      <c r="I75" s="13">
        <f>F75/12*G75</f>
        <v>13785.105000000001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31.5" customHeight="1">
      <c r="A76" s="29">
        <v>15</v>
      </c>
      <c r="B76" s="46" t="s">
        <v>185</v>
      </c>
      <c r="C76" s="62" t="s">
        <v>122</v>
      </c>
      <c r="D76" s="14" t="s">
        <v>222</v>
      </c>
      <c r="E76" s="118">
        <v>1</v>
      </c>
      <c r="F76" s="79">
        <f>E76*12</f>
        <v>12</v>
      </c>
      <c r="G76" s="101">
        <v>55.55</v>
      </c>
      <c r="H76" s="63">
        <f>SUM(F76*G76/1000)</f>
        <v>0.66659999999999986</v>
      </c>
      <c r="I76" s="13">
        <f>F76/12*G76</f>
        <v>55.55</v>
      </c>
      <c r="J76" s="5"/>
      <c r="K76" s="5"/>
      <c r="L76" s="5"/>
      <c r="M76" s="5"/>
      <c r="N76" s="5"/>
      <c r="O76" s="5"/>
      <c r="P76" s="5"/>
      <c r="Q76" s="5"/>
      <c r="R76" s="53"/>
      <c r="S76" s="53"/>
      <c r="T76" s="53"/>
      <c r="U76" s="53"/>
    </row>
    <row r="77" spans="1:21" ht="16.5" hidden="1" customHeight="1">
      <c r="A77" s="110"/>
      <c r="B77" s="212" t="s">
        <v>72</v>
      </c>
      <c r="C77" s="16"/>
      <c r="D77" s="14"/>
      <c r="E77" s="18"/>
      <c r="F77" s="13"/>
      <c r="G77" s="13"/>
      <c r="H77" s="63" t="s">
        <v>129</v>
      </c>
      <c r="I77" s="111"/>
      <c r="J77" s="5"/>
      <c r="K77" s="5"/>
      <c r="L77" s="5"/>
      <c r="M77" s="5"/>
      <c r="N77" s="5"/>
      <c r="O77" s="5"/>
      <c r="P77" s="5"/>
      <c r="Q77" s="5"/>
      <c r="R77" s="95"/>
      <c r="S77" s="95"/>
      <c r="T77" s="95"/>
      <c r="U77" s="95"/>
    </row>
    <row r="78" spans="1:21" ht="32.25" hidden="1" customHeight="1">
      <c r="A78" s="110">
        <v>18</v>
      </c>
      <c r="B78" s="14" t="s">
        <v>186</v>
      </c>
      <c r="C78" s="16" t="s">
        <v>30</v>
      </c>
      <c r="D78" s="14" t="s">
        <v>91</v>
      </c>
      <c r="E78" s="18">
        <v>2</v>
      </c>
      <c r="F78" s="69">
        <f>E78</f>
        <v>2</v>
      </c>
      <c r="G78" s="13">
        <v>2112.2800000000002</v>
      </c>
      <c r="H78" s="63">
        <f>G78*F78/1000</f>
        <v>4.2245600000000003</v>
      </c>
      <c r="I78" s="111">
        <f>G78*1</f>
        <v>2112.2800000000002</v>
      </c>
      <c r="J78" s="5"/>
      <c r="K78" s="5"/>
      <c r="L78" s="5"/>
      <c r="M78" s="5"/>
      <c r="N78" s="5"/>
      <c r="O78" s="5"/>
      <c r="P78" s="5"/>
      <c r="Q78" s="5"/>
      <c r="R78" s="95"/>
      <c r="S78" s="95"/>
      <c r="T78" s="95"/>
      <c r="U78" s="95"/>
    </row>
    <row r="79" spans="1:21" ht="16.5" hidden="1" customHeight="1">
      <c r="A79" s="110"/>
      <c r="B79" s="46" t="s">
        <v>187</v>
      </c>
      <c r="C79" s="62" t="s">
        <v>122</v>
      </c>
      <c r="D79" s="14" t="s">
        <v>65</v>
      </c>
      <c r="E79" s="18">
        <v>5</v>
      </c>
      <c r="F79" s="13">
        <v>5</v>
      </c>
      <c r="G79" s="13">
        <v>136.19999999999999</v>
      </c>
      <c r="H79" s="63">
        <f>SUM(F79*G79/1000)</f>
        <v>0.68100000000000005</v>
      </c>
      <c r="I79" s="111">
        <v>0</v>
      </c>
      <c r="J79" s="5"/>
      <c r="K79" s="5"/>
      <c r="L79" s="5"/>
      <c r="M79" s="5"/>
      <c r="N79" s="5"/>
      <c r="O79" s="5"/>
      <c r="P79" s="5"/>
      <c r="Q79" s="5"/>
      <c r="R79" s="95"/>
      <c r="S79" s="95"/>
      <c r="T79" s="95"/>
      <c r="U79" s="95"/>
    </row>
    <row r="80" spans="1:21" ht="15.75" hidden="1" customHeight="1">
      <c r="A80" s="110"/>
      <c r="B80" s="14" t="s">
        <v>73</v>
      </c>
      <c r="C80" s="16" t="s">
        <v>188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3">
        <f>SUM(F80*G80/1000)</f>
        <v>0.41051399999999999</v>
      </c>
      <c r="I80" s="111">
        <v>0</v>
      </c>
      <c r="J80" s="5"/>
      <c r="K80" s="5"/>
      <c r="L80" s="5"/>
      <c r="M80" s="5"/>
      <c r="N80" s="5"/>
      <c r="O80" s="5"/>
      <c r="P80" s="5"/>
      <c r="Q80" s="5"/>
      <c r="R80" s="95"/>
      <c r="S80" s="95"/>
      <c r="T80" s="95"/>
      <c r="U80" s="95"/>
    </row>
    <row r="81" spans="1:21" ht="18.75" hidden="1" customHeight="1">
      <c r="A81" s="110"/>
      <c r="B81" s="14" t="s">
        <v>74</v>
      </c>
      <c r="C81" s="16" t="s">
        <v>30</v>
      </c>
      <c r="D81" s="14" t="s">
        <v>65</v>
      </c>
      <c r="E81" s="18">
        <v>1</v>
      </c>
      <c r="F81" s="57">
        <v>1</v>
      </c>
      <c r="G81" s="13">
        <v>1163.47</v>
      </c>
      <c r="H81" s="63">
        <f>SUM(F81*G81/1000)</f>
        <v>1.16347</v>
      </c>
      <c r="I81" s="111">
        <v>0</v>
      </c>
      <c r="J81" s="5"/>
      <c r="K81" s="5"/>
      <c r="L81" s="5"/>
      <c r="M81" s="5"/>
      <c r="N81" s="5"/>
      <c r="O81" s="5"/>
      <c r="P81" s="5"/>
      <c r="Q81" s="5"/>
      <c r="R81" s="95"/>
      <c r="S81" s="95"/>
      <c r="T81" s="95"/>
      <c r="U81" s="95"/>
    </row>
    <row r="82" spans="1:21" ht="18" hidden="1" customHeight="1">
      <c r="A82" s="110"/>
      <c r="B82" s="46" t="s">
        <v>189</v>
      </c>
      <c r="C82" s="62" t="s">
        <v>122</v>
      </c>
      <c r="D82" s="14" t="s">
        <v>65</v>
      </c>
      <c r="E82" s="18">
        <v>1</v>
      </c>
      <c r="F82" s="69">
        <f>E82</f>
        <v>1</v>
      </c>
      <c r="G82" s="13">
        <v>1670.07</v>
      </c>
      <c r="H82" s="63">
        <f>SUM(F82*G82/1000)</f>
        <v>1.6700699999999999</v>
      </c>
      <c r="I82" s="111">
        <v>0</v>
      </c>
      <c r="J82" s="5"/>
      <c r="K82" s="5"/>
      <c r="L82" s="5"/>
      <c r="M82" s="5"/>
      <c r="N82" s="5"/>
      <c r="O82" s="5"/>
      <c r="P82" s="5"/>
      <c r="Q82" s="5"/>
      <c r="R82" s="95"/>
      <c r="S82" s="95"/>
      <c r="T82" s="95"/>
      <c r="U82" s="95"/>
    </row>
    <row r="83" spans="1:21" ht="17.25" hidden="1" customHeight="1">
      <c r="A83" s="110"/>
      <c r="B83" s="84" t="s">
        <v>75</v>
      </c>
      <c r="C83" s="16"/>
      <c r="D83" s="14"/>
      <c r="E83" s="18"/>
      <c r="F83" s="13"/>
      <c r="G83" s="13" t="s">
        <v>129</v>
      </c>
      <c r="H83" s="63" t="s">
        <v>129</v>
      </c>
      <c r="I83" s="111"/>
      <c r="J83" s="5"/>
      <c r="K83" s="5"/>
      <c r="L83" s="5"/>
      <c r="M83" s="5"/>
      <c r="N83" s="5"/>
      <c r="O83" s="5"/>
      <c r="P83" s="5"/>
      <c r="Q83" s="5"/>
      <c r="R83" s="95"/>
      <c r="S83" s="95"/>
      <c r="T83" s="95"/>
      <c r="U83" s="95"/>
    </row>
    <row r="84" spans="1:21" ht="15" hidden="1" customHeight="1">
      <c r="A84" s="110"/>
      <c r="B84" s="42" t="s">
        <v>130</v>
      </c>
      <c r="C84" s="16" t="s">
        <v>76</v>
      </c>
      <c r="D84" s="14"/>
      <c r="E84" s="18"/>
      <c r="F84" s="13">
        <v>0.6</v>
      </c>
      <c r="G84" s="13">
        <v>4144.28</v>
      </c>
      <c r="H84" s="63">
        <f t="shared" si="6"/>
        <v>2.4865679999999997</v>
      </c>
      <c r="I84" s="111">
        <v>0</v>
      </c>
      <c r="J84" s="5"/>
      <c r="K84" s="5"/>
      <c r="L84" s="5"/>
      <c r="M84" s="5"/>
      <c r="N84" s="5"/>
      <c r="O84" s="5"/>
      <c r="P84" s="5"/>
      <c r="Q84" s="5"/>
      <c r="R84" s="95"/>
      <c r="S84" s="95"/>
      <c r="T84" s="95"/>
      <c r="U84" s="95"/>
    </row>
    <row r="85" spans="1:21" ht="17.25" hidden="1" customHeight="1">
      <c r="A85" s="110"/>
      <c r="B85" s="212" t="s">
        <v>127</v>
      </c>
      <c r="C85" s="84"/>
      <c r="D85" s="117"/>
      <c r="E85" s="31"/>
      <c r="F85" s="119"/>
      <c r="G85" s="119"/>
      <c r="H85" s="120">
        <f>SUM(H57:H84)</f>
        <v>411.53215745600005</v>
      </c>
      <c r="I85" s="111"/>
      <c r="J85" s="5"/>
      <c r="K85" s="5"/>
      <c r="L85" s="5"/>
      <c r="M85" s="5"/>
      <c r="N85" s="5"/>
      <c r="O85" s="5"/>
      <c r="P85" s="5"/>
      <c r="Q85" s="5"/>
      <c r="R85" s="95"/>
      <c r="S85" s="95"/>
      <c r="T85" s="95"/>
      <c r="U85" s="95"/>
    </row>
    <row r="86" spans="1:21" ht="22.5" hidden="1" customHeight="1">
      <c r="A86" s="110"/>
      <c r="B86" s="66" t="s">
        <v>128</v>
      </c>
      <c r="C86" s="16"/>
      <c r="D86" s="14"/>
      <c r="E86" s="58"/>
      <c r="F86" s="13">
        <v>1</v>
      </c>
      <c r="G86" s="13">
        <v>24117.599999999999</v>
      </c>
      <c r="H86" s="63">
        <f>G86*F86/1000</f>
        <v>24.117599999999999</v>
      </c>
      <c r="I86" s="111">
        <v>0</v>
      </c>
      <c r="J86" s="5"/>
      <c r="K86" s="5"/>
      <c r="L86" s="5"/>
      <c r="M86" s="5"/>
      <c r="N86" s="5"/>
      <c r="O86" s="5"/>
      <c r="P86" s="5"/>
      <c r="Q86" s="5"/>
      <c r="R86" s="95"/>
      <c r="S86" s="95"/>
      <c r="T86" s="95"/>
      <c r="U86" s="95"/>
    </row>
    <row r="87" spans="1:21" ht="15.75" customHeight="1">
      <c r="A87" s="243" t="s">
        <v>171</v>
      </c>
      <c r="B87" s="244"/>
      <c r="C87" s="244"/>
      <c r="D87" s="244"/>
      <c r="E87" s="244"/>
      <c r="F87" s="244"/>
      <c r="G87" s="244"/>
      <c r="H87" s="244"/>
      <c r="I87" s="245"/>
      <c r="J87" s="5"/>
      <c r="K87" s="5"/>
      <c r="L87" s="5"/>
      <c r="M87" s="5"/>
      <c r="N87" s="5"/>
      <c r="O87" s="5"/>
      <c r="P87" s="5"/>
      <c r="Q87" s="5"/>
      <c r="R87" s="95"/>
      <c r="S87" s="95"/>
      <c r="T87" s="95"/>
      <c r="U87" s="95"/>
    </row>
    <row r="88" spans="1:21" ht="15.75" customHeight="1">
      <c r="A88" s="110">
        <v>16</v>
      </c>
      <c r="B88" s="112" t="s">
        <v>131</v>
      </c>
      <c r="C88" s="102" t="s">
        <v>54</v>
      </c>
      <c r="D88" s="208"/>
      <c r="E88" s="33">
        <v>5816.5</v>
      </c>
      <c r="F88" s="33">
        <f>SUM(E88*12)</f>
        <v>69798</v>
      </c>
      <c r="G88" s="33">
        <v>3.22</v>
      </c>
      <c r="H88" s="63">
        <f>SUM(F88*G88/1000)</f>
        <v>224.74956000000003</v>
      </c>
      <c r="I88" s="13">
        <f>F88/12*G88</f>
        <v>18729.13</v>
      </c>
      <c r="J88" s="5"/>
      <c r="K88" s="5"/>
      <c r="L88" s="5"/>
      <c r="M88" s="5"/>
      <c r="N88" s="5"/>
      <c r="O88" s="5"/>
      <c r="P88" s="5"/>
      <c r="Q88" s="5"/>
      <c r="R88" s="53"/>
      <c r="S88" s="53"/>
      <c r="T88" s="53"/>
      <c r="U88" s="53"/>
    </row>
    <row r="89" spans="1:21" ht="31.5" customHeight="1">
      <c r="A89" s="29">
        <v>17</v>
      </c>
      <c r="B89" s="93" t="s">
        <v>77</v>
      </c>
      <c r="C89" s="102"/>
      <c r="D89" s="92"/>
      <c r="E89" s="190">
        <f>E87</f>
        <v>0</v>
      </c>
      <c r="F89" s="33">
        <v>69798</v>
      </c>
      <c r="G89" s="33">
        <v>3.64</v>
      </c>
      <c r="H89" s="63">
        <f>F89*G89/1000</f>
        <v>254.06471999999999</v>
      </c>
      <c r="I89" s="13">
        <f>F89/12*G89</f>
        <v>21172.06</v>
      </c>
    </row>
    <row r="90" spans="1:21" ht="15.75" customHeight="1">
      <c r="A90" s="43"/>
      <c r="B90" s="34" t="s">
        <v>79</v>
      </c>
      <c r="C90" s="35"/>
      <c r="D90" s="15"/>
      <c r="E90" s="15"/>
      <c r="F90" s="15"/>
      <c r="G90" s="18"/>
      <c r="H90" s="18"/>
      <c r="I90" s="31">
        <f>I89+I88+I76+I75+I73+I63+I44+I43+I42+I41+I39+I38+I37+I26+I18+I17+I16</f>
        <v>105521.48555456667</v>
      </c>
    </row>
    <row r="91" spans="1:21" ht="15.75" customHeight="1">
      <c r="A91" s="237" t="s">
        <v>59</v>
      </c>
      <c r="B91" s="238"/>
      <c r="C91" s="238"/>
      <c r="D91" s="238"/>
      <c r="E91" s="238"/>
      <c r="F91" s="238"/>
      <c r="G91" s="238"/>
      <c r="H91" s="238"/>
      <c r="I91" s="239"/>
    </row>
    <row r="92" spans="1:21" ht="15.75" customHeight="1">
      <c r="A92" s="29">
        <v>18</v>
      </c>
      <c r="B92" s="48" t="s">
        <v>150</v>
      </c>
      <c r="C92" s="91" t="s">
        <v>83</v>
      </c>
      <c r="D92" s="92" t="s">
        <v>250</v>
      </c>
      <c r="E92" s="33"/>
      <c r="F92" s="33">
        <v>7</v>
      </c>
      <c r="G92" s="33">
        <v>222.63</v>
      </c>
      <c r="H92" s="90">
        <f t="shared" ref="H92:H98" si="8">G92*F92/1000</f>
        <v>1.5584099999999999</v>
      </c>
      <c r="I92" s="47">
        <f>G92*1</f>
        <v>222.63</v>
      </c>
    </row>
    <row r="93" spans="1:21" ht="29.25" customHeight="1">
      <c r="A93" s="29">
        <v>19</v>
      </c>
      <c r="B93" s="48" t="s">
        <v>228</v>
      </c>
      <c r="C93" s="91" t="s">
        <v>91</v>
      </c>
      <c r="D93" s="92" t="s">
        <v>253</v>
      </c>
      <c r="E93" s="33"/>
      <c r="F93" s="33">
        <v>1</v>
      </c>
      <c r="G93" s="33">
        <v>587.65</v>
      </c>
      <c r="H93" s="90">
        <f t="shared" si="8"/>
        <v>0.58765000000000001</v>
      </c>
      <c r="I93" s="47">
        <f>G93*1</f>
        <v>587.65</v>
      </c>
    </row>
    <row r="94" spans="1:21" ht="28.5" customHeight="1">
      <c r="A94" s="29">
        <v>20</v>
      </c>
      <c r="B94" s="182" t="s">
        <v>229</v>
      </c>
      <c r="C94" s="35" t="s">
        <v>230</v>
      </c>
      <c r="D94" s="92"/>
      <c r="E94" s="33"/>
      <c r="F94" s="33">
        <v>0.2</v>
      </c>
      <c r="G94" s="33">
        <v>1873.58</v>
      </c>
      <c r="H94" s="90">
        <f t="shared" si="8"/>
        <v>0.37471599999999999</v>
      </c>
      <c r="I94" s="47">
        <f>G94*0.2</f>
        <v>374.71600000000001</v>
      </c>
    </row>
    <row r="95" spans="1:21" ht="15.75" customHeight="1">
      <c r="A95" s="29">
        <v>21</v>
      </c>
      <c r="B95" s="48" t="s">
        <v>231</v>
      </c>
      <c r="C95" s="91" t="s">
        <v>232</v>
      </c>
      <c r="D95" s="92"/>
      <c r="E95" s="33"/>
      <c r="F95" s="33">
        <v>1</v>
      </c>
      <c r="G95" s="33">
        <v>923.85</v>
      </c>
      <c r="H95" s="90">
        <f t="shared" si="8"/>
        <v>0.92385000000000006</v>
      </c>
      <c r="I95" s="47">
        <f>G95*1</f>
        <v>923.85</v>
      </c>
    </row>
    <row r="96" spans="1:21" ht="15.75" customHeight="1">
      <c r="A96" s="29">
        <v>22</v>
      </c>
      <c r="B96" s="48" t="s">
        <v>81</v>
      </c>
      <c r="C96" s="91" t="s">
        <v>122</v>
      </c>
      <c r="D96" s="92"/>
      <c r="E96" s="33"/>
      <c r="F96" s="33">
        <v>2</v>
      </c>
      <c r="G96" s="33">
        <v>215.85</v>
      </c>
      <c r="H96" s="90">
        <f t="shared" si="8"/>
        <v>0.43169999999999997</v>
      </c>
      <c r="I96" s="47">
        <f>G96*1</f>
        <v>215.85</v>
      </c>
    </row>
    <row r="97" spans="1:9" ht="29.25" customHeight="1">
      <c r="A97" s="29">
        <v>23</v>
      </c>
      <c r="B97" s="48" t="s">
        <v>226</v>
      </c>
      <c r="C97" s="91" t="s">
        <v>193</v>
      </c>
      <c r="D97" s="93" t="s">
        <v>251</v>
      </c>
      <c r="E97" s="33"/>
      <c r="F97" s="33">
        <v>3</v>
      </c>
      <c r="G97" s="33">
        <v>1421.68</v>
      </c>
      <c r="H97" s="90">
        <f t="shared" si="8"/>
        <v>4.2650399999999999</v>
      </c>
      <c r="I97" s="47">
        <f>G97*2</f>
        <v>2843.36</v>
      </c>
    </row>
    <row r="98" spans="1:9" ht="30" customHeight="1">
      <c r="A98" s="29">
        <v>24</v>
      </c>
      <c r="B98" s="48" t="s">
        <v>206</v>
      </c>
      <c r="C98" s="91" t="s">
        <v>193</v>
      </c>
      <c r="D98" s="93" t="s">
        <v>252</v>
      </c>
      <c r="E98" s="33"/>
      <c r="F98" s="33">
        <v>0.5</v>
      </c>
      <c r="G98" s="33">
        <v>1523.6</v>
      </c>
      <c r="H98" s="90">
        <f t="shared" si="8"/>
        <v>0.76179999999999992</v>
      </c>
      <c r="I98" s="47">
        <f>G98*0.5</f>
        <v>761.8</v>
      </c>
    </row>
    <row r="99" spans="1:9" ht="15.75" customHeight="1">
      <c r="A99" s="29"/>
      <c r="B99" s="40" t="s">
        <v>51</v>
      </c>
      <c r="C99" s="36"/>
      <c r="D99" s="44"/>
      <c r="E99" s="36">
        <v>1</v>
      </c>
      <c r="F99" s="36"/>
      <c r="G99" s="36"/>
      <c r="H99" s="36"/>
      <c r="I99" s="31">
        <f>SUM(I92:I98)</f>
        <v>5929.8560000000007</v>
      </c>
    </row>
    <row r="100" spans="1:9" ht="15.75" customHeight="1">
      <c r="A100" s="29"/>
      <c r="B100" s="42" t="s">
        <v>78</v>
      </c>
      <c r="C100" s="15"/>
      <c r="D100" s="15"/>
      <c r="E100" s="37"/>
      <c r="F100" s="37"/>
      <c r="G100" s="38"/>
      <c r="H100" s="38"/>
      <c r="I100" s="17">
        <v>0</v>
      </c>
    </row>
    <row r="101" spans="1:9" ht="15.75" customHeight="1">
      <c r="A101" s="45"/>
      <c r="B101" s="41" t="s">
        <v>173</v>
      </c>
      <c r="C101" s="32"/>
      <c r="D101" s="32"/>
      <c r="E101" s="32"/>
      <c r="F101" s="32"/>
      <c r="G101" s="32"/>
      <c r="H101" s="32"/>
      <c r="I101" s="39">
        <f>I90+I99</f>
        <v>111451.34155456666</v>
      </c>
    </row>
    <row r="102" spans="1:9" ht="15.75" customHeight="1">
      <c r="A102" s="240" t="s">
        <v>255</v>
      </c>
      <c r="B102" s="240"/>
      <c r="C102" s="240"/>
      <c r="D102" s="240"/>
      <c r="E102" s="240"/>
      <c r="F102" s="240"/>
      <c r="G102" s="240"/>
      <c r="H102" s="240"/>
      <c r="I102" s="240"/>
    </row>
    <row r="103" spans="1:9" ht="15.75" customHeight="1">
      <c r="A103" s="56"/>
      <c r="B103" s="241" t="s">
        <v>256</v>
      </c>
      <c r="C103" s="241"/>
      <c r="D103" s="241"/>
      <c r="E103" s="241"/>
      <c r="F103" s="241"/>
      <c r="G103" s="241"/>
      <c r="H103" s="61"/>
      <c r="I103" s="3"/>
    </row>
    <row r="104" spans="1:9" ht="15.75" customHeight="1">
      <c r="A104" s="53"/>
      <c r="B104" s="228" t="s">
        <v>6</v>
      </c>
      <c r="C104" s="228"/>
      <c r="D104" s="228"/>
      <c r="E104" s="228"/>
      <c r="F104" s="228"/>
      <c r="G104" s="228"/>
      <c r="H104" s="24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242" t="s">
        <v>7</v>
      </c>
      <c r="B106" s="242"/>
      <c r="C106" s="242"/>
      <c r="D106" s="242"/>
      <c r="E106" s="242"/>
      <c r="F106" s="242"/>
      <c r="G106" s="242"/>
      <c r="H106" s="242"/>
      <c r="I106" s="242"/>
    </row>
    <row r="107" spans="1:9" ht="15.75" customHeight="1">
      <c r="A107" s="242" t="s">
        <v>8</v>
      </c>
      <c r="B107" s="242"/>
      <c r="C107" s="242"/>
      <c r="D107" s="242"/>
      <c r="E107" s="242"/>
      <c r="F107" s="242"/>
      <c r="G107" s="242"/>
      <c r="H107" s="242"/>
      <c r="I107" s="242"/>
    </row>
    <row r="108" spans="1:9" ht="15.75" customHeight="1">
      <c r="A108" s="232" t="s">
        <v>60</v>
      </c>
      <c r="B108" s="232"/>
      <c r="C108" s="232"/>
      <c r="D108" s="232"/>
      <c r="E108" s="232"/>
      <c r="F108" s="232"/>
      <c r="G108" s="232"/>
      <c r="H108" s="232"/>
      <c r="I108" s="232"/>
    </row>
    <row r="109" spans="1:9" ht="15.75" customHeight="1">
      <c r="A109" s="11"/>
    </row>
    <row r="110" spans="1:9" ht="15.75" customHeight="1">
      <c r="A110" s="226" t="s">
        <v>9</v>
      </c>
      <c r="B110" s="226"/>
      <c r="C110" s="226"/>
      <c r="D110" s="226"/>
      <c r="E110" s="226"/>
      <c r="F110" s="226"/>
      <c r="G110" s="226"/>
      <c r="H110" s="226"/>
      <c r="I110" s="226"/>
    </row>
    <row r="111" spans="1:9" ht="15.75" customHeight="1">
      <c r="A111" s="4"/>
    </row>
    <row r="112" spans="1:9" ht="15.75" customHeight="1">
      <c r="B112" s="55" t="s">
        <v>10</v>
      </c>
      <c r="C112" s="227" t="s">
        <v>88</v>
      </c>
      <c r="D112" s="227"/>
      <c r="E112" s="227"/>
      <c r="F112" s="59"/>
      <c r="I112" s="52"/>
    </row>
    <row r="113" spans="1:9" ht="15.75" customHeight="1">
      <c r="A113" s="53"/>
      <c r="C113" s="228" t="s">
        <v>11</v>
      </c>
      <c r="D113" s="228"/>
      <c r="E113" s="228"/>
      <c r="F113" s="24"/>
      <c r="I113" s="51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55" t="s">
        <v>13</v>
      </c>
      <c r="C115" s="229"/>
      <c r="D115" s="229"/>
      <c r="E115" s="229"/>
      <c r="F115" s="60"/>
      <c r="I115" s="52"/>
    </row>
    <row r="116" spans="1:9" ht="15.75" customHeight="1">
      <c r="A116" s="53"/>
      <c r="C116" s="230" t="s">
        <v>11</v>
      </c>
      <c r="D116" s="230"/>
      <c r="E116" s="230"/>
      <c r="F116" s="53"/>
      <c r="I116" s="51" t="s">
        <v>12</v>
      </c>
    </row>
    <row r="117" spans="1:9" ht="15.75" customHeight="1">
      <c r="A117" s="4" t="s">
        <v>14</v>
      </c>
    </row>
    <row r="118" spans="1:9" ht="15" customHeight="1">
      <c r="A118" s="231" t="s">
        <v>15</v>
      </c>
      <c r="B118" s="231"/>
      <c r="C118" s="231"/>
      <c r="D118" s="231"/>
      <c r="E118" s="231"/>
      <c r="F118" s="231"/>
      <c r="G118" s="231"/>
      <c r="H118" s="231"/>
      <c r="I118" s="231"/>
    </row>
    <row r="119" spans="1:9" ht="45" customHeight="1">
      <c r="A119" s="225" t="s">
        <v>16</v>
      </c>
      <c r="B119" s="225"/>
      <c r="C119" s="225"/>
      <c r="D119" s="225"/>
      <c r="E119" s="225"/>
      <c r="F119" s="225"/>
      <c r="G119" s="225"/>
      <c r="H119" s="225"/>
      <c r="I119" s="225"/>
    </row>
    <row r="120" spans="1:9" ht="30" customHeight="1">
      <c r="A120" s="225" t="s">
        <v>17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30" customHeight="1">
      <c r="A121" s="225" t="s">
        <v>21</v>
      </c>
      <c r="B121" s="225"/>
      <c r="C121" s="225"/>
      <c r="D121" s="225"/>
      <c r="E121" s="225"/>
      <c r="F121" s="225"/>
      <c r="G121" s="225"/>
      <c r="H121" s="225"/>
      <c r="I121" s="225"/>
    </row>
    <row r="122" spans="1:9" ht="15" customHeight="1">
      <c r="A122" s="225" t="s">
        <v>20</v>
      </c>
      <c r="B122" s="225"/>
      <c r="C122" s="225"/>
      <c r="D122" s="225"/>
      <c r="E122" s="225"/>
      <c r="F122" s="225"/>
      <c r="G122" s="225"/>
      <c r="H122" s="225"/>
      <c r="I122" s="225"/>
    </row>
  </sheetData>
  <autoFilter ref="I12:I56"/>
  <mergeCells count="29">
    <mergeCell ref="R61:U61"/>
    <mergeCell ref="A3:I3"/>
    <mergeCell ref="A4:I4"/>
    <mergeCell ref="A5:I5"/>
    <mergeCell ref="A8:I8"/>
    <mergeCell ref="A10:I10"/>
    <mergeCell ref="A14:I14"/>
    <mergeCell ref="A27:I27"/>
    <mergeCell ref="A55:I55"/>
    <mergeCell ref="A108:I108"/>
    <mergeCell ref="A15:I15"/>
    <mergeCell ref="A45:I45"/>
    <mergeCell ref="A91:I91"/>
    <mergeCell ref="A102:I102"/>
    <mergeCell ref="B103:G103"/>
    <mergeCell ref="B104:G104"/>
    <mergeCell ref="A106:I106"/>
    <mergeCell ref="A107:I107"/>
    <mergeCell ref="A87:I87"/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6"/>
  <sheetViews>
    <sheetView topLeftCell="A55" workbookViewId="0">
      <selection activeCell="B92" sqref="B92"/>
    </sheetView>
  </sheetViews>
  <sheetFormatPr defaultRowHeight="15"/>
  <cols>
    <col min="2" max="2" width="51.140625" customWidth="1"/>
    <col min="3" max="3" width="17.85546875" customWidth="1"/>
    <col min="4" max="4" width="18.42578125" customWidth="1"/>
    <col min="5" max="6" width="0" hidden="1" customWidth="1"/>
    <col min="7" max="7" width="18.140625" customWidth="1"/>
    <col min="8" max="8" width="0" hidden="1" customWidth="1"/>
    <col min="9" max="9" width="23.8554687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194</v>
      </c>
      <c r="B3" s="246"/>
      <c r="C3" s="246"/>
      <c r="D3" s="246"/>
      <c r="E3" s="246"/>
      <c r="F3" s="246"/>
      <c r="G3" s="246"/>
      <c r="H3" s="246"/>
      <c r="I3" s="246"/>
    </row>
    <row r="4" spans="1:9" ht="36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257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08"/>
      <c r="C6" s="108"/>
      <c r="D6" s="108"/>
      <c r="E6" s="108"/>
      <c r="F6" s="108"/>
      <c r="G6" s="108"/>
      <c r="H6" s="108"/>
      <c r="I6" s="139">
        <v>43951</v>
      </c>
    </row>
    <row r="7" spans="1:9" ht="15.75">
      <c r="B7" s="106"/>
      <c r="C7" s="106"/>
      <c r="D7" s="106"/>
      <c r="E7" s="3"/>
      <c r="F7" s="3"/>
      <c r="G7" s="3"/>
      <c r="H7" s="3"/>
    </row>
    <row r="8" spans="1:9" ht="10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51.7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4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5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idden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idden="1">
      <c r="A29" s="29">
        <v>7</v>
      </c>
      <c r="B29" s="66" t="s">
        <v>111</v>
      </c>
      <c r="C29" s="67" t="s">
        <v>112</v>
      </c>
      <c r="D29" s="66" t="s">
        <v>113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5" si="1">SUM(F29*G29/1000)</f>
        <v>3.9495100528000009</v>
      </c>
      <c r="I29" s="13">
        <f>F29/6*G29</f>
        <v>658.25167546666682</v>
      </c>
    </row>
    <row r="30" spans="1:9" ht="45" hidden="1">
      <c r="A30" s="29"/>
      <c r="B30" s="66" t="s">
        <v>166</v>
      </c>
      <c r="C30" s="67" t="s">
        <v>112</v>
      </c>
      <c r="D30" s="66" t="s">
        <v>114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7</v>
      </c>
      <c r="B31" s="66" t="s">
        <v>27</v>
      </c>
      <c r="C31" s="67" t="s">
        <v>112</v>
      </c>
      <c r="D31" s="66" t="s">
        <v>53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idden="1">
      <c r="A32" s="29">
        <v>8</v>
      </c>
      <c r="B32" s="66" t="s">
        <v>140</v>
      </c>
      <c r="C32" s="67" t="s">
        <v>39</v>
      </c>
      <c r="D32" s="66" t="s">
        <v>175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16</v>
      </c>
      <c r="B33" s="66" t="s">
        <v>115</v>
      </c>
      <c r="C33" s="67" t="s">
        <v>30</v>
      </c>
      <c r="D33" s="66" t="s">
        <v>62</v>
      </c>
      <c r="E33" s="73">
        <f>1/3</f>
        <v>0.33333333333333331</v>
      </c>
      <c r="F33" s="69">
        <f>155/3</f>
        <v>51.666666666666664</v>
      </c>
      <c r="G33" s="69">
        <v>77.33</v>
      </c>
      <c r="H33" s="70">
        <f>SUM(G33*155/3/1000)</f>
        <v>3.9953833333333333</v>
      </c>
      <c r="I33" s="13">
        <f>F33/6*G33</f>
        <v>665.89722222222213</v>
      </c>
    </row>
    <row r="34" spans="1:9" hidden="1">
      <c r="A34" s="29">
        <v>10</v>
      </c>
      <c r="B34" s="66" t="s">
        <v>63</v>
      </c>
      <c r="C34" s="67" t="s">
        <v>33</v>
      </c>
      <c r="D34" s="66" t="s">
        <v>65</v>
      </c>
      <c r="E34" s="68"/>
      <c r="F34" s="69">
        <v>2</v>
      </c>
      <c r="G34" s="69">
        <v>260.95</v>
      </c>
      <c r="H34" s="70">
        <f t="shared" si="1"/>
        <v>0.52190000000000003</v>
      </c>
      <c r="I34" s="13">
        <v>0</v>
      </c>
    </row>
    <row r="35" spans="1:9" hidden="1">
      <c r="A35" s="29"/>
      <c r="B35" s="66" t="s">
        <v>64</v>
      </c>
      <c r="C35" s="67" t="s">
        <v>32</v>
      </c>
      <c r="D35" s="66" t="s">
        <v>65</v>
      </c>
      <c r="E35" s="68"/>
      <c r="F35" s="69">
        <v>1</v>
      </c>
      <c r="G35" s="69">
        <v>1549.92</v>
      </c>
      <c r="H35" s="70">
        <f t="shared" si="1"/>
        <v>1.54992</v>
      </c>
      <c r="I35" s="13">
        <v>0</v>
      </c>
    </row>
    <row r="36" spans="1:9">
      <c r="A36" s="29"/>
      <c r="B36" s="87" t="s">
        <v>5</v>
      </c>
      <c r="C36" s="67"/>
      <c r="D36" s="66"/>
      <c r="E36" s="68"/>
      <c r="F36" s="69"/>
      <c r="G36" s="69"/>
      <c r="H36" s="70" t="s">
        <v>129</v>
      </c>
      <c r="I36" s="13"/>
    </row>
    <row r="37" spans="1:9" hidden="1">
      <c r="A37" s="29">
        <v>5</v>
      </c>
      <c r="B37" s="66" t="s">
        <v>26</v>
      </c>
      <c r="C37" s="67" t="s">
        <v>32</v>
      </c>
      <c r="D37" s="66"/>
      <c r="E37" s="68"/>
      <c r="F37" s="69">
        <v>5</v>
      </c>
      <c r="G37" s="69">
        <v>2083</v>
      </c>
      <c r="H37" s="70">
        <f t="shared" ref="H37:H44" si="2">SUM(F37*G37/1000)</f>
        <v>10.414999999999999</v>
      </c>
      <c r="I37" s="13">
        <f>G37*1.3</f>
        <v>2707.9</v>
      </c>
    </row>
    <row r="38" spans="1:9">
      <c r="A38" s="29">
        <v>5</v>
      </c>
      <c r="B38" s="66" t="s">
        <v>66</v>
      </c>
      <c r="C38" s="67" t="s">
        <v>29</v>
      </c>
      <c r="D38" s="192" t="s">
        <v>216</v>
      </c>
      <c r="E38" s="69">
        <v>469.73</v>
      </c>
      <c r="F38" s="69">
        <f>SUM(E38*30/1000)</f>
        <v>14.091900000000001</v>
      </c>
      <c r="G38" s="69">
        <v>2868.09</v>
      </c>
      <c r="H38" s="70">
        <f t="shared" si="2"/>
        <v>40.416837471000008</v>
      </c>
      <c r="I38" s="13">
        <f t="shared" ref="I38:I44" si="3">F38/6*G38</f>
        <v>6736.1395785000004</v>
      </c>
    </row>
    <row r="39" spans="1:9" ht="15.75" customHeight="1">
      <c r="A39" s="29">
        <v>6</v>
      </c>
      <c r="B39" s="66" t="s">
        <v>67</v>
      </c>
      <c r="C39" s="67" t="s">
        <v>29</v>
      </c>
      <c r="D39" s="112" t="s">
        <v>217</v>
      </c>
      <c r="E39" s="69">
        <v>475.06</v>
      </c>
      <c r="F39" s="69">
        <f>SUM(E39*155/1000)</f>
        <v>73.634299999999996</v>
      </c>
      <c r="G39" s="69">
        <v>478.42</v>
      </c>
      <c r="H39" s="70">
        <f t="shared" si="2"/>
        <v>35.228121806000004</v>
      </c>
      <c r="I39" s="13">
        <f t="shared" si="3"/>
        <v>5871.3536343333326</v>
      </c>
    </row>
    <row r="40" spans="1:9" ht="15.75" hidden="1" customHeight="1">
      <c r="A40" s="29">
        <v>8</v>
      </c>
      <c r="B40" s="66" t="s">
        <v>94</v>
      </c>
      <c r="C40" s="67" t="s">
        <v>133</v>
      </c>
      <c r="D40" s="112" t="s">
        <v>223</v>
      </c>
      <c r="E40" s="68"/>
      <c r="F40" s="69">
        <v>39</v>
      </c>
      <c r="G40" s="69">
        <v>314</v>
      </c>
      <c r="H40" s="70">
        <f>SUM(F40*G40/1000)</f>
        <v>12.246</v>
      </c>
      <c r="I40" s="13">
        <f>G40*26</f>
        <v>8164</v>
      </c>
    </row>
    <row r="41" spans="1:9" ht="45.75" customHeight="1">
      <c r="A41" s="29">
        <v>7</v>
      </c>
      <c r="B41" s="66" t="s">
        <v>82</v>
      </c>
      <c r="C41" s="67" t="s">
        <v>112</v>
      </c>
      <c r="D41" s="112" t="s">
        <v>218</v>
      </c>
      <c r="E41" s="69">
        <v>40.6</v>
      </c>
      <c r="F41" s="69">
        <f>SUM(E41*35/1000)</f>
        <v>1.421</v>
      </c>
      <c r="G41" s="69">
        <v>7915.6</v>
      </c>
      <c r="H41" s="70">
        <f t="shared" si="2"/>
        <v>11.248067600000001</v>
      </c>
      <c r="I41" s="13">
        <f t="shared" si="3"/>
        <v>1874.6779333333334</v>
      </c>
    </row>
    <row r="42" spans="1:9" hidden="1">
      <c r="A42" s="29">
        <v>10</v>
      </c>
      <c r="B42" s="66" t="s">
        <v>118</v>
      </c>
      <c r="C42" s="67" t="s">
        <v>112</v>
      </c>
      <c r="D42" s="112" t="s">
        <v>219</v>
      </c>
      <c r="E42" s="69">
        <v>167.03</v>
      </c>
      <c r="F42" s="69">
        <f>SUM(E42*45/1000)</f>
        <v>7.5163500000000001</v>
      </c>
      <c r="G42" s="69">
        <v>584.74</v>
      </c>
      <c r="H42" s="70">
        <f t="shared" si="2"/>
        <v>4.3951104990000003</v>
      </c>
      <c r="I42" s="13">
        <f>(F42/7.5*1.5)*G42</f>
        <v>879.02209980000009</v>
      </c>
    </row>
    <row r="43" spans="1:9" hidden="1">
      <c r="A43" s="29">
        <v>11</v>
      </c>
      <c r="B43" s="66" t="s">
        <v>69</v>
      </c>
      <c r="C43" s="67" t="s">
        <v>33</v>
      </c>
      <c r="D43" s="195"/>
      <c r="E43" s="68"/>
      <c r="F43" s="69">
        <v>1.2</v>
      </c>
      <c r="G43" s="69">
        <v>800</v>
      </c>
      <c r="H43" s="70">
        <f t="shared" si="2"/>
        <v>0.96</v>
      </c>
      <c r="I43" s="13">
        <f>(F43/7.5*1.5)*G43</f>
        <v>192</v>
      </c>
    </row>
    <row r="44" spans="1:9" ht="30">
      <c r="A44" s="29">
        <v>8</v>
      </c>
      <c r="B44" s="46" t="s">
        <v>177</v>
      </c>
      <c r="C44" s="62" t="s">
        <v>29</v>
      </c>
      <c r="D44" s="192" t="s">
        <v>220</v>
      </c>
      <c r="E44" s="68">
        <v>4.2</v>
      </c>
      <c r="F44" s="69">
        <f>SUM(E44*12/1000)</f>
        <v>5.0400000000000007E-2</v>
      </c>
      <c r="G44" s="69">
        <v>270.61</v>
      </c>
      <c r="H44" s="70">
        <f t="shared" si="2"/>
        <v>1.3638744000000003E-2</v>
      </c>
      <c r="I44" s="13">
        <f t="shared" si="3"/>
        <v>2.2731240000000006</v>
      </c>
    </row>
    <row r="45" spans="1:9" ht="19.5" hidden="1" customHeight="1">
      <c r="A45" s="252" t="s">
        <v>190</v>
      </c>
      <c r="B45" s="253"/>
      <c r="C45" s="253"/>
      <c r="D45" s="253"/>
      <c r="E45" s="253"/>
      <c r="F45" s="253"/>
      <c r="G45" s="253"/>
      <c r="H45" s="253"/>
      <c r="I45" s="254"/>
    </row>
    <row r="46" spans="1:9" ht="26.25" hidden="1" customHeight="1">
      <c r="A46" s="29"/>
      <c r="B46" s="66" t="s">
        <v>119</v>
      </c>
      <c r="C46" s="67" t="s">
        <v>112</v>
      </c>
      <c r="D46" s="66" t="s">
        <v>41</v>
      </c>
      <c r="E46" s="68">
        <v>1603.6</v>
      </c>
      <c r="F46" s="69">
        <f>SUM(E46*2/1000)</f>
        <v>3.2071999999999998</v>
      </c>
      <c r="G46" s="13">
        <v>1158.7</v>
      </c>
      <c r="H46" s="70">
        <f t="shared" ref="H46:H54" si="4">SUM(F46*G46/1000)</f>
        <v>3.71618264</v>
      </c>
      <c r="I46" s="13">
        <f>F46/2*G46</f>
        <v>1858.09132</v>
      </c>
    </row>
    <row r="47" spans="1:9" ht="24.75" hidden="1" customHeight="1">
      <c r="A47" s="29">
        <v>14</v>
      </c>
      <c r="B47" s="66" t="s">
        <v>34</v>
      </c>
      <c r="C47" s="67" t="s">
        <v>112</v>
      </c>
      <c r="D47" s="66" t="s">
        <v>41</v>
      </c>
      <c r="E47" s="68">
        <v>65</v>
      </c>
      <c r="F47" s="69">
        <f>SUM(E47*2/1000)</f>
        <v>0.13</v>
      </c>
      <c r="G47" s="13">
        <v>790.38</v>
      </c>
      <c r="H47" s="70">
        <f t="shared" si="4"/>
        <v>0.1027494</v>
      </c>
      <c r="I47" s="13">
        <f>F47/2*G47</f>
        <v>51.374700000000004</v>
      </c>
    </row>
    <row r="48" spans="1:9" ht="25.5" hidden="1" customHeight="1">
      <c r="A48" s="29"/>
      <c r="B48" s="66" t="s">
        <v>35</v>
      </c>
      <c r="C48" s="67" t="s">
        <v>112</v>
      </c>
      <c r="D48" s="66" t="s">
        <v>41</v>
      </c>
      <c r="E48" s="68">
        <v>1825.8</v>
      </c>
      <c r="F48" s="69">
        <f>SUM(E48*2/1000)</f>
        <v>3.6515999999999997</v>
      </c>
      <c r="G48" s="13">
        <v>790.38</v>
      </c>
      <c r="H48" s="70">
        <f t="shared" si="4"/>
        <v>2.8861516079999996</v>
      </c>
      <c r="I48" s="13">
        <f t="shared" ref="I48:I53" si="5">F48/2*G48</f>
        <v>1443.0758039999998</v>
      </c>
    </row>
    <row r="49" spans="1:9" ht="21" hidden="1" customHeight="1">
      <c r="A49" s="29"/>
      <c r="B49" s="66" t="s">
        <v>36</v>
      </c>
      <c r="C49" s="67" t="s">
        <v>112</v>
      </c>
      <c r="D49" s="66" t="s">
        <v>41</v>
      </c>
      <c r="E49" s="68">
        <v>3163.96</v>
      </c>
      <c r="F49" s="69">
        <f>SUM(E49*2/1000)</f>
        <v>6.3279199999999998</v>
      </c>
      <c r="G49" s="13">
        <v>827.65</v>
      </c>
      <c r="H49" s="70">
        <f t="shared" si="4"/>
        <v>5.2373029879999997</v>
      </c>
      <c r="I49" s="13">
        <f t="shared" si="5"/>
        <v>2618.6514939999997</v>
      </c>
    </row>
    <row r="50" spans="1:9" ht="19.5" hidden="1" customHeight="1">
      <c r="A50" s="29"/>
      <c r="B50" s="66" t="s">
        <v>55</v>
      </c>
      <c r="C50" s="67" t="s">
        <v>112</v>
      </c>
      <c r="D50" s="66" t="s">
        <v>167</v>
      </c>
      <c r="E50" s="68">
        <v>5816.5</v>
      </c>
      <c r="F50" s="69">
        <f>SUM(E50*5/1000)</f>
        <v>29.0825</v>
      </c>
      <c r="G50" s="13">
        <v>1655.27</v>
      </c>
      <c r="H50" s="70">
        <f t="shared" si="4"/>
        <v>48.139389774999998</v>
      </c>
      <c r="I50" s="13">
        <f>F50/5*G50</f>
        <v>9627.8779549999999</v>
      </c>
    </row>
    <row r="51" spans="1:9" ht="36.75" hidden="1" customHeight="1">
      <c r="A51" s="29">
        <v>13</v>
      </c>
      <c r="B51" s="66" t="s">
        <v>120</v>
      </c>
      <c r="C51" s="67" t="s">
        <v>112</v>
      </c>
      <c r="D51" s="66" t="s">
        <v>41</v>
      </c>
      <c r="E51" s="68">
        <v>5816.5</v>
      </c>
      <c r="F51" s="69">
        <f>SUM(E51*2/1000)</f>
        <v>11.632999999999999</v>
      </c>
      <c r="G51" s="13">
        <v>1655.27</v>
      </c>
      <c r="H51" s="70">
        <f t="shared" si="4"/>
        <v>19.255755910000001</v>
      </c>
      <c r="I51" s="13">
        <f t="shared" si="5"/>
        <v>9627.8779549999999</v>
      </c>
    </row>
    <row r="52" spans="1:9" ht="39" hidden="1" customHeight="1">
      <c r="A52" s="29">
        <v>14</v>
      </c>
      <c r="B52" s="66" t="s">
        <v>121</v>
      </c>
      <c r="C52" s="67" t="s">
        <v>37</v>
      </c>
      <c r="D52" s="66" t="s">
        <v>41</v>
      </c>
      <c r="E52" s="68">
        <v>25</v>
      </c>
      <c r="F52" s="69">
        <f>SUM(E52*2/100)</f>
        <v>0.5</v>
      </c>
      <c r="G52" s="13">
        <v>3724.37</v>
      </c>
      <c r="H52" s="70">
        <f t="shared" si="4"/>
        <v>1.862185</v>
      </c>
      <c r="I52" s="13">
        <f t="shared" si="5"/>
        <v>931.09249999999997</v>
      </c>
    </row>
    <row r="53" spans="1:9" ht="21.75" hidden="1" customHeight="1">
      <c r="A53" s="29">
        <v>15</v>
      </c>
      <c r="B53" s="66" t="s">
        <v>38</v>
      </c>
      <c r="C53" s="67" t="s">
        <v>39</v>
      </c>
      <c r="D53" s="66" t="s">
        <v>41</v>
      </c>
      <c r="E53" s="68">
        <v>1</v>
      </c>
      <c r="F53" s="69">
        <v>0.02</v>
      </c>
      <c r="G53" s="13">
        <v>7709.44</v>
      </c>
      <c r="H53" s="70">
        <f t="shared" si="4"/>
        <v>0.15418879999999999</v>
      </c>
      <c r="I53" s="13">
        <f t="shared" si="5"/>
        <v>77.094399999999993</v>
      </c>
    </row>
    <row r="54" spans="1:9" ht="20.25" hidden="1" customHeight="1">
      <c r="A54" s="29">
        <v>15</v>
      </c>
      <c r="B54" s="66" t="s">
        <v>40</v>
      </c>
      <c r="C54" s="67" t="s">
        <v>30</v>
      </c>
      <c r="D54" s="66" t="s">
        <v>70</v>
      </c>
      <c r="E54" s="68">
        <v>198</v>
      </c>
      <c r="F54" s="69">
        <f>SUM(E54)*3</f>
        <v>594</v>
      </c>
      <c r="G54" s="13">
        <v>89.59</v>
      </c>
      <c r="H54" s="70">
        <f t="shared" si="4"/>
        <v>53.216459999999998</v>
      </c>
      <c r="I54" s="13">
        <f>F54/3*G54</f>
        <v>17738.82</v>
      </c>
    </row>
    <row r="55" spans="1:9">
      <c r="A55" s="234" t="s">
        <v>170</v>
      </c>
      <c r="B55" s="235"/>
      <c r="C55" s="235"/>
      <c r="D55" s="235"/>
      <c r="E55" s="235"/>
      <c r="F55" s="235"/>
      <c r="G55" s="235"/>
      <c r="H55" s="235"/>
      <c r="I55" s="236"/>
    </row>
    <row r="56" spans="1:9" hidden="1">
      <c r="A56" s="29"/>
      <c r="B56" s="87" t="s">
        <v>42</v>
      </c>
      <c r="C56" s="67"/>
      <c r="D56" s="66"/>
      <c r="E56" s="68"/>
      <c r="F56" s="69"/>
      <c r="G56" s="69"/>
      <c r="H56" s="70"/>
      <c r="I56" s="13"/>
    </row>
    <row r="57" spans="1:9" ht="30" hidden="1">
      <c r="A57" s="29">
        <v>16</v>
      </c>
      <c r="B57" s="66" t="s">
        <v>123</v>
      </c>
      <c r="C57" s="67" t="s">
        <v>104</v>
      </c>
      <c r="D57" s="66" t="s">
        <v>71</v>
      </c>
      <c r="E57" s="68">
        <v>118.3</v>
      </c>
      <c r="F57" s="69">
        <f>E57*6/100</f>
        <v>7.0979999999999999</v>
      </c>
      <c r="G57" s="76">
        <v>2110.4699999999998</v>
      </c>
      <c r="H57" s="70">
        <f>F57*G57/1000</f>
        <v>14.980116059999999</v>
      </c>
      <c r="I57" s="13">
        <f>G57*1.028</f>
        <v>2169.5631599999997</v>
      </c>
    </row>
    <row r="58" spans="1:9" hidden="1">
      <c r="A58" s="29">
        <v>13</v>
      </c>
      <c r="B58" s="66" t="s">
        <v>179</v>
      </c>
      <c r="C58" s="67" t="s">
        <v>104</v>
      </c>
      <c r="D58" s="66" t="s">
        <v>221</v>
      </c>
      <c r="E58" s="75">
        <v>3.78</v>
      </c>
      <c r="F58" s="13">
        <f>E58*6/100</f>
        <v>0.2268</v>
      </c>
      <c r="G58" s="69">
        <v>2110.4699999999998</v>
      </c>
      <c r="H58" s="70">
        <f>SUM(F58*G58/1000)</f>
        <v>0.47865459599999999</v>
      </c>
      <c r="I58" s="13">
        <f>F58/6*G58</f>
        <v>79.77576599999999</v>
      </c>
    </row>
    <row r="59" spans="1:9" hidden="1">
      <c r="A59" s="29">
        <v>15</v>
      </c>
      <c r="B59" s="77" t="s">
        <v>99</v>
      </c>
      <c r="C59" s="67" t="s">
        <v>100</v>
      </c>
      <c r="D59" s="77" t="s">
        <v>41</v>
      </c>
      <c r="E59" s="78">
        <v>5</v>
      </c>
      <c r="F59" s="79">
        <v>10</v>
      </c>
      <c r="G59" s="76">
        <v>246.58</v>
      </c>
      <c r="H59" s="80">
        <v>0.99099999999999999</v>
      </c>
      <c r="I59" s="13">
        <f>F59/2*G59</f>
        <v>1232.9000000000001</v>
      </c>
    </row>
    <row r="60" spans="1:9" hidden="1">
      <c r="A60" s="29">
        <v>18</v>
      </c>
      <c r="B60" s="77" t="s">
        <v>180</v>
      </c>
      <c r="C60" s="81" t="s">
        <v>32</v>
      </c>
      <c r="D60" s="77" t="s">
        <v>65</v>
      </c>
      <c r="E60" s="78"/>
      <c r="F60" s="80">
        <v>5</v>
      </c>
      <c r="G60" s="101">
        <v>1645</v>
      </c>
      <c r="H60" s="80">
        <f>SUM(F60*G60/1000)</f>
        <v>8.2249999999999996</v>
      </c>
      <c r="I60" s="101">
        <v>0</v>
      </c>
    </row>
    <row r="61" spans="1:9">
      <c r="A61" s="29"/>
      <c r="B61" s="88" t="s">
        <v>43</v>
      </c>
      <c r="C61" s="81"/>
      <c r="D61" s="66"/>
      <c r="E61" s="68"/>
      <c r="F61" s="69"/>
      <c r="G61" s="69"/>
      <c r="H61" s="69"/>
      <c r="I61" s="124"/>
    </row>
    <row r="62" spans="1:9" hidden="1">
      <c r="A62" s="29"/>
      <c r="B62" s="77" t="s">
        <v>44</v>
      </c>
      <c r="C62" s="81" t="s">
        <v>52</v>
      </c>
      <c r="D62" s="66" t="s">
        <v>53</v>
      </c>
      <c r="E62" s="68">
        <v>352</v>
      </c>
      <c r="F62" s="69">
        <f>E62/100</f>
        <v>3.52</v>
      </c>
      <c r="G62" s="69">
        <v>1082.47</v>
      </c>
      <c r="H62" s="69">
        <f>G62*F62/1000</f>
        <v>3.8102944000000001</v>
      </c>
      <c r="I62" s="124">
        <v>0</v>
      </c>
    </row>
    <row r="63" spans="1:9">
      <c r="A63" s="29">
        <v>9</v>
      </c>
      <c r="B63" s="77" t="s">
        <v>95</v>
      </c>
      <c r="C63" s="81" t="s">
        <v>25</v>
      </c>
      <c r="D63" s="66" t="s">
        <v>221</v>
      </c>
      <c r="E63" s="68">
        <v>200</v>
      </c>
      <c r="F63" s="69">
        <f>E63*12</f>
        <v>2400</v>
      </c>
      <c r="G63" s="69">
        <v>1.4</v>
      </c>
      <c r="H63" s="69">
        <f>G63*F63/1000</f>
        <v>3.36</v>
      </c>
      <c r="I63" s="13">
        <f>F63/12*G63</f>
        <v>280</v>
      </c>
    </row>
    <row r="64" spans="1:9">
      <c r="A64" s="29"/>
      <c r="B64" s="88" t="s">
        <v>45</v>
      </c>
      <c r="C64" s="81"/>
      <c r="D64" s="121"/>
      <c r="E64" s="71"/>
      <c r="F64" s="116"/>
      <c r="G64" s="116"/>
      <c r="H64" s="122" t="s">
        <v>129</v>
      </c>
      <c r="I64" s="123"/>
    </row>
    <row r="65" spans="1:9" hidden="1">
      <c r="A65" s="29">
        <v>19</v>
      </c>
      <c r="B65" s="14" t="s">
        <v>46</v>
      </c>
      <c r="C65" s="16" t="s">
        <v>122</v>
      </c>
      <c r="D65" s="14" t="s">
        <v>65</v>
      </c>
      <c r="E65" s="18">
        <v>14</v>
      </c>
      <c r="F65" s="13">
        <f>SUM(E65)</f>
        <v>14</v>
      </c>
      <c r="G65" s="13">
        <v>303.35000000000002</v>
      </c>
      <c r="H65" s="63">
        <f t="shared" ref="H65:H84" si="6">SUM(F65*G65/1000)</f>
        <v>4.2469000000000001</v>
      </c>
      <c r="I65" s="13">
        <f>G65*5</f>
        <v>1516.75</v>
      </c>
    </row>
    <row r="66" spans="1:9" hidden="1">
      <c r="A66" s="29"/>
      <c r="B66" s="14" t="s">
        <v>47</v>
      </c>
      <c r="C66" s="16" t="s">
        <v>122</v>
      </c>
      <c r="D66" s="14" t="s">
        <v>65</v>
      </c>
      <c r="E66" s="18">
        <v>7</v>
      </c>
      <c r="F66" s="13">
        <f>SUM(E66)</f>
        <v>7</v>
      </c>
      <c r="G66" s="13">
        <v>104.01</v>
      </c>
      <c r="H66" s="63">
        <f t="shared" si="6"/>
        <v>0.72806999999999999</v>
      </c>
      <c r="I66" s="13">
        <v>0</v>
      </c>
    </row>
    <row r="67" spans="1:9" hidden="1">
      <c r="A67" s="29"/>
      <c r="B67" s="14" t="s">
        <v>48</v>
      </c>
      <c r="C67" s="16" t="s">
        <v>124</v>
      </c>
      <c r="D67" s="14" t="s">
        <v>53</v>
      </c>
      <c r="E67" s="68">
        <v>23808</v>
      </c>
      <c r="F67" s="13">
        <f>SUM(E67/100)</f>
        <v>238.08</v>
      </c>
      <c r="G67" s="13">
        <v>289.37</v>
      </c>
      <c r="H67" s="63">
        <f t="shared" si="6"/>
        <v>68.893209600000006</v>
      </c>
      <c r="I67" s="13">
        <f t="shared" ref="I67:I72" si="7">F67*G67</f>
        <v>68893.209600000002</v>
      </c>
    </row>
    <row r="68" spans="1:9" hidden="1">
      <c r="A68" s="29">
        <v>19</v>
      </c>
      <c r="B68" s="14" t="s">
        <v>49</v>
      </c>
      <c r="C68" s="16" t="s">
        <v>125</v>
      </c>
      <c r="D68" s="14"/>
      <c r="E68" s="68">
        <v>23808</v>
      </c>
      <c r="F68" s="13">
        <f>SUM(E68/1000)</f>
        <v>23.808</v>
      </c>
      <c r="G68" s="13">
        <v>225.35</v>
      </c>
      <c r="H68" s="63">
        <f t="shared" si="6"/>
        <v>5.3651327999999996</v>
      </c>
      <c r="I68" s="13">
        <f t="shared" si="7"/>
        <v>5365.1327999999994</v>
      </c>
    </row>
    <row r="69" spans="1:9" hidden="1">
      <c r="A69" s="29"/>
      <c r="B69" s="14" t="s">
        <v>50</v>
      </c>
      <c r="C69" s="16" t="s">
        <v>76</v>
      </c>
      <c r="D69" s="14" t="s">
        <v>53</v>
      </c>
      <c r="E69" s="68">
        <v>3810</v>
      </c>
      <c r="F69" s="13">
        <f>SUM(E69/100)</f>
        <v>38.1</v>
      </c>
      <c r="G69" s="13">
        <v>2829.78</v>
      </c>
      <c r="H69" s="63">
        <f t="shared" si="6"/>
        <v>107.81461800000001</v>
      </c>
      <c r="I69" s="13">
        <f t="shared" si="7"/>
        <v>107814.61800000002</v>
      </c>
    </row>
    <row r="70" spans="1:9" hidden="1">
      <c r="A70" s="29">
        <v>20</v>
      </c>
      <c r="B70" s="83" t="s">
        <v>126</v>
      </c>
      <c r="C70" s="16" t="s">
        <v>33</v>
      </c>
      <c r="D70" s="14"/>
      <c r="E70" s="68">
        <v>12.8</v>
      </c>
      <c r="F70" s="13">
        <f>SUM(E70)</f>
        <v>12.8</v>
      </c>
      <c r="G70" s="13">
        <v>44.31</v>
      </c>
      <c r="H70" s="63">
        <f t="shared" si="6"/>
        <v>0.56716800000000001</v>
      </c>
      <c r="I70" s="13">
        <f t="shared" si="7"/>
        <v>567.16800000000001</v>
      </c>
    </row>
    <row r="71" spans="1:9" hidden="1">
      <c r="A71" s="29"/>
      <c r="B71" s="83" t="s">
        <v>135</v>
      </c>
      <c r="C71" s="16" t="s">
        <v>33</v>
      </c>
      <c r="D71" s="14"/>
      <c r="E71" s="68">
        <v>12.8</v>
      </c>
      <c r="F71" s="13">
        <f>SUM(E71)</f>
        <v>12.8</v>
      </c>
      <c r="G71" s="13">
        <v>47.79</v>
      </c>
      <c r="H71" s="63">
        <f t="shared" si="6"/>
        <v>0.61171200000000003</v>
      </c>
      <c r="I71" s="13">
        <f t="shared" si="7"/>
        <v>611.71199999999999</v>
      </c>
    </row>
    <row r="72" spans="1:9" hidden="1">
      <c r="A72" s="29"/>
      <c r="B72" s="14" t="s">
        <v>56</v>
      </c>
      <c r="C72" s="16" t="s">
        <v>57</v>
      </c>
      <c r="D72" s="14" t="s">
        <v>53</v>
      </c>
      <c r="E72" s="18">
        <v>6</v>
      </c>
      <c r="F72" s="69">
        <f>SUM(E72)</f>
        <v>6</v>
      </c>
      <c r="G72" s="13">
        <v>68.040000000000006</v>
      </c>
      <c r="H72" s="63">
        <f t="shared" si="6"/>
        <v>0.40823999999999999</v>
      </c>
      <c r="I72" s="13">
        <f t="shared" si="7"/>
        <v>408.24</v>
      </c>
    </row>
    <row r="73" spans="1:9" ht="29.25" customHeight="1">
      <c r="A73" s="29">
        <v>10</v>
      </c>
      <c r="B73" s="83" t="s">
        <v>181</v>
      </c>
      <c r="C73" s="16"/>
      <c r="D73" s="14" t="s">
        <v>222</v>
      </c>
      <c r="E73" s="18">
        <v>1</v>
      </c>
      <c r="F73" s="13">
        <v>12</v>
      </c>
      <c r="G73" s="13">
        <v>1194</v>
      </c>
      <c r="H73" s="63">
        <f t="shared" si="6"/>
        <v>14.327999999999999</v>
      </c>
      <c r="I73" s="13">
        <f>F73/12*G73</f>
        <v>1194</v>
      </c>
    </row>
    <row r="74" spans="1:9">
      <c r="A74" s="29"/>
      <c r="B74" s="109" t="s">
        <v>182</v>
      </c>
      <c r="C74" s="16"/>
      <c r="D74" s="14"/>
      <c r="E74" s="18"/>
      <c r="F74" s="57"/>
      <c r="G74" s="13"/>
      <c r="H74" s="63"/>
      <c r="I74" s="13"/>
    </row>
    <row r="75" spans="1:9" ht="30.75" customHeight="1">
      <c r="A75" s="29">
        <v>11</v>
      </c>
      <c r="B75" s="14" t="s">
        <v>183</v>
      </c>
      <c r="C75" s="29" t="s">
        <v>184</v>
      </c>
      <c r="D75" s="14"/>
      <c r="E75" s="18">
        <v>5816.5</v>
      </c>
      <c r="F75" s="69">
        <f>SUM(E75)*12</f>
        <v>69798</v>
      </c>
      <c r="G75" s="13">
        <v>2.37</v>
      </c>
      <c r="H75" s="63">
        <f>SUM(F75*G75/1000)</f>
        <v>165.42126000000002</v>
      </c>
      <c r="I75" s="13">
        <f>F75/12*G75</f>
        <v>13785.105000000001</v>
      </c>
    </row>
    <row r="76" spans="1:9" ht="30">
      <c r="A76" s="29">
        <v>12</v>
      </c>
      <c r="B76" s="46" t="s">
        <v>185</v>
      </c>
      <c r="C76" s="62" t="s">
        <v>122</v>
      </c>
      <c r="D76" s="14" t="s">
        <v>222</v>
      </c>
      <c r="E76" s="118">
        <v>1</v>
      </c>
      <c r="F76" s="79">
        <f>E76*12</f>
        <v>12</v>
      </c>
      <c r="G76" s="101">
        <v>55.55</v>
      </c>
      <c r="H76" s="63">
        <f>SUM(F76*G76/1000)</f>
        <v>0.66659999999999986</v>
      </c>
      <c r="I76" s="13">
        <f>F76/12*G76</f>
        <v>55.55</v>
      </c>
    </row>
    <row r="77" spans="1:9" ht="17.25" hidden="1" customHeight="1">
      <c r="A77" s="110"/>
      <c r="B77" s="109" t="s">
        <v>72</v>
      </c>
      <c r="C77" s="16"/>
      <c r="D77" s="14"/>
      <c r="E77" s="18"/>
      <c r="F77" s="13"/>
      <c r="G77" s="13"/>
      <c r="H77" s="63" t="s">
        <v>129</v>
      </c>
      <c r="I77" s="111"/>
    </row>
    <row r="78" spans="1:9" ht="31.5" hidden="1" customHeight="1">
      <c r="A78" s="110">
        <v>18</v>
      </c>
      <c r="B78" s="14" t="s">
        <v>186</v>
      </c>
      <c r="C78" s="16" t="s">
        <v>30</v>
      </c>
      <c r="D78" s="29" t="s">
        <v>192</v>
      </c>
      <c r="E78" s="18">
        <v>2</v>
      </c>
      <c r="F78" s="69">
        <f>E78</f>
        <v>2</v>
      </c>
      <c r="G78" s="13">
        <v>2112.2800000000002</v>
      </c>
      <c r="H78" s="63">
        <f>G78*F78/1000</f>
        <v>4.2245600000000003</v>
      </c>
      <c r="I78" s="111">
        <f>G78*1</f>
        <v>2112.2800000000002</v>
      </c>
    </row>
    <row r="79" spans="1:9" ht="20.25" hidden="1" customHeight="1">
      <c r="A79" s="110"/>
      <c r="B79" s="46" t="s">
        <v>187</v>
      </c>
      <c r="C79" s="62" t="s">
        <v>122</v>
      </c>
      <c r="D79" s="14" t="s">
        <v>65</v>
      </c>
      <c r="E79" s="18">
        <v>5</v>
      </c>
      <c r="F79" s="13">
        <v>5</v>
      </c>
      <c r="G79" s="13">
        <v>136.19999999999999</v>
      </c>
      <c r="H79" s="63">
        <f>SUM(F79*G79/1000)</f>
        <v>0.68100000000000005</v>
      </c>
      <c r="I79" s="111">
        <v>0</v>
      </c>
    </row>
    <row r="80" spans="1:9" ht="20.25" hidden="1" customHeight="1">
      <c r="A80" s="110"/>
      <c r="B80" s="14" t="s">
        <v>73</v>
      </c>
      <c r="C80" s="16" t="s">
        <v>188</v>
      </c>
      <c r="D80" s="14" t="s">
        <v>65</v>
      </c>
      <c r="E80" s="18">
        <v>6</v>
      </c>
      <c r="F80" s="13">
        <f>E80/10</f>
        <v>0.6</v>
      </c>
      <c r="G80" s="13">
        <v>684.19</v>
      </c>
      <c r="H80" s="63">
        <f>SUM(F80*G80/1000)</f>
        <v>0.41051399999999999</v>
      </c>
      <c r="I80" s="111">
        <v>0</v>
      </c>
    </row>
    <row r="81" spans="1:9" ht="15" hidden="1" customHeight="1">
      <c r="A81" s="110"/>
      <c r="B81" s="14" t="s">
        <v>74</v>
      </c>
      <c r="C81" s="16" t="s">
        <v>30</v>
      </c>
      <c r="D81" s="14" t="s">
        <v>65</v>
      </c>
      <c r="E81" s="18">
        <v>1</v>
      </c>
      <c r="F81" s="57">
        <v>1</v>
      </c>
      <c r="G81" s="13">
        <v>1163.47</v>
      </c>
      <c r="H81" s="63">
        <f>SUM(F81*G81/1000)</f>
        <v>1.16347</v>
      </c>
      <c r="I81" s="111">
        <v>0</v>
      </c>
    </row>
    <row r="82" spans="1:9" ht="13.5" hidden="1" customHeight="1">
      <c r="A82" s="110"/>
      <c r="B82" s="46" t="s">
        <v>189</v>
      </c>
      <c r="C82" s="62" t="s">
        <v>122</v>
      </c>
      <c r="D82" s="14" t="s">
        <v>65</v>
      </c>
      <c r="E82" s="18">
        <v>1</v>
      </c>
      <c r="F82" s="69">
        <f>E82</f>
        <v>1</v>
      </c>
      <c r="G82" s="13">
        <v>1670.07</v>
      </c>
      <c r="H82" s="63">
        <f>SUM(F82*G82/1000)</f>
        <v>1.6700699999999999</v>
      </c>
      <c r="I82" s="111">
        <v>0</v>
      </c>
    </row>
    <row r="83" spans="1:9" ht="17.25" hidden="1" customHeight="1">
      <c r="A83" s="110"/>
      <c r="B83" s="84" t="s">
        <v>75</v>
      </c>
      <c r="C83" s="16"/>
      <c r="D83" s="14"/>
      <c r="E83" s="18"/>
      <c r="F83" s="13"/>
      <c r="G83" s="13" t="s">
        <v>129</v>
      </c>
      <c r="H83" s="63" t="s">
        <v>129</v>
      </c>
      <c r="I83" s="111"/>
    </row>
    <row r="84" spans="1:9" ht="15.75" hidden="1" customHeight="1">
      <c r="A84" s="110"/>
      <c r="B84" s="42" t="s">
        <v>130</v>
      </c>
      <c r="C84" s="16" t="s">
        <v>76</v>
      </c>
      <c r="D84" s="14"/>
      <c r="E84" s="18"/>
      <c r="F84" s="13">
        <v>0.6</v>
      </c>
      <c r="G84" s="13">
        <v>4144.28</v>
      </c>
      <c r="H84" s="63">
        <f t="shared" si="6"/>
        <v>2.4865679999999997</v>
      </c>
      <c r="I84" s="111">
        <v>0</v>
      </c>
    </row>
    <row r="85" spans="1:9" ht="16.5" hidden="1" customHeight="1">
      <c r="A85" s="110"/>
      <c r="B85" s="109" t="s">
        <v>127</v>
      </c>
      <c r="C85" s="84"/>
      <c r="D85" s="117"/>
      <c r="E85" s="31"/>
      <c r="F85" s="119"/>
      <c r="G85" s="119"/>
      <c r="H85" s="120">
        <f>SUM(H57:H84)</f>
        <v>411.53215745600005</v>
      </c>
      <c r="I85" s="111"/>
    </row>
    <row r="86" spans="1:9" ht="18" hidden="1" customHeight="1">
      <c r="A86" s="110"/>
      <c r="B86" s="66" t="s">
        <v>128</v>
      </c>
      <c r="C86" s="16"/>
      <c r="D86" s="14"/>
      <c r="E86" s="58"/>
      <c r="F86" s="13">
        <v>1</v>
      </c>
      <c r="G86" s="13">
        <v>24117.599999999999</v>
      </c>
      <c r="H86" s="63">
        <f>G86*F86/1000</f>
        <v>24.117599999999999</v>
      </c>
      <c r="I86" s="111">
        <v>0</v>
      </c>
    </row>
    <row r="87" spans="1:9">
      <c r="A87" s="243" t="s">
        <v>171</v>
      </c>
      <c r="B87" s="244"/>
      <c r="C87" s="244"/>
      <c r="D87" s="244"/>
      <c r="E87" s="244"/>
      <c r="F87" s="244"/>
      <c r="G87" s="244"/>
      <c r="H87" s="244"/>
      <c r="I87" s="245"/>
    </row>
    <row r="88" spans="1:9">
      <c r="A88" s="110">
        <v>13</v>
      </c>
      <c r="B88" s="66" t="s">
        <v>131</v>
      </c>
      <c r="C88" s="16" t="s">
        <v>54</v>
      </c>
      <c r="D88" s="85"/>
      <c r="E88" s="13">
        <v>5816.5</v>
      </c>
      <c r="F88" s="13">
        <f>SUM(E88*12)</f>
        <v>69798</v>
      </c>
      <c r="G88" s="13">
        <v>3.22</v>
      </c>
      <c r="H88" s="63">
        <f>SUM(F88*G88/1000)</f>
        <v>224.74956000000003</v>
      </c>
      <c r="I88" s="13">
        <f>F88/12*G88</f>
        <v>18729.13</v>
      </c>
    </row>
    <row r="89" spans="1:9" ht="30">
      <c r="A89" s="29">
        <v>14</v>
      </c>
      <c r="B89" s="14" t="s">
        <v>77</v>
      </c>
      <c r="C89" s="16"/>
      <c r="D89" s="85"/>
      <c r="E89" s="68">
        <f>E88</f>
        <v>5816.5</v>
      </c>
      <c r="F89" s="13">
        <f>E89*12</f>
        <v>69798</v>
      </c>
      <c r="G89" s="13">
        <v>3.64</v>
      </c>
      <c r="H89" s="63">
        <f>F89*G89/1000</f>
        <v>254.06471999999999</v>
      </c>
      <c r="I89" s="13">
        <f>F89/12*G89</f>
        <v>21172.06</v>
      </c>
    </row>
    <row r="90" spans="1:9">
      <c r="A90" s="107"/>
      <c r="B90" s="34" t="s">
        <v>79</v>
      </c>
      <c r="C90" s="35"/>
      <c r="D90" s="15"/>
      <c r="E90" s="15"/>
      <c r="F90" s="15"/>
      <c r="G90" s="18"/>
      <c r="H90" s="18"/>
      <c r="I90" s="31">
        <f>I89+I88+I76+I75+I73+I63+I44+I41+I39+I38+I26+I18+I17+I16</f>
        <v>103200.48064349999</v>
      </c>
    </row>
    <row r="91" spans="1:9">
      <c r="A91" s="237" t="s">
        <v>59</v>
      </c>
      <c r="B91" s="238"/>
      <c r="C91" s="238"/>
      <c r="D91" s="238"/>
      <c r="E91" s="238"/>
      <c r="F91" s="238"/>
      <c r="G91" s="238"/>
      <c r="H91" s="238"/>
      <c r="I91" s="239"/>
    </row>
    <row r="92" spans="1:9">
      <c r="A92" s="29">
        <v>15</v>
      </c>
      <c r="B92" s="48" t="s">
        <v>350</v>
      </c>
      <c r="C92" s="91" t="s">
        <v>258</v>
      </c>
      <c r="D92" s="92"/>
      <c r="E92" s="33"/>
      <c r="F92" s="33">
        <v>0.5</v>
      </c>
      <c r="G92" s="33">
        <v>1314.1</v>
      </c>
      <c r="H92" s="90">
        <f t="shared" ref="H92" si="8">G92*F92/1000</f>
        <v>0.65704999999999991</v>
      </c>
      <c r="I92" s="47">
        <f>G92*0.5</f>
        <v>657.05</v>
      </c>
    </row>
    <row r="93" spans="1:9">
      <c r="A93" s="29"/>
      <c r="B93" s="40" t="s">
        <v>51</v>
      </c>
      <c r="C93" s="36"/>
      <c r="D93" s="44"/>
      <c r="E93" s="36">
        <v>1</v>
      </c>
      <c r="F93" s="36"/>
      <c r="G93" s="36"/>
      <c r="H93" s="36"/>
      <c r="I93" s="31">
        <f>SUM(I92:I92)</f>
        <v>657.05</v>
      </c>
    </row>
    <row r="94" spans="1:9">
      <c r="A94" s="29"/>
      <c r="B94" s="42" t="s">
        <v>78</v>
      </c>
      <c r="C94" s="15"/>
      <c r="D94" s="15"/>
      <c r="E94" s="37"/>
      <c r="F94" s="37"/>
      <c r="G94" s="38"/>
      <c r="H94" s="38"/>
      <c r="I94" s="17">
        <v>0</v>
      </c>
    </row>
    <row r="95" spans="1:9">
      <c r="A95" s="45"/>
      <c r="B95" s="41" t="s">
        <v>173</v>
      </c>
      <c r="C95" s="32"/>
      <c r="D95" s="32"/>
      <c r="E95" s="32"/>
      <c r="F95" s="32"/>
      <c r="G95" s="32"/>
      <c r="H95" s="32"/>
      <c r="I95" s="39">
        <f>I90+I93</f>
        <v>103857.53064349999</v>
      </c>
    </row>
    <row r="96" spans="1:9" ht="15.75">
      <c r="A96" s="240" t="s">
        <v>259</v>
      </c>
      <c r="B96" s="240"/>
      <c r="C96" s="240"/>
      <c r="D96" s="240"/>
      <c r="E96" s="240"/>
      <c r="F96" s="240"/>
      <c r="G96" s="240"/>
      <c r="H96" s="240"/>
      <c r="I96" s="240"/>
    </row>
    <row r="97" spans="1:9" ht="15.75">
      <c r="A97" s="56"/>
      <c r="B97" s="241" t="s">
        <v>260</v>
      </c>
      <c r="C97" s="241"/>
      <c r="D97" s="241"/>
      <c r="E97" s="241"/>
      <c r="F97" s="241"/>
      <c r="G97" s="241"/>
      <c r="H97" s="61"/>
      <c r="I97" s="3"/>
    </row>
    <row r="98" spans="1:9">
      <c r="A98" s="105"/>
      <c r="B98" s="228" t="s">
        <v>6</v>
      </c>
      <c r="C98" s="228"/>
      <c r="D98" s="228"/>
      <c r="E98" s="228"/>
      <c r="F98" s="228"/>
      <c r="G98" s="228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242" t="s">
        <v>7</v>
      </c>
      <c r="B100" s="242"/>
      <c r="C100" s="242"/>
      <c r="D100" s="242"/>
      <c r="E100" s="242"/>
      <c r="F100" s="242"/>
      <c r="G100" s="242"/>
      <c r="H100" s="242"/>
      <c r="I100" s="242"/>
    </row>
    <row r="101" spans="1:9" ht="15.75">
      <c r="A101" s="242" t="s">
        <v>8</v>
      </c>
      <c r="B101" s="242"/>
      <c r="C101" s="242"/>
      <c r="D101" s="242"/>
      <c r="E101" s="242"/>
      <c r="F101" s="242"/>
      <c r="G101" s="242"/>
      <c r="H101" s="242"/>
      <c r="I101" s="242"/>
    </row>
    <row r="102" spans="1:9" ht="15.75">
      <c r="A102" s="232" t="s">
        <v>60</v>
      </c>
      <c r="B102" s="232"/>
      <c r="C102" s="232"/>
      <c r="D102" s="232"/>
      <c r="E102" s="232"/>
      <c r="F102" s="232"/>
      <c r="G102" s="232"/>
      <c r="H102" s="232"/>
      <c r="I102" s="232"/>
    </row>
    <row r="103" spans="1:9" ht="15.75">
      <c r="A103" s="11"/>
    </row>
    <row r="104" spans="1:9" ht="15.75">
      <c r="A104" s="226" t="s">
        <v>9</v>
      </c>
      <c r="B104" s="226"/>
      <c r="C104" s="226"/>
      <c r="D104" s="226"/>
      <c r="E104" s="226"/>
      <c r="F104" s="226"/>
      <c r="G104" s="226"/>
      <c r="H104" s="226"/>
      <c r="I104" s="226"/>
    </row>
    <row r="105" spans="1:9" ht="15.75">
      <c r="A105" s="4"/>
    </row>
    <row r="106" spans="1:9" ht="15.75">
      <c r="B106" s="106" t="s">
        <v>10</v>
      </c>
      <c r="C106" s="227" t="s">
        <v>88</v>
      </c>
      <c r="D106" s="227"/>
      <c r="E106" s="227"/>
      <c r="F106" s="59"/>
      <c r="I106" s="104"/>
    </row>
    <row r="107" spans="1:9">
      <c r="A107" s="105"/>
      <c r="C107" s="228" t="s">
        <v>11</v>
      </c>
      <c r="D107" s="228"/>
      <c r="E107" s="228"/>
      <c r="F107" s="24"/>
      <c r="I107" s="103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06" t="s">
        <v>13</v>
      </c>
      <c r="C109" s="229"/>
      <c r="D109" s="229"/>
      <c r="E109" s="229"/>
      <c r="F109" s="60"/>
      <c r="I109" s="104"/>
    </row>
    <row r="110" spans="1:9">
      <c r="A110" s="105"/>
      <c r="C110" s="230" t="s">
        <v>11</v>
      </c>
      <c r="D110" s="230"/>
      <c r="E110" s="230"/>
      <c r="F110" s="105"/>
      <c r="I110" s="103" t="s">
        <v>12</v>
      </c>
    </row>
    <row r="111" spans="1:9" ht="15.75">
      <c r="A111" s="4" t="s">
        <v>14</v>
      </c>
    </row>
    <row r="112" spans="1:9">
      <c r="A112" s="231" t="s">
        <v>15</v>
      </c>
      <c r="B112" s="231"/>
      <c r="C112" s="231"/>
      <c r="D112" s="231"/>
      <c r="E112" s="231"/>
      <c r="F112" s="231"/>
      <c r="G112" s="231"/>
      <c r="H112" s="231"/>
      <c r="I112" s="231"/>
    </row>
    <row r="113" spans="1:9" ht="50.25" customHeight="1">
      <c r="A113" s="225" t="s">
        <v>16</v>
      </c>
      <c r="B113" s="225"/>
      <c r="C113" s="225"/>
      <c r="D113" s="225"/>
      <c r="E113" s="225"/>
      <c r="F113" s="225"/>
      <c r="G113" s="225"/>
      <c r="H113" s="225"/>
      <c r="I113" s="225"/>
    </row>
    <row r="114" spans="1:9" ht="42.75" customHeight="1">
      <c r="A114" s="225" t="s">
        <v>17</v>
      </c>
      <c r="B114" s="225"/>
      <c r="C114" s="225"/>
      <c r="D114" s="225"/>
      <c r="E114" s="225"/>
      <c r="F114" s="225"/>
      <c r="G114" s="225"/>
      <c r="H114" s="225"/>
      <c r="I114" s="225"/>
    </row>
    <row r="115" spans="1:9" ht="40.5" customHeight="1">
      <c r="A115" s="225" t="s">
        <v>21</v>
      </c>
      <c r="B115" s="225"/>
      <c r="C115" s="225"/>
      <c r="D115" s="225"/>
      <c r="E115" s="225"/>
      <c r="F115" s="225"/>
      <c r="G115" s="225"/>
      <c r="H115" s="225"/>
      <c r="I115" s="225"/>
    </row>
    <row r="116" spans="1:9" ht="15.75">
      <c r="A116" s="225" t="s">
        <v>20</v>
      </c>
      <c r="B116" s="225"/>
      <c r="C116" s="225"/>
      <c r="D116" s="225"/>
      <c r="E116" s="225"/>
      <c r="F116" s="225"/>
      <c r="G116" s="225"/>
      <c r="H116" s="225"/>
      <c r="I116" s="225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7:I27"/>
    <mergeCell ref="A45:I45"/>
    <mergeCell ref="A55:I55"/>
    <mergeCell ref="A87:I87"/>
    <mergeCell ref="A91:I91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3"/>
  <sheetViews>
    <sheetView topLeftCell="A89" workbookViewId="0">
      <selection activeCell="I105" sqref="I105"/>
    </sheetView>
  </sheetViews>
  <sheetFormatPr defaultRowHeight="15"/>
  <cols>
    <col min="1" max="1" width="10.140625" customWidth="1"/>
    <col min="2" max="2" width="46.85546875" customWidth="1"/>
    <col min="3" max="3" width="17.5703125" customWidth="1"/>
    <col min="4" max="4" width="18.5703125" customWidth="1"/>
    <col min="5" max="5" width="0" hidden="1" customWidth="1"/>
    <col min="6" max="6" width="8.85546875" hidden="1" customWidth="1"/>
    <col min="7" max="7" width="18.140625" customWidth="1"/>
    <col min="8" max="8" width="0" hidden="1" customWidth="1"/>
    <col min="9" max="9" width="18.425781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195</v>
      </c>
      <c r="B3" s="246"/>
      <c r="C3" s="246"/>
      <c r="D3" s="246"/>
      <c r="E3" s="246"/>
      <c r="F3" s="246"/>
      <c r="G3" s="246"/>
      <c r="H3" s="246"/>
      <c r="I3" s="246"/>
    </row>
    <row r="4" spans="1:9" ht="33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261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30"/>
      <c r="C6" s="130"/>
      <c r="D6" s="130"/>
      <c r="E6" s="130"/>
      <c r="F6" s="130"/>
      <c r="G6" s="130"/>
      <c r="H6" s="130"/>
      <c r="I6" s="139">
        <v>43982</v>
      </c>
    </row>
    <row r="7" spans="1:9" ht="15.75">
      <c r="B7" s="128"/>
      <c r="C7" s="128"/>
      <c r="D7" s="128"/>
      <c r="E7" s="3"/>
      <c r="F7" s="3"/>
      <c r="G7" s="3"/>
      <c r="H7" s="3"/>
    </row>
    <row r="8" spans="1:9" ht="87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5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9.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5.7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7.2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t="15.75" hidden="1" customHeight="1">
      <c r="A19" s="29">
        <v>4</v>
      </c>
      <c r="B19" s="66" t="s">
        <v>105</v>
      </c>
      <c r="C19" s="67" t="s">
        <v>106</v>
      </c>
      <c r="D19" s="66" t="s">
        <v>221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 ht="18.75" hidden="1" customHeight="1">
      <c r="A20" s="29">
        <v>5</v>
      </c>
      <c r="B20" s="66" t="s">
        <v>97</v>
      </c>
      <c r="C20" s="67" t="s">
        <v>104</v>
      </c>
      <c r="D20" s="66" t="s">
        <v>221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7.25" hidden="1" customHeight="1">
      <c r="A21" s="29">
        <v>6</v>
      </c>
      <c r="B21" s="66" t="s">
        <v>98</v>
      </c>
      <c r="C21" s="67" t="s">
        <v>104</v>
      </c>
      <c r="D21" s="77" t="s">
        <v>221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t="14.25" hidden="1" customHeight="1">
      <c r="A22" s="29">
        <v>7</v>
      </c>
      <c r="B22" s="66" t="s">
        <v>108</v>
      </c>
      <c r="C22" s="67" t="s">
        <v>52</v>
      </c>
      <c r="D22" s="66" t="s">
        <v>221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 ht="17.25" hidden="1" customHeight="1">
      <c r="A23" s="29">
        <v>8</v>
      </c>
      <c r="B23" s="66" t="s">
        <v>109</v>
      </c>
      <c r="C23" s="67" t="s">
        <v>52</v>
      </c>
      <c r="D23" s="66" t="s">
        <v>221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2.25" hidden="1" customHeight="1">
      <c r="A24" s="29">
        <v>9</v>
      </c>
      <c r="B24" s="66" t="s">
        <v>110</v>
      </c>
      <c r="C24" s="67" t="s">
        <v>52</v>
      </c>
      <c r="D24" s="66" t="s">
        <v>221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 ht="18.75" hidden="1" customHeight="1">
      <c r="A25" s="29">
        <v>10</v>
      </c>
      <c r="B25" s="66" t="s">
        <v>102</v>
      </c>
      <c r="C25" s="67" t="s">
        <v>52</v>
      </c>
      <c r="D25" s="66" t="s">
        <v>221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7.25" customHeight="1">
      <c r="A26" s="29">
        <v>11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t="18.7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.75" customHeight="1">
      <c r="A29" s="29">
        <v>12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46.5" customHeight="1">
      <c r="A30" s="29">
        <v>13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t="19.5" customHeight="1">
      <c r="A31" s="29">
        <v>14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15.75" customHeight="1">
      <c r="A32" s="29">
        <v>15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t="16.5" hidden="1" customHeight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t="18" hidden="1" customHeight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t="19.5" hidden="1" customHeight="1">
      <c r="A35" s="29"/>
      <c r="B35" s="87" t="s">
        <v>5</v>
      </c>
      <c r="C35" s="67"/>
      <c r="D35" s="66"/>
      <c r="E35" s="68"/>
      <c r="F35" s="69"/>
      <c r="G35" s="69"/>
      <c r="H35" s="70" t="s">
        <v>129</v>
      </c>
      <c r="I35" s="13"/>
    </row>
    <row r="36" spans="1:9" ht="20.25" hidden="1" customHeight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t="18.75" hidden="1" customHeight="1">
      <c r="A37" s="29">
        <v>7</v>
      </c>
      <c r="B37" s="66" t="s">
        <v>66</v>
      </c>
      <c r="C37" s="67" t="s">
        <v>29</v>
      </c>
      <c r="D37" s="66" t="s">
        <v>116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.75" hidden="1" customHeight="1">
      <c r="A38" s="29">
        <v>8</v>
      </c>
      <c r="B38" s="66" t="s">
        <v>67</v>
      </c>
      <c r="C38" s="67" t="s">
        <v>29</v>
      </c>
      <c r="D38" s="66" t="s">
        <v>117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20.25" hidden="1" customHeight="1">
      <c r="A39" s="29">
        <v>9</v>
      </c>
      <c r="B39" s="66" t="s">
        <v>94</v>
      </c>
      <c r="C39" s="67" t="s">
        <v>133</v>
      </c>
      <c r="D39" s="66" t="s">
        <v>176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82</v>
      </c>
      <c r="C40" s="67" t="s">
        <v>112</v>
      </c>
      <c r="D40" s="66" t="s">
        <v>134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118</v>
      </c>
      <c r="C41" s="67" t="s">
        <v>112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177</v>
      </c>
      <c r="C43" s="62" t="s">
        <v>29</v>
      </c>
      <c r="D43" s="66" t="s">
        <v>178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>
      <c r="A44" s="252" t="s">
        <v>190</v>
      </c>
      <c r="B44" s="253"/>
      <c r="C44" s="253"/>
      <c r="D44" s="253"/>
      <c r="E44" s="253"/>
      <c r="F44" s="253"/>
      <c r="G44" s="253"/>
      <c r="H44" s="253"/>
      <c r="I44" s="254"/>
    </row>
    <row r="45" spans="1:9" ht="18.75" customHeight="1">
      <c r="A45" s="29">
        <v>16</v>
      </c>
      <c r="B45" s="66" t="s">
        <v>119</v>
      </c>
      <c r="C45" s="67" t="s">
        <v>112</v>
      </c>
      <c r="D45" s="66" t="s">
        <v>221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>
      <c r="A46" s="29">
        <v>17</v>
      </c>
      <c r="B46" s="66" t="s">
        <v>34</v>
      </c>
      <c r="C46" s="67" t="s">
        <v>112</v>
      </c>
      <c r="D46" s="66" t="s">
        <v>221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>
      <c r="A47" s="29">
        <v>18</v>
      </c>
      <c r="B47" s="66" t="s">
        <v>35</v>
      </c>
      <c r="C47" s="67" t="s">
        <v>112</v>
      </c>
      <c r="D47" s="66" t="s">
        <v>221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t="21" customHeight="1">
      <c r="A48" s="29">
        <v>19</v>
      </c>
      <c r="B48" s="66" t="s">
        <v>36</v>
      </c>
      <c r="C48" s="67" t="s">
        <v>112</v>
      </c>
      <c r="D48" s="66" t="s">
        <v>221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t="21" customHeight="1">
      <c r="A49" s="29">
        <v>20</v>
      </c>
      <c r="B49" s="66" t="s">
        <v>55</v>
      </c>
      <c r="C49" s="67" t="s">
        <v>112</v>
      </c>
      <c r="D49" s="66" t="s">
        <v>221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32.25" customHeight="1">
      <c r="A50" s="29">
        <v>21</v>
      </c>
      <c r="B50" s="66" t="s">
        <v>120</v>
      </c>
      <c r="C50" s="67" t="s">
        <v>112</v>
      </c>
      <c r="D50" s="66" t="s">
        <v>221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customHeight="1">
      <c r="A51" s="29">
        <v>22</v>
      </c>
      <c r="B51" s="66" t="s">
        <v>121</v>
      </c>
      <c r="C51" s="67" t="s">
        <v>37</v>
      </c>
      <c r="D51" s="66" t="s">
        <v>221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t="18" customHeight="1">
      <c r="A52" s="29">
        <v>23</v>
      </c>
      <c r="B52" s="66" t="s">
        <v>38</v>
      </c>
      <c r="C52" s="67" t="s">
        <v>39</v>
      </c>
      <c r="D52" s="66" t="s">
        <v>221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t="18" customHeight="1">
      <c r="A53" s="29">
        <v>24</v>
      </c>
      <c r="B53" s="66" t="s">
        <v>40</v>
      </c>
      <c r="C53" s="67" t="s">
        <v>30</v>
      </c>
      <c r="D53" s="217">
        <v>43965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4" t="s">
        <v>137</v>
      </c>
      <c r="B54" s="235"/>
      <c r="C54" s="235"/>
      <c r="D54" s="235"/>
      <c r="E54" s="235"/>
      <c r="F54" s="235"/>
      <c r="G54" s="235"/>
      <c r="H54" s="235"/>
      <c r="I54" s="236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123</v>
      </c>
      <c r="C56" s="67" t="s">
        <v>104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179</v>
      </c>
      <c r="C57" s="67" t="s">
        <v>104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99</v>
      </c>
      <c r="C58" s="67" t="s">
        <v>100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180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7.2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4"/>
    </row>
    <row r="61" spans="1:9" ht="16.5" hidden="1" customHeight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4">
        <v>0</v>
      </c>
    </row>
    <row r="62" spans="1:9">
      <c r="A62" s="29">
        <v>25</v>
      </c>
      <c r="B62" s="77" t="s">
        <v>95</v>
      </c>
      <c r="C62" s="81" t="s">
        <v>25</v>
      </c>
      <c r="D62" s="66" t="s">
        <v>221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" customHeight="1">
      <c r="A63" s="29"/>
      <c r="B63" s="88" t="s">
        <v>45</v>
      </c>
      <c r="C63" s="81"/>
      <c r="D63" s="121"/>
      <c r="E63" s="71"/>
      <c r="F63" s="116"/>
      <c r="G63" s="116"/>
      <c r="H63" s="122" t="s">
        <v>129</v>
      </c>
      <c r="I63" s="123"/>
    </row>
    <row r="64" spans="1:9" ht="19.5" hidden="1" customHeight="1">
      <c r="A64" s="29">
        <v>26</v>
      </c>
      <c r="B64" s="14" t="s">
        <v>46</v>
      </c>
      <c r="C64" s="16" t="s">
        <v>122</v>
      </c>
      <c r="D64" s="14" t="s">
        <v>221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G64*1</f>
        <v>303.35000000000002</v>
      </c>
    </row>
    <row r="65" spans="1:9" ht="20.25" hidden="1" customHeight="1">
      <c r="A65" s="29"/>
      <c r="B65" s="14" t="s">
        <v>47</v>
      </c>
      <c r="C65" s="16" t="s">
        <v>122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 hidden="1">
      <c r="A66" s="29">
        <v>28</v>
      </c>
      <c r="B66" s="14" t="s">
        <v>48</v>
      </c>
      <c r="C66" s="16" t="s">
        <v>124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 ht="20.25" hidden="1" customHeight="1">
      <c r="A67" s="29">
        <v>29</v>
      </c>
      <c r="B67" s="14" t="s">
        <v>49</v>
      </c>
      <c r="C67" s="16" t="s">
        <v>125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 ht="18.75" hidden="1" customHeight="1">
      <c r="A68" s="29">
        <v>30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 ht="17.25" hidden="1" customHeight="1">
      <c r="A69" s="29">
        <v>31</v>
      </c>
      <c r="B69" s="83" t="s">
        <v>126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 ht="20.25" hidden="1" customHeight="1">
      <c r="A70" s="29">
        <v>32</v>
      </c>
      <c r="B70" s="83" t="s">
        <v>135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t="15.7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.75" customHeight="1">
      <c r="A72" s="29">
        <v>27</v>
      </c>
      <c r="B72" s="83" t="s">
        <v>181</v>
      </c>
      <c r="C72" s="16"/>
      <c r="D72" s="14" t="s">
        <v>222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8" customHeight="1">
      <c r="A73" s="29"/>
      <c r="B73" s="131" t="s">
        <v>182</v>
      </c>
      <c r="C73" s="16"/>
      <c r="D73" s="14"/>
      <c r="E73" s="18"/>
      <c r="F73" s="57"/>
      <c r="G73" s="13"/>
      <c r="H73" s="63"/>
      <c r="I73" s="13"/>
    </row>
    <row r="74" spans="1:9" ht="33.75" customHeight="1">
      <c r="A74" s="29">
        <v>28</v>
      </c>
      <c r="B74" s="14" t="s">
        <v>183</v>
      </c>
      <c r="C74" s="29" t="s">
        <v>184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29</v>
      </c>
      <c r="B75" s="46" t="s">
        <v>185</v>
      </c>
      <c r="C75" s="62" t="s">
        <v>122</v>
      </c>
      <c r="D75" s="14" t="s">
        <v>222</v>
      </c>
      <c r="E75" s="118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0"/>
      <c r="B76" s="131" t="s">
        <v>72</v>
      </c>
      <c r="C76" s="16"/>
      <c r="D76" s="14"/>
      <c r="E76" s="18"/>
      <c r="F76" s="13"/>
      <c r="G76" s="13"/>
      <c r="H76" s="63" t="s">
        <v>129</v>
      </c>
      <c r="I76" s="111"/>
    </row>
    <row r="77" spans="1:9" ht="30" hidden="1">
      <c r="A77" s="110"/>
      <c r="B77" s="14" t="s">
        <v>186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1">
        <v>0</v>
      </c>
    </row>
    <row r="78" spans="1:9" hidden="1">
      <c r="A78" s="110"/>
      <c r="B78" s="46" t="s">
        <v>187</v>
      </c>
      <c r="C78" s="62" t="s">
        <v>122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1">
        <v>0</v>
      </c>
    </row>
    <row r="79" spans="1:9" hidden="1">
      <c r="A79" s="110"/>
      <c r="B79" s="14" t="s">
        <v>73</v>
      </c>
      <c r="C79" s="16" t="s">
        <v>188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1">
        <v>0</v>
      </c>
    </row>
    <row r="80" spans="1:9" hidden="1">
      <c r="A80" s="110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1">
        <v>0</v>
      </c>
    </row>
    <row r="81" spans="1:9" hidden="1">
      <c r="A81" s="110"/>
      <c r="B81" s="46" t="s">
        <v>189</v>
      </c>
      <c r="C81" s="62" t="s">
        <v>122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1">
        <v>0</v>
      </c>
    </row>
    <row r="82" spans="1:9" hidden="1">
      <c r="A82" s="110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11"/>
    </row>
    <row r="83" spans="1:9" hidden="1">
      <c r="A83" s="110"/>
      <c r="B83" s="42" t="s">
        <v>130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1">
        <v>0</v>
      </c>
    </row>
    <row r="84" spans="1:9" ht="28.5" hidden="1">
      <c r="A84" s="110"/>
      <c r="B84" s="131" t="s">
        <v>127</v>
      </c>
      <c r="C84" s="84"/>
      <c r="D84" s="117"/>
      <c r="E84" s="31"/>
      <c r="F84" s="119"/>
      <c r="G84" s="119"/>
      <c r="H84" s="120">
        <f>SUM(H56:H83)</f>
        <v>411.53215745600005</v>
      </c>
      <c r="I84" s="111"/>
    </row>
    <row r="85" spans="1:9" hidden="1">
      <c r="A85" s="110"/>
      <c r="B85" s="66" t="s">
        <v>128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1">
        <v>0</v>
      </c>
    </row>
    <row r="86" spans="1:9">
      <c r="A86" s="243" t="s">
        <v>138</v>
      </c>
      <c r="B86" s="244"/>
      <c r="C86" s="244"/>
      <c r="D86" s="244"/>
      <c r="E86" s="244"/>
      <c r="F86" s="244"/>
      <c r="G86" s="244"/>
      <c r="H86" s="244"/>
      <c r="I86" s="245"/>
    </row>
    <row r="87" spans="1:9" ht="16.5" customHeight="1">
      <c r="A87" s="110">
        <v>30</v>
      </c>
      <c r="B87" s="66" t="s">
        <v>131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6.75" customHeight="1">
      <c r="A88" s="29">
        <v>31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29"/>
      <c r="B89" s="34" t="s">
        <v>79</v>
      </c>
      <c r="C89" s="35"/>
      <c r="D89" s="15"/>
      <c r="E89" s="15"/>
      <c r="F89" s="15"/>
      <c r="G89" s="18"/>
      <c r="H89" s="18"/>
      <c r="I89" s="31">
        <f>I88+I87+I75+I74+I72+I62+I53+I52+I51+I50+I49+I48+I47+I46+I45+I32+I31+I30+I29+I26+I18+I17+I16</f>
        <v>139292.42867700002</v>
      </c>
    </row>
    <row r="90" spans="1:9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9" ht="14.25" customHeight="1">
      <c r="A91" s="29">
        <v>32</v>
      </c>
      <c r="B91" s="48" t="s">
        <v>81</v>
      </c>
      <c r="C91" s="91" t="s">
        <v>122</v>
      </c>
      <c r="D91" s="92"/>
      <c r="E91" s="33"/>
      <c r="F91" s="33">
        <v>5</v>
      </c>
      <c r="G91" s="33">
        <v>215.85</v>
      </c>
      <c r="H91" s="90">
        <f>G91*F91/1000</f>
        <v>1.07925</v>
      </c>
      <c r="I91" s="47">
        <f>G91*4</f>
        <v>863.4</v>
      </c>
    </row>
    <row r="92" spans="1:9">
      <c r="A92" s="29">
        <v>30</v>
      </c>
      <c r="B92" s="48" t="s">
        <v>351</v>
      </c>
      <c r="C92" s="91" t="s">
        <v>258</v>
      </c>
      <c r="D92" s="92"/>
      <c r="E92" s="33"/>
      <c r="F92" s="33">
        <v>0.5</v>
      </c>
      <c r="G92" s="33">
        <v>1314.1</v>
      </c>
      <c r="H92" s="90">
        <f>G92*F92/1000</f>
        <v>0.65704999999999991</v>
      </c>
      <c r="I92" s="47">
        <f>G92*0.5</f>
        <v>657.05</v>
      </c>
    </row>
    <row r="93" spans="1:9" ht="30">
      <c r="A93" s="29">
        <v>31</v>
      </c>
      <c r="B93" s="48" t="s">
        <v>210</v>
      </c>
      <c r="C93" s="91" t="s">
        <v>37</v>
      </c>
      <c r="D93" s="92" t="s">
        <v>227</v>
      </c>
      <c r="E93" s="33"/>
      <c r="F93" s="33">
        <v>0.03</v>
      </c>
      <c r="G93" s="33">
        <v>4070.89</v>
      </c>
      <c r="H93" s="90">
        <f>G93*F93/1000</f>
        <v>0.12212669999999999</v>
      </c>
      <c r="I93" s="47">
        <v>0</v>
      </c>
    </row>
    <row r="94" spans="1:9">
      <c r="A94" s="29">
        <v>32</v>
      </c>
      <c r="B94" s="48" t="s">
        <v>174</v>
      </c>
      <c r="C94" s="91" t="s">
        <v>193</v>
      </c>
      <c r="D94" s="92" t="s">
        <v>352</v>
      </c>
      <c r="E94" s="33"/>
      <c r="F94" s="33">
        <v>12</v>
      </c>
      <c r="G94" s="33">
        <v>284</v>
      </c>
      <c r="H94" s="90"/>
      <c r="I94" s="47">
        <v>0</v>
      </c>
    </row>
    <row r="95" spans="1:9">
      <c r="A95" s="29">
        <v>33</v>
      </c>
      <c r="B95" s="48" t="s">
        <v>353</v>
      </c>
      <c r="C95" s="91" t="s">
        <v>83</v>
      </c>
      <c r="D95" s="92"/>
      <c r="E95" s="33"/>
      <c r="F95" s="33">
        <v>2</v>
      </c>
      <c r="G95" s="33">
        <v>269.91000000000003</v>
      </c>
      <c r="H95" s="90"/>
      <c r="I95" s="47">
        <v>0</v>
      </c>
    </row>
    <row r="96" spans="1:9" ht="30">
      <c r="A96" s="29">
        <v>34</v>
      </c>
      <c r="B96" s="48" t="s">
        <v>262</v>
      </c>
      <c r="C96" s="91" t="s">
        <v>122</v>
      </c>
      <c r="D96" s="92" t="s">
        <v>232</v>
      </c>
      <c r="E96" s="33"/>
      <c r="F96" s="33">
        <v>1</v>
      </c>
      <c r="G96" s="33">
        <v>1179.28</v>
      </c>
      <c r="H96" s="90"/>
      <c r="I96" s="47">
        <f>G96*1</f>
        <v>1179.28</v>
      </c>
    </row>
    <row r="97" spans="1:9">
      <c r="A97" s="29">
        <v>35</v>
      </c>
      <c r="B97" s="48" t="s">
        <v>154</v>
      </c>
      <c r="C97" s="91" t="s">
        <v>122</v>
      </c>
      <c r="D97" s="92"/>
      <c r="E97" s="33"/>
      <c r="F97" s="33">
        <v>1</v>
      </c>
      <c r="G97" s="33">
        <v>125</v>
      </c>
      <c r="H97" s="90"/>
      <c r="I97" s="47">
        <f>G97*1</f>
        <v>125</v>
      </c>
    </row>
    <row r="98" spans="1:9" ht="30">
      <c r="A98" s="29">
        <v>36</v>
      </c>
      <c r="B98" s="182" t="s">
        <v>229</v>
      </c>
      <c r="C98" s="35" t="s">
        <v>230</v>
      </c>
      <c r="D98" s="92"/>
      <c r="E98" s="33"/>
      <c r="F98" s="33">
        <v>0.4</v>
      </c>
      <c r="G98" s="33">
        <v>1873.58</v>
      </c>
      <c r="H98" s="90"/>
      <c r="I98" s="47">
        <f>G98*0.2</f>
        <v>374.71600000000001</v>
      </c>
    </row>
    <row r="99" spans="1:9">
      <c r="A99" s="29">
        <v>37</v>
      </c>
      <c r="B99" s="48" t="s">
        <v>231</v>
      </c>
      <c r="C99" s="91" t="s">
        <v>232</v>
      </c>
      <c r="D99" s="92"/>
      <c r="E99" s="33"/>
      <c r="F99" s="33">
        <v>2</v>
      </c>
      <c r="G99" s="33">
        <v>923.85</v>
      </c>
      <c r="H99" s="90"/>
      <c r="I99" s="47">
        <f>G99*1</f>
        <v>923.85</v>
      </c>
    </row>
    <row r="100" spans="1:9">
      <c r="A100" s="29"/>
      <c r="B100" s="40" t="s">
        <v>51</v>
      </c>
      <c r="C100" s="36"/>
      <c r="D100" s="44"/>
      <c r="E100" s="36">
        <v>1</v>
      </c>
      <c r="F100" s="36"/>
      <c r="G100" s="36"/>
      <c r="H100" s="36"/>
      <c r="I100" s="31">
        <f>SUM(I91:I99)</f>
        <v>4123.2959999999994</v>
      </c>
    </row>
    <row r="101" spans="1:9">
      <c r="A101" s="29"/>
      <c r="B101" s="42" t="s">
        <v>78</v>
      </c>
      <c r="C101" s="15"/>
      <c r="D101" s="15"/>
      <c r="E101" s="37"/>
      <c r="F101" s="37"/>
      <c r="G101" s="38"/>
      <c r="H101" s="38"/>
      <c r="I101" s="17">
        <v>0</v>
      </c>
    </row>
    <row r="102" spans="1:9">
      <c r="A102" s="45"/>
      <c r="B102" s="41" t="s">
        <v>173</v>
      </c>
      <c r="C102" s="32"/>
      <c r="D102" s="32"/>
      <c r="E102" s="32"/>
      <c r="F102" s="32"/>
      <c r="G102" s="32"/>
      <c r="H102" s="32"/>
      <c r="I102" s="39">
        <f>I89+I100</f>
        <v>143415.72467700002</v>
      </c>
    </row>
    <row r="103" spans="1:9" ht="15.75">
      <c r="A103" s="240" t="s">
        <v>354</v>
      </c>
      <c r="B103" s="240"/>
      <c r="C103" s="240"/>
      <c r="D103" s="240"/>
      <c r="E103" s="240"/>
      <c r="F103" s="240"/>
      <c r="G103" s="240"/>
      <c r="H103" s="240"/>
      <c r="I103" s="240"/>
    </row>
    <row r="104" spans="1:9" ht="15.75">
      <c r="A104" s="56"/>
      <c r="B104" s="241" t="s">
        <v>355</v>
      </c>
      <c r="C104" s="241"/>
      <c r="D104" s="241"/>
      <c r="E104" s="241"/>
      <c r="F104" s="241"/>
      <c r="G104" s="241"/>
      <c r="H104" s="61"/>
      <c r="I104" s="3"/>
    </row>
    <row r="105" spans="1:9">
      <c r="A105" s="127"/>
      <c r="B105" s="228" t="s">
        <v>6</v>
      </c>
      <c r="C105" s="228"/>
      <c r="D105" s="228"/>
      <c r="E105" s="228"/>
      <c r="F105" s="228"/>
      <c r="G105" s="228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242" t="s">
        <v>7</v>
      </c>
      <c r="B107" s="242"/>
      <c r="C107" s="242"/>
      <c r="D107" s="242"/>
      <c r="E107" s="242"/>
      <c r="F107" s="242"/>
      <c r="G107" s="242"/>
      <c r="H107" s="242"/>
      <c r="I107" s="242"/>
    </row>
    <row r="108" spans="1:9" ht="15.75">
      <c r="A108" s="242" t="s">
        <v>8</v>
      </c>
      <c r="B108" s="242"/>
      <c r="C108" s="242"/>
      <c r="D108" s="242"/>
      <c r="E108" s="242"/>
      <c r="F108" s="242"/>
      <c r="G108" s="242"/>
      <c r="H108" s="242"/>
      <c r="I108" s="242"/>
    </row>
    <row r="109" spans="1:9" ht="15.75">
      <c r="A109" s="232" t="s">
        <v>60</v>
      </c>
      <c r="B109" s="232"/>
      <c r="C109" s="232"/>
      <c r="D109" s="232"/>
      <c r="E109" s="232"/>
      <c r="F109" s="232"/>
      <c r="G109" s="232"/>
      <c r="H109" s="232"/>
      <c r="I109" s="232"/>
    </row>
    <row r="110" spans="1:9" ht="15.75">
      <c r="A110" s="11"/>
    </row>
    <row r="111" spans="1:9" ht="15.75">
      <c r="A111" s="226" t="s">
        <v>9</v>
      </c>
      <c r="B111" s="226"/>
      <c r="C111" s="226"/>
      <c r="D111" s="226"/>
      <c r="E111" s="226"/>
      <c r="F111" s="226"/>
      <c r="G111" s="226"/>
      <c r="H111" s="226"/>
      <c r="I111" s="226"/>
    </row>
    <row r="112" spans="1:9" ht="15.75">
      <c r="A112" s="4"/>
    </row>
    <row r="113" spans="1:9" ht="15.75">
      <c r="B113" s="128" t="s">
        <v>10</v>
      </c>
      <c r="C113" s="227" t="s">
        <v>88</v>
      </c>
      <c r="D113" s="227"/>
      <c r="E113" s="227"/>
      <c r="F113" s="59"/>
      <c r="I113" s="126"/>
    </row>
    <row r="114" spans="1:9">
      <c r="A114" s="127"/>
      <c r="C114" s="228" t="s">
        <v>11</v>
      </c>
      <c r="D114" s="228"/>
      <c r="E114" s="228"/>
      <c r="F114" s="24"/>
      <c r="I114" s="125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28" t="s">
        <v>13</v>
      </c>
      <c r="C116" s="229"/>
      <c r="D116" s="229"/>
      <c r="E116" s="229"/>
      <c r="F116" s="60"/>
      <c r="I116" s="126"/>
    </row>
    <row r="117" spans="1:9">
      <c r="A117" s="127"/>
      <c r="C117" s="230" t="s">
        <v>11</v>
      </c>
      <c r="D117" s="230"/>
      <c r="E117" s="230"/>
      <c r="F117" s="127"/>
      <c r="I117" s="125" t="s">
        <v>12</v>
      </c>
    </row>
    <row r="118" spans="1:9" ht="15.75">
      <c r="A118" s="4" t="s">
        <v>14</v>
      </c>
    </row>
    <row r="119" spans="1:9">
      <c r="A119" s="231" t="s">
        <v>15</v>
      </c>
      <c r="B119" s="231"/>
      <c r="C119" s="231"/>
      <c r="D119" s="231"/>
      <c r="E119" s="231"/>
      <c r="F119" s="231"/>
      <c r="G119" s="231"/>
      <c r="H119" s="231"/>
      <c r="I119" s="231"/>
    </row>
    <row r="120" spans="1:9" ht="34.5" customHeight="1">
      <c r="A120" s="225" t="s">
        <v>16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36.75" customHeight="1">
      <c r="A121" s="225" t="s">
        <v>17</v>
      </c>
      <c r="B121" s="225"/>
      <c r="C121" s="225"/>
      <c r="D121" s="225"/>
      <c r="E121" s="225"/>
      <c r="F121" s="225"/>
      <c r="G121" s="225"/>
      <c r="H121" s="225"/>
      <c r="I121" s="225"/>
    </row>
    <row r="122" spans="1:9" ht="38.25" customHeight="1">
      <c r="A122" s="225" t="s">
        <v>21</v>
      </c>
      <c r="B122" s="225"/>
      <c r="C122" s="225"/>
      <c r="D122" s="225"/>
      <c r="E122" s="225"/>
      <c r="F122" s="225"/>
      <c r="G122" s="225"/>
      <c r="H122" s="225"/>
      <c r="I122" s="225"/>
    </row>
    <row r="123" spans="1:9" ht="27.75" customHeight="1">
      <c r="A123" s="225" t="s">
        <v>20</v>
      </c>
      <c r="B123" s="225"/>
      <c r="C123" s="225"/>
      <c r="D123" s="225"/>
      <c r="E123" s="225"/>
      <c r="F123" s="225"/>
      <c r="G123" s="225"/>
      <c r="H123" s="225"/>
      <c r="I123" s="225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7:I27"/>
    <mergeCell ref="A44:I44"/>
    <mergeCell ref="A54:I54"/>
    <mergeCell ref="A86:I86"/>
    <mergeCell ref="A90:I90"/>
    <mergeCell ref="A103:I103"/>
    <mergeCell ref="B104:G104"/>
    <mergeCell ref="B105:G105"/>
    <mergeCell ref="A107:I107"/>
    <mergeCell ref="A108:I108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8"/>
  <sheetViews>
    <sheetView topLeftCell="A107" workbookViewId="0">
      <selection activeCell="J120" sqref="J120"/>
    </sheetView>
  </sheetViews>
  <sheetFormatPr defaultRowHeight="15"/>
  <cols>
    <col min="1" max="1" width="12.5703125" customWidth="1"/>
    <col min="2" max="2" width="48.7109375" customWidth="1"/>
    <col min="3" max="3" width="18.5703125" customWidth="1"/>
    <col min="4" max="4" width="18.42578125" customWidth="1"/>
    <col min="5" max="6" width="0" hidden="1" customWidth="1"/>
    <col min="7" max="7" width="18" customWidth="1"/>
    <col min="8" max="8" width="0" hidden="1" customWidth="1"/>
    <col min="9" max="9" width="17.710937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196</v>
      </c>
      <c r="B3" s="246"/>
      <c r="C3" s="246"/>
      <c r="D3" s="246"/>
      <c r="E3" s="246"/>
      <c r="F3" s="246"/>
      <c r="G3" s="246"/>
      <c r="H3" s="246"/>
      <c r="I3" s="246"/>
    </row>
    <row r="4" spans="1:9" ht="30.7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263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33"/>
      <c r="C6" s="133"/>
      <c r="D6" s="133"/>
      <c r="E6" s="133"/>
      <c r="F6" s="133"/>
      <c r="G6" s="133"/>
      <c r="H6" s="133"/>
      <c r="I6" s="139">
        <v>44012</v>
      </c>
    </row>
    <row r="7" spans="1:9" ht="15.75">
      <c r="B7" s="135"/>
      <c r="C7" s="135"/>
      <c r="D7" s="135"/>
      <c r="E7" s="3"/>
      <c r="F7" s="3"/>
      <c r="G7" s="3"/>
      <c r="H7" s="3"/>
    </row>
    <row r="8" spans="1:9" ht="78.7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5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70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4.2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>
      <c r="A19" s="29">
        <v>4</v>
      </c>
      <c r="B19" s="66" t="s">
        <v>105</v>
      </c>
      <c r="C19" s="67" t="s">
        <v>106</v>
      </c>
      <c r="D19" s="66" t="s">
        <v>264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>
      <c r="A20" s="29">
        <v>5</v>
      </c>
      <c r="B20" s="66" t="s">
        <v>97</v>
      </c>
      <c r="C20" s="67" t="s">
        <v>104</v>
      </c>
      <c r="D20" s="66" t="s">
        <v>221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F20/2*G20</f>
        <v>52.008249999999997</v>
      </c>
    </row>
    <row r="21" spans="1:9">
      <c r="A21" s="29">
        <v>6</v>
      </c>
      <c r="B21" s="66" t="s">
        <v>98</v>
      </c>
      <c r="C21" s="67" t="s">
        <v>104</v>
      </c>
      <c r="D21" s="77" t="s">
        <v>221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F21/2*G21</f>
        <v>17.509931999999999</v>
      </c>
    </row>
    <row r="22" spans="1:9">
      <c r="A22" s="29">
        <v>7</v>
      </c>
      <c r="B22" s="66" t="s">
        <v>108</v>
      </c>
      <c r="C22" s="67" t="s">
        <v>52</v>
      </c>
      <c r="D22" s="66" t="s">
        <v>222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>
      <c r="A23" s="29">
        <v>8</v>
      </c>
      <c r="B23" s="66" t="s">
        <v>109</v>
      </c>
      <c r="C23" s="67" t="s">
        <v>52</v>
      </c>
      <c r="D23" s="66" t="s">
        <v>265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0">
      <c r="A24" s="29">
        <v>9</v>
      </c>
      <c r="B24" s="66" t="s">
        <v>110</v>
      </c>
      <c r="C24" s="67" t="s">
        <v>52</v>
      </c>
      <c r="D24" s="66" t="s">
        <v>266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>
      <c r="A25" s="29">
        <v>10</v>
      </c>
      <c r="B25" s="66" t="s">
        <v>102</v>
      </c>
      <c r="C25" s="67" t="s">
        <v>52</v>
      </c>
      <c r="D25" s="66" t="s">
        <v>267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6.5" customHeight="1">
      <c r="A26" s="29">
        <v>11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" customHeight="1">
      <c r="A29" s="29">
        <v>12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33.75" customHeight="1">
      <c r="A30" s="29">
        <v>13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21" customHeight="1">
      <c r="A32" s="29">
        <v>14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129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116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117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6" t="s">
        <v>94</v>
      </c>
      <c r="C39" s="67" t="s">
        <v>133</v>
      </c>
      <c r="D39" s="66" t="s">
        <v>176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82</v>
      </c>
      <c r="C40" s="67" t="s">
        <v>112</v>
      </c>
      <c r="D40" s="66" t="s">
        <v>134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118</v>
      </c>
      <c r="C41" s="67" t="s">
        <v>112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177</v>
      </c>
      <c r="C43" s="62" t="s">
        <v>29</v>
      </c>
      <c r="D43" s="66" t="s">
        <v>178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 hidden="1">
      <c r="A44" s="252" t="s">
        <v>190</v>
      </c>
      <c r="B44" s="253"/>
      <c r="C44" s="253"/>
      <c r="D44" s="253"/>
      <c r="E44" s="253"/>
      <c r="F44" s="253"/>
      <c r="G44" s="253"/>
      <c r="H44" s="253"/>
      <c r="I44" s="254"/>
    </row>
    <row r="45" spans="1:9" hidden="1">
      <c r="A45" s="29">
        <v>18</v>
      </c>
      <c r="B45" s="66" t="s">
        <v>119</v>
      </c>
      <c r="C45" s="67" t="s">
        <v>112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112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112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6" t="s">
        <v>36</v>
      </c>
      <c r="C48" s="67" t="s">
        <v>112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6" t="s">
        <v>55</v>
      </c>
      <c r="C49" s="67" t="s">
        <v>112</v>
      </c>
      <c r="D49" s="66" t="s">
        <v>167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120</v>
      </c>
      <c r="C50" s="67" t="s">
        <v>112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6" t="s">
        <v>121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t="20.25" hidden="1" customHeight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4" t="s">
        <v>137</v>
      </c>
      <c r="B54" s="235"/>
      <c r="C54" s="235"/>
      <c r="D54" s="235"/>
      <c r="E54" s="235"/>
      <c r="F54" s="235"/>
      <c r="G54" s="235"/>
      <c r="H54" s="235"/>
      <c r="I54" s="236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123</v>
      </c>
      <c r="C56" s="67" t="s">
        <v>104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179</v>
      </c>
      <c r="C57" s="67" t="s">
        <v>104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99</v>
      </c>
      <c r="C58" s="67" t="s">
        <v>100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180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6.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4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4">
        <v>0</v>
      </c>
    </row>
    <row r="62" spans="1:9" ht="18.75" customHeight="1">
      <c r="A62" s="29">
        <v>15</v>
      </c>
      <c r="B62" s="77" t="s">
        <v>95</v>
      </c>
      <c r="C62" s="81" t="s">
        <v>25</v>
      </c>
      <c r="D62" s="66" t="s">
        <v>221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6.5" customHeight="1">
      <c r="A63" s="29"/>
      <c r="B63" s="88" t="s">
        <v>45</v>
      </c>
      <c r="C63" s="81"/>
      <c r="D63" s="121"/>
      <c r="E63" s="71"/>
      <c r="F63" s="116"/>
      <c r="G63" s="116"/>
      <c r="H63" s="122" t="s">
        <v>129</v>
      </c>
      <c r="I63" s="123"/>
    </row>
    <row r="64" spans="1:9">
      <c r="A64" s="29">
        <v>16</v>
      </c>
      <c r="B64" s="14" t="s">
        <v>46</v>
      </c>
      <c r="C64" s="16" t="s">
        <v>122</v>
      </c>
      <c r="D64" s="14" t="s">
        <v>227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G64*2</f>
        <v>606.70000000000005</v>
      </c>
    </row>
    <row r="65" spans="1:9" hidden="1">
      <c r="A65" s="29"/>
      <c r="B65" s="14" t="s">
        <v>47</v>
      </c>
      <c r="C65" s="16" t="s">
        <v>122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 hidden="1">
      <c r="A66" s="29">
        <v>24</v>
      </c>
      <c r="B66" s="14" t="s">
        <v>48</v>
      </c>
      <c r="C66" s="16" t="s">
        <v>124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 hidden="1">
      <c r="A67" s="29">
        <v>25</v>
      </c>
      <c r="B67" s="14" t="s">
        <v>49</v>
      </c>
      <c r="C67" s="16" t="s">
        <v>125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 hidden="1">
      <c r="A69" s="29">
        <v>27</v>
      </c>
      <c r="B69" s="83" t="s">
        <v>126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 hidden="1">
      <c r="A70" s="29">
        <v>28</v>
      </c>
      <c r="B70" s="83" t="s">
        <v>135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" customHeight="1">
      <c r="A72" s="29">
        <v>17</v>
      </c>
      <c r="B72" s="83" t="s">
        <v>181</v>
      </c>
      <c r="C72" s="16"/>
      <c r="D72" s="14" t="s">
        <v>222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5" customHeight="1">
      <c r="A73" s="29"/>
      <c r="B73" s="134" t="s">
        <v>182</v>
      </c>
      <c r="C73" s="16"/>
      <c r="D73" s="14"/>
      <c r="E73" s="18"/>
      <c r="F73" s="57"/>
      <c r="G73" s="13"/>
      <c r="H73" s="63"/>
      <c r="I73" s="13"/>
    </row>
    <row r="74" spans="1:9" ht="31.5" customHeight="1">
      <c r="A74" s="29">
        <v>18</v>
      </c>
      <c r="B74" s="14" t="s">
        <v>183</v>
      </c>
      <c r="C74" s="29" t="s">
        <v>184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29.25" customHeight="1">
      <c r="A75" s="29">
        <v>19</v>
      </c>
      <c r="B75" s="46" t="s">
        <v>185</v>
      </c>
      <c r="C75" s="62" t="s">
        <v>122</v>
      </c>
      <c r="D75" s="14" t="s">
        <v>222</v>
      </c>
      <c r="E75" s="118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0"/>
      <c r="B76" s="134" t="s">
        <v>72</v>
      </c>
      <c r="C76" s="16"/>
      <c r="D76" s="14"/>
      <c r="E76" s="18"/>
      <c r="F76" s="13"/>
      <c r="G76" s="13"/>
      <c r="H76" s="63" t="s">
        <v>129</v>
      </c>
      <c r="I76" s="111"/>
    </row>
    <row r="77" spans="1:9" ht="30" hidden="1">
      <c r="A77" s="110"/>
      <c r="B77" s="14" t="s">
        <v>186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1">
        <v>0</v>
      </c>
    </row>
    <row r="78" spans="1:9" hidden="1">
      <c r="A78" s="110"/>
      <c r="B78" s="46" t="s">
        <v>187</v>
      </c>
      <c r="C78" s="62" t="s">
        <v>122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1">
        <v>0</v>
      </c>
    </row>
    <row r="79" spans="1:9" hidden="1">
      <c r="A79" s="110"/>
      <c r="B79" s="14" t="s">
        <v>73</v>
      </c>
      <c r="C79" s="16" t="s">
        <v>188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1">
        <v>0</v>
      </c>
    </row>
    <row r="80" spans="1:9" hidden="1">
      <c r="A80" s="110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1">
        <v>0</v>
      </c>
    </row>
    <row r="81" spans="1:9" hidden="1">
      <c r="A81" s="110"/>
      <c r="B81" s="46" t="s">
        <v>189</v>
      </c>
      <c r="C81" s="62" t="s">
        <v>122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1">
        <v>0</v>
      </c>
    </row>
    <row r="82" spans="1:9" hidden="1">
      <c r="A82" s="110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11"/>
    </row>
    <row r="83" spans="1:9" hidden="1">
      <c r="A83" s="110"/>
      <c r="B83" s="42" t="s">
        <v>130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1">
        <v>0</v>
      </c>
    </row>
    <row r="84" spans="1:9" ht="28.5" hidden="1">
      <c r="A84" s="110"/>
      <c r="B84" s="134" t="s">
        <v>127</v>
      </c>
      <c r="C84" s="84"/>
      <c r="D84" s="117"/>
      <c r="E84" s="31"/>
      <c r="F84" s="119"/>
      <c r="G84" s="119"/>
      <c r="H84" s="120">
        <f>SUM(H56:H83)</f>
        <v>411.53215745600005</v>
      </c>
      <c r="I84" s="111"/>
    </row>
    <row r="85" spans="1:9" hidden="1">
      <c r="A85" s="110"/>
      <c r="B85" s="66" t="s">
        <v>128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1">
        <v>0</v>
      </c>
    </row>
    <row r="86" spans="1:9">
      <c r="A86" s="243" t="s">
        <v>138</v>
      </c>
      <c r="B86" s="244"/>
      <c r="C86" s="244"/>
      <c r="D86" s="244"/>
      <c r="E86" s="244"/>
      <c r="F86" s="244"/>
      <c r="G86" s="244"/>
      <c r="H86" s="244"/>
      <c r="I86" s="245"/>
    </row>
    <row r="87" spans="1:9" ht="19.5" customHeight="1">
      <c r="A87" s="110">
        <v>20</v>
      </c>
      <c r="B87" s="66" t="s">
        <v>131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9" customHeight="1">
      <c r="A88" s="29">
        <v>21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36"/>
      <c r="B89" s="34" t="s">
        <v>79</v>
      </c>
      <c r="C89" s="35"/>
      <c r="D89" s="15"/>
      <c r="E89" s="15"/>
      <c r="F89" s="15"/>
      <c r="G89" s="18"/>
      <c r="H89" s="18"/>
      <c r="I89" s="31">
        <f>I88+I87+I75+I74+I72+I64+I62+I32+I30+I29+I26+I25+I24+I23+I22+I21+I20+I19+I18+I17+I16</f>
        <v>96754.452062399985</v>
      </c>
    </row>
    <row r="90" spans="1:9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9" ht="51" customHeight="1">
      <c r="A91" s="29">
        <v>22</v>
      </c>
      <c r="B91" s="48" t="s">
        <v>150</v>
      </c>
      <c r="C91" s="91" t="s">
        <v>83</v>
      </c>
      <c r="D91" s="93" t="s">
        <v>285</v>
      </c>
      <c r="E91" s="33"/>
      <c r="F91" s="33">
        <v>10</v>
      </c>
      <c r="G91" s="33">
        <v>222.63</v>
      </c>
      <c r="H91" s="90">
        <f>G91*F91/1000</f>
        <v>2.2263000000000002</v>
      </c>
      <c r="I91" s="47">
        <f>G91*3</f>
        <v>667.89</v>
      </c>
    </row>
    <row r="92" spans="1:9" ht="30" customHeight="1">
      <c r="A92" s="29">
        <v>23</v>
      </c>
      <c r="B92" s="182" t="s">
        <v>229</v>
      </c>
      <c r="C92" s="35" t="s">
        <v>230</v>
      </c>
      <c r="D92" s="92"/>
      <c r="E92" s="33"/>
      <c r="F92" s="33">
        <v>1</v>
      </c>
      <c r="G92" s="33">
        <v>1873.58</v>
      </c>
      <c r="H92" s="90"/>
      <c r="I92" s="47">
        <f>G92*0.6</f>
        <v>1124.1479999999999</v>
      </c>
    </row>
    <row r="93" spans="1:9" ht="15.75" customHeight="1">
      <c r="A93" s="29">
        <v>24</v>
      </c>
      <c r="B93" s="48" t="s">
        <v>231</v>
      </c>
      <c r="C93" s="91" t="s">
        <v>232</v>
      </c>
      <c r="D93" s="92"/>
      <c r="E93" s="33"/>
      <c r="F93" s="33">
        <v>5</v>
      </c>
      <c r="G93" s="33">
        <v>923.85</v>
      </c>
      <c r="H93" s="90"/>
      <c r="I93" s="47">
        <f>G93*3</f>
        <v>2771.55</v>
      </c>
    </row>
    <row r="94" spans="1:9" ht="15.75" customHeight="1">
      <c r="A94" s="29">
        <v>25</v>
      </c>
      <c r="B94" s="48" t="s">
        <v>174</v>
      </c>
      <c r="C94" s="91" t="s">
        <v>193</v>
      </c>
      <c r="D94" s="92" t="s">
        <v>356</v>
      </c>
      <c r="E94" s="33"/>
      <c r="F94" s="33">
        <v>30</v>
      </c>
      <c r="G94" s="33">
        <v>284</v>
      </c>
      <c r="H94" s="90"/>
      <c r="I94" s="47">
        <v>0</v>
      </c>
    </row>
    <row r="95" spans="1:9" ht="15.75" customHeight="1">
      <c r="A95" s="29">
        <v>26</v>
      </c>
      <c r="B95" s="48" t="s">
        <v>268</v>
      </c>
      <c r="C95" s="91" t="s">
        <v>83</v>
      </c>
      <c r="D95" s="92"/>
      <c r="E95" s="33"/>
      <c r="F95" s="33">
        <v>4</v>
      </c>
      <c r="G95" s="33">
        <v>269.91000000000003</v>
      </c>
      <c r="H95" s="90"/>
      <c r="I95" s="47">
        <v>0</v>
      </c>
    </row>
    <row r="96" spans="1:9" ht="15.75" customHeight="1">
      <c r="A96" s="29">
        <v>27</v>
      </c>
      <c r="B96" s="48" t="s">
        <v>81</v>
      </c>
      <c r="C96" s="91" t="s">
        <v>122</v>
      </c>
      <c r="D96" s="92"/>
      <c r="E96" s="33"/>
      <c r="F96" s="33">
        <v>11</v>
      </c>
      <c r="G96" s="33">
        <v>215.85</v>
      </c>
      <c r="H96" s="90"/>
      <c r="I96" s="47">
        <f>G96*5</f>
        <v>1079.25</v>
      </c>
    </row>
    <row r="97" spans="1:9" ht="15.75" customHeight="1">
      <c r="A97" s="29">
        <v>28</v>
      </c>
      <c r="B97" s="48" t="s">
        <v>247</v>
      </c>
      <c r="C97" s="91" t="s">
        <v>39</v>
      </c>
      <c r="D97" s="92" t="s">
        <v>227</v>
      </c>
      <c r="E97" s="33"/>
      <c r="F97" s="33">
        <v>0.03</v>
      </c>
      <c r="G97" s="33">
        <v>27139.18</v>
      </c>
      <c r="H97" s="90"/>
      <c r="I97" s="47">
        <v>0</v>
      </c>
    </row>
    <row r="98" spans="1:9" ht="15.75" customHeight="1">
      <c r="A98" s="29">
        <v>29</v>
      </c>
      <c r="B98" s="48" t="s">
        <v>269</v>
      </c>
      <c r="C98" s="91" t="s">
        <v>80</v>
      </c>
      <c r="D98" s="92" t="s">
        <v>284</v>
      </c>
      <c r="E98" s="33"/>
      <c r="F98" s="33">
        <v>1</v>
      </c>
      <c r="G98" s="33">
        <v>668.89</v>
      </c>
      <c r="H98" s="90"/>
      <c r="I98" s="47">
        <f>G98*1</f>
        <v>668.89</v>
      </c>
    </row>
    <row r="99" spans="1:9" ht="32.25" customHeight="1">
      <c r="A99" s="29">
        <v>30</v>
      </c>
      <c r="B99" s="48" t="s">
        <v>270</v>
      </c>
      <c r="C99" s="91" t="s">
        <v>122</v>
      </c>
      <c r="D99" s="92" t="s">
        <v>232</v>
      </c>
      <c r="E99" s="33"/>
      <c r="F99" s="33">
        <v>2</v>
      </c>
      <c r="G99" s="33">
        <v>826.05</v>
      </c>
      <c r="H99" s="90"/>
      <c r="I99" s="47">
        <f>G99*2</f>
        <v>1652.1</v>
      </c>
    </row>
    <row r="100" spans="1:9" ht="15.75" customHeight="1">
      <c r="A100" s="29">
        <v>31</v>
      </c>
      <c r="B100" s="48" t="s">
        <v>271</v>
      </c>
      <c r="C100" s="91" t="s">
        <v>122</v>
      </c>
      <c r="D100" s="92"/>
      <c r="E100" s="33"/>
      <c r="F100" s="33">
        <v>2</v>
      </c>
      <c r="G100" s="33">
        <v>21</v>
      </c>
      <c r="H100" s="90"/>
      <c r="I100" s="47">
        <f>G100*2</f>
        <v>42</v>
      </c>
    </row>
    <row r="101" spans="1:9" ht="15.75" customHeight="1">
      <c r="A101" s="29">
        <v>32</v>
      </c>
      <c r="B101" s="48" t="s">
        <v>272</v>
      </c>
      <c r="C101" s="91" t="s">
        <v>122</v>
      </c>
      <c r="D101" s="92"/>
      <c r="E101" s="33"/>
      <c r="F101" s="33">
        <v>1</v>
      </c>
      <c r="G101" s="33">
        <v>39</v>
      </c>
      <c r="H101" s="90"/>
      <c r="I101" s="47">
        <f>G101*1</f>
        <v>39</v>
      </c>
    </row>
    <row r="102" spans="1:9" ht="15.75" customHeight="1">
      <c r="A102" s="29">
        <v>33</v>
      </c>
      <c r="B102" s="48" t="s">
        <v>273</v>
      </c>
      <c r="C102" s="91" t="s">
        <v>122</v>
      </c>
      <c r="D102" s="92"/>
      <c r="E102" s="33"/>
      <c r="F102" s="33">
        <v>1</v>
      </c>
      <c r="G102" s="33">
        <v>86</v>
      </c>
      <c r="H102" s="90"/>
      <c r="I102" s="47">
        <f>G102*1</f>
        <v>86</v>
      </c>
    </row>
    <row r="103" spans="1:9" ht="15.75" customHeight="1">
      <c r="A103" s="29">
        <v>34</v>
      </c>
      <c r="B103" s="48" t="s">
        <v>274</v>
      </c>
      <c r="C103" s="91" t="s">
        <v>122</v>
      </c>
      <c r="D103" s="92"/>
      <c r="E103" s="33"/>
      <c r="F103" s="33">
        <v>1</v>
      </c>
      <c r="G103" s="33">
        <v>132</v>
      </c>
      <c r="H103" s="90"/>
      <c r="I103" s="47">
        <f>G103*1</f>
        <v>132</v>
      </c>
    </row>
    <row r="104" spans="1:9" ht="31.5" customHeight="1">
      <c r="A104" s="29">
        <v>35</v>
      </c>
      <c r="B104" s="48" t="s">
        <v>262</v>
      </c>
      <c r="C104" s="91" t="s">
        <v>122</v>
      </c>
      <c r="D104" s="92" t="s">
        <v>232</v>
      </c>
      <c r="E104" s="33"/>
      <c r="F104" s="33">
        <v>2</v>
      </c>
      <c r="G104" s="33">
        <v>1179.28</v>
      </c>
      <c r="H104" s="90"/>
      <c r="I104" s="47">
        <f>G104*1</f>
        <v>1179.28</v>
      </c>
    </row>
    <row r="105" spans="1:9" ht="36" customHeight="1">
      <c r="A105" s="29">
        <v>36</v>
      </c>
      <c r="B105" s="48" t="s">
        <v>275</v>
      </c>
      <c r="C105" s="91" t="s">
        <v>122</v>
      </c>
      <c r="D105" s="92" t="s">
        <v>232</v>
      </c>
      <c r="E105" s="33"/>
      <c r="F105" s="33">
        <v>2</v>
      </c>
      <c r="G105" s="33">
        <v>945.36</v>
      </c>
      <c r="H105" s="90"/>
      <c r="I105" s="47">
        <f>G105*2</f>
        <v>1890.72</v>
      </c>
    </row>
    <row r="106" spans="1:9" ht="33" customHeight="1">
      <c r="A106" s="29">
        <v>37</v>
      </c>
      <c r="B106" s="48" t="s">
        <v>276</v>
      </c>
      <c r="C106" s="91" t="s">
        <v>80</v>
      </c>
      <c r="D106" s="92" t="s">
        <v>283</v>
      </c>
      <c r="E106" s="33"/>
      <c r="F106" s="33">
        <v>3</v>
      </c>
      <c r="G106" s="33">
        <v>933.18</v>
      </c>
      <c r="H106" s="90"/>
      <c r="I106" s="47">
        <f>G106*3</f>
        <v>2799.54</v>
      </c>
    </row>
    <row r="107" spans="1:9" ht="15.75" customHeight="1">
      <c r="A107" s="29">
        <v>38</v>
      </c>
      <c r="B107" s="48" t="s">
        <v>277</v>
      </c>
      <c r="C107" s="91" t="s">
        <v>122</v>
      </c>
      <c r="D107" s="92"/>
      <c r="E107" s="33"/>
      <c r="F107" s="33">
        <v>1</v>
      </c>
      <c r="G107" s="33">
        <v>98</v>
      </c>
      <c r="H107" s="90"/>
      <c r="I107" s="47">
        <f>G107*1</f>
        <v>98</v>
      </c>
    </row>
    <row r="108" spans="1:9" ht="15.75" customHeight="1">
      <c r="A108" s="29">
        <v>39</v>
      </c>
      <c r="B108" s="48" t="s">
        <v>154</v>
      </c>
      <c r="C108" s="91" t="s">
        <v>122</v>
      </c>
      <c r="D108" s="92"/>
      <c r="E108" s="33"/>
      <c r="F108" s="33">
        <v>2</v>
      </c>
      <c r="G108" s="33">
        <v>125</v>
      </c>
      <c r="H108" s="90"/>
      <c r="I108" s="47">
        <f>G108*1</f>
        <v>125</v>
      </c>
    </row>
    <row r="109" spans="1:9" ht="15.75" customHeight="1">
      <c r="A109" s="29">
        <v>40</v>
      </c>
      <c r="B109" s="48" t="s">
        <v>278</v>
      </c>
      <c r="C109" s="91" t="s">
        <v>122</v>
      </c>
      <c r="D109" s="92"/>
      <c r="E109" s="33"/>
      <c r="F109" s="33">
        <v>1</v>
      </c>
      <c r="G109" s="33">
        <v>126</v>
      </c>
      <c r="H109" s="90"/>
      <c r="I109" s="47">
        <f>G109*1</f>
        <v>126</v>
      </c>
    </row>
    <row r="110" spans="1:9" ht="15.75" customHeight="1">
      <c r="A110" s="29">
        <v>41</v>
      </c>
      <c r="B110" s="48" t="s">
        <v>279</v>
      </c>
      <c r="C110" s="91" t="s">
        <v>122</v>
      </c>
      <c r="D110" s="92"/>
      <c r="E110" s="33"/>
      <c r="F110" s="33">
        <v>2</v>
      </c>
      <c r="G110" s="33">
        <v>235</v>
      </c>
      <c r="H110" s="90"/>
      <c r="I110" s="47">
        <f>G110*2</f>
        <v>470</v>
      </c>
    </row>
    <row r="111" spans="1:9" ht="15.75" customHeight="1">
      <c r="A111" s="29">
        <v>42</v>
      </c>
      <c r="B111" s="48" t="s">
        <v>280</v>
      </c>
      <c r="C111" s="91" t="s">
        <v>122</v>
      </c>
      <c r="D111" s="92"/>
      <c r="E111" s="33"/>
      <c r="F111" s="33">
        <v>1</v>
      </c>
      <c r="G111" s="33">
        <v>62</v>
      </c>
      <c r="H111" s="90"/>
      <c r="I111" s="47">
        <f>G111*1</f>
        <v>62</v>
      </c>
    </row>
    <row r="112" spans="1:9" ht="15.75" customHeight="1">
      <c r="A112" s="29">
        <v>43</v>
      </c>
      <c r="B112" s="48" t="s">
        <v>281</v>
      </c>
      <c r="C112" s="91" t="s">
        <v>122</v>
      </c>
      <c r="D112" s="92"/>
      <c r="E112" s="33"/>
      <c r="F112" s="33">
        <v>1</v>
      </c>
      <c r="G112" s="33">
        <v>49</v>
      </c>
      <c r="H112" s="90"/>
      <c r="I112" s="47">
        <f>G112*1</f>
        <v>49</v>
      </c>
    </row>
    <row r="113" spans="1:9" ht="31.5" customHeight="1">
      <c r="A113" s="29">
        <v>44</v>
      </c>
      <c r="B113" s="48" t="s">
        <v>206</v>
      </c>
      <c r="C113" s="91" t="s">
        <v>193</v>
      </c>
      <c r="D113" s="93" t="s">
        <v>286</v>
      </c>
      <c r="E113" s="33"/>
      <c r="F113" s="33">
        <v>4.5</v>
      </c>
      <c r="G113" s="33">
        <v>1523.6</v>
      </c>
      <c r="H113" s="90"/>
      <c r="I113" s="47">
        <f>G113*4</f>
        <v>6094.4</v>
      </c>
    </row>
    <row r="114" spans="1:9" ht="15.75" customHeight="1">
      <c r="A114" s="29">
        <v>45</v>
      </c>
      <c r="B114" s="48" t="s">
        <v>282</v>
      </c>
      <c r="C114" s="91" t="s">
        <v>91</v>
      </c>
      <c r="D114" s="92"/>
      <c r="E114" s="33"/>
      <c r="F114" s="33">
        <v>1</v>
      </c>
      <c r="G114" s="33">
        <v>331.57</v>
      </c>
      <c r="H114" s="90"/>
      <c r="I114" s="47">
        <f>G114*1</f>
        <v>331.57</v>
      </c>
    </row>
    <row r="115" spans="1:9" ht="18" customHeight="1">
      <c r="A115" s="29"/>
      <c r="B115" s="40" t="s">
        <v>51</v>
      </c>
      <c r="C115" s="36"/>
      <c r="D115" s="44"/>
      <c r="E115" s="36">
        <v>1</v>
      </c>
      <c r="F115" s="36"/>
      <c r="G115" s="36"/>
      <c r="H115" s="36"/>
      <c r="I115" s="31">
        <f>SUM(I91:I114)</f>
        <v>21488.337999999996</v>
      </c>
    </row>
    <row r="116" spans="1:9">
      <c r="A116" s="29"/>
      <c r="B116" s="42" t="s">
        <v>78</v>
      </c>
      <c r="C116" s="15"/>
      <c r="D116" s="15"/>
      <c r="E116" s="37"/>
      <c r="F116" s="37"/>
      <c r="G116" s="38"/>
      <c r="H116" s="38"/>
      <c r="I116" s="17">
        <v>0</v>
      </c>
    </row>
    <row r="117" spans="1:9">
      <c r="A117" s="45"/>
      <c r="B117" s="41" t="s">
        <v>173</v>
      </c>
      <c r="C117" s="32"/>
      <c r="D117" s="32"/>
      <c r="E117" s="32"/>
      <c r="F117" s="32"/>
      <c r="G117" s="32"/>
      <c r="H117" s="32"/>
      <c r="I117" s="39">
        <f>I115+I89</f>
        <v>118242.79006239999</v>
      </c>
    </row>
    <row r="118" spans="1:9" ht="15.75">
      <c r="A118" s="240" t="s">
        <v>357</v>
      </c>
      <c r="B118" s="240"/>
      <c r="C118" s="240"/>
      <c r="D118" s="240"/>
      <c r="E118" s="240"/>
      <c r="F118" s="240"/>
      <c r="G118" s="240"/>
      <c r="H118" s="240"/>
      <c r="I118" s="240"/>
    </row>
    <row r="119" spans="1:9" ht="15.75">
      <c r="A119" s="56"/>
      <c r="B119" s="241" t="s">
        <v>358</v>
      </c>
      <c r="C119" s="241"/>
      <c r="D119" s="241"/>
      <c r="E119" s="241"/>
      <c r="F119" s="241"/>
      <c r="G119" s="241"/>
      <c r="H119" s="61"/>
      <c r="I119" s="3"/>
    </row>
    <row r="120" spans="1:9">
      <c r="A120" s="132"/>
      <c r="B120" s="228" t="s">
        <v>6</v>
      </c>
      <c r="C120" s="228"/>
      <c r="D120" s="228"/>
      <c r="E120" s="228"/>
      <c r="F120" s="228"/>
      <c r="G120" s="228"/>
      <c r="H120" s="24"/>
      <c r="I120" s="5"/>
    </row>
    <row r="121" spans="1:9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ht="15.75">
      <c r="A122" s="242" t="s">
        <v>7</v>
      </c>
      <c r="B122" s="242"/>
      <c r="C122" s="242"/>
      <c r="D122" s="242"/>
      <c r="E122" s="242"/>
      <c r="F122" s="242"/>
      <c r="G122" s="242"/>
      <c r="H122" s="242"/>
      <c r="I122" s="242"/>
    </row>
    <row r="123" spans="1:9" ht="15.75">
      <c r="A123" s="242" t="s">
        <v>8</v>
      </c>
      <c r="B123" s="242"/>
      <c r="C123" s="242"/>
      <c r="D123" s="242"/>
      <c r="E123" s="242"/>
      <c r="F123" s="242"/>
      <c r="G123" s="242"/>
      <c r="H123" s="242"/>
      <c r="I123" s="242"/>
    </row>
    <row r="124" spans="1:9" ht="15.75">
      <c r="A124" s="232" t="s">
        <v>60</v>
      </c>
      <c r="B124" s="232"/>
      <c r="C124" s="232"/>
      <c r="D124" s="232"/>
      <c r="E124" s="232"/>
      <c r="F124" s="232"/>
      <c r="G124" s="232"/>
      <c r="H124" s="232"/>
      <c r="I124" s="232"/>
    </row>
    <row r="125" spans="1:9" ht="15.75">
      <c r="A125" s="11"/>
    </row>
    <row r="126" spans="1:9" ht="15.75">
      <c r="A126" s="226" t="s">
        <v>9</v>
      </c>
      <c r="B126" s="226"/>
      <c r="C126" s="226"/>
      <c r="D126" s="226"/>
      <c r="E126" s="226"/>
      <c r="F126" s="226"/>
      <c r="G126" s="226"/>
      <c r="H126" s="226"/>
      <c r="I126" s="226"/>
    </row>
    <row r="127" spans="1:9" ht="15.75">
      <c r="A127" s="4"/>
    </row>
    <row r="128" spans="1:9" ht="15.75">
      <c r="B128" s="135" t="s">
        <v>10</v>
      </c>
      <c r="C128" s="227" t="s">
        <v>88</v>
      </c>
      <c r="D128" s="227"/>
      <c r="E128" s="227"/>
      <c r="F128" s="59"/>
      <c r="I128" s="138"/>
    </row>
    <row r="129" spans="1:9">
      <c r="A129" s="132"/>
      <c r="C129" s="228" t="s">
        <v>11</v>
      </c>
      <c r="D129" s="228"/>
      <c r="E129" s="228"/>
      <c r="F129" s="24"/>
      <c r="I129" s="137" t="s">
        <v>12</v>
      </c>
    </row>
    <row r="130" spans="1:9" ht="15.75">
      <c r="A130" s="25"/>
      <c r="C130" s="12"/>
      <c r="D130" s="12"/>
      <c r="G130" s="12"/>
      <c r="H130" s="12"/>
    </row>
    <row r="131" spans="1:9" ht="15.75">
      <c r="B131" s="135" t="s">
        <v>13</v>
      </c>
      <c r="C131" s="229"/>
      <c r="D131" s="229"/>
      <c r="E131" s="229"/>
      <c r="F131" s="60"/>
      <c r="I131" s="138"/>
    </row>
    <row r="132" spans="1:9">
      <c r="A132" s="132"/>
      <c r="C132" s="230" t="s">
        <v>11</v>
      </c>
      <c r="D132" s="230"/>
      <c r="E132" s="230"/>
      <c r="F132" s="132"/>
      <c r="I132" s="137" t="s">
        <v>12</v>
      </c>
    </row>
    <row r="133" spans="1:9" ht="15.75">
      <c r="A133" s="4" t="s">
        <v>14</v>
      </c>
    </row>
    <row r="134" spans="1:9">
      <c r="A134" s="231" t="s">
        <v>15</v>
      </c>
      <c r="B134" s="231"/>
      <c r="C134" s="231"/>
      <c r="D134" s="231"/>
      <c r="E134" s="231"/>
      <c r="F134" s="231"/>
      <c r="G134" s="231"/>
      <c r="H134" s="231"/>
      <c r="I134" s="231"/>
    </row>
    <row r="135" spans="1:9" ht="51" customHeight="1">
      <c r="A135" s="225" t="s">
        <v>16</v>
      </c>
      <c r="B135" s="225"/>
      <c r="C135" s="225"/>
      <c r="D135" s="225"/>
      <c r="E135" s="225"/>
      <c r="F135" s="225"/>
      <c r="G135" s="225"/>
      <c r="H135" s="225"/>
      <c r="I135" s="225"/>
    </row>
    <row r="136" spans="1:9" ht="40.5" customHeight="1">
      <c r="A136" s="225" t="s">
        <v>17</v>
      </c>
      <c r="B136" s="225"/>
      <c r="C136" s="225"/>
      <c r="D136" s="225"/>
      <c r="E136" s="225"/>
      <c r="F136" s="225"/>
      <c r="G136" s="225"/>
      <c r="H136" s="225"/>
      <c r="I136" s="225"/>
    </row>
    <row r="137" spans="1:9" ht="45.75" customHeight="1">
      <c r="A137" s="225" t="s">
        <v>21</v>
      </c>
      <c r="B137" s="225"/>
      <c r="C137" s="225"/>
      <c r="D137" s="225"/>
      <c r="E137" s="225"/>
      <c r="F137" s="225"/>
      <c r="G137" s="225"/>
      <c r="H137" s="225"/>
      <c r="I137" s="225"/>
    </row>
    <row r="138" spans="1:9" ht="15.75">
      <c r="A138" s="225" t="s">
        <v>20</v>
      </c>
      <c r="B138" s="225"/>
      <c r="C138" s="225"/>
      <c r="D138" s="225"/>
      <c r="E138" s="225"/>
      <c r="F138" s="225"/>
      <c r="G138" s="225"/>
      <c r="H138" s="225"/>
      <c r="I138" s="225"/>
    </row>
  </sheetData>
  <mergeCells count="28">
    <mergeCell ref="A135:I135"/>
    <mergeCell ref="A136:I136"/>
    <mergeCell ref="A137:I137"/>
    <mergeCell ref="A138:I138"/>
    <mergeCell ref="A126:I126"/>
    <mergeCell ref="C128:E128"/>
    <mergeCell ref="C129:E129"/>
    <mergeCell ref="C131:E131"/>
    <mergeCell ref="C132:E132"/>
    <mergeCell ref="A134:I134"/>
    <mergeCell ref="A124:I124"/>
    <mergeCell ref="A15:I15"/>
    <mergeCell ref="A27:I27"/>
    <mergeCell ref="A44:I44"/>
    <mergeCell ref="A54:I54"/>
    <mergeCell ref="A86:I86"/>
    <mergeCell ref="A90:I90"/>
    <mergeCell ref="A118:I118"/>
    <mergeCell ref="B119:G119"/>
    <mergeCell ref="B120:G120"/>
    <mergeCell ref="A122:I122"/>
    <mergeCell ref="A123:I123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1"/>
  <sheetViews>
    <sheetView topLeftCell="A86" workbookViewId="0">
      <selection activeCell="A105" sqref="A105:I106"/>
    </sheetView>
  </sheetViews>
  <sheetFormatPr defaultRowHeight="15"/>
  <cols>
    <col min="1" max="1" width="10" customWidth="1"/>
    <col min="2" max="2" width="47.5703125" customWidth="1"/>
    <col min="3" max="4" width="18.28515625" customWidth="1"/>
    <col min="5" max="6" width="0" hidden="1" customWidth="1"/>
    <col min="7" max="7" width="16" customWidth="1"/>
    <col min="8" max="8" width="0" hidden="1" customWidth="1"/>
    <col min="9" max="9" width="17" customWidth="1"/>
    <col min="10" max="10" width="15.8554687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198</v>
      </c>
      <c r="B3" s="246"/>
      <c r="C3" s="246"/>
      <c r="D3" s="246"/>
      <c r="E3" s="246"/>
      <c r="F3" s="246"/>
      <c r="G3" s="246"/>
      <c r="H3" s="246"/>
      <c r="I3" s="246"/>
    </row>
    <row r="4" spans="1:9" ht="37.5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287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45"/>
      <c r="C6" s="145"/>
      <c r="D6" s="145"/>
      <c r="E6" s="145"/>
      <c r="F6" s="145"/>
      <c r="G6" s="145"/>
      <c r="H6" s="145"/>
      <c r="I6" s="139">
        <v>44043</v>
      </c>
    </row>
    <row r="7" spans="1:9" ht="15.75">
      <c r="B7" s="143"/>
      <c r="C7" s="143"/>
      <c r="D7" s="143"/>
      <c r="E7" s="3"/>
      <c r="F7" s="3"/>
      <c r="G7" s="3"/>
      <c r="H7" s="3"/>
    </row>
    <row r="8" spans="1:9" ht="95.25" customHeight="1">
      <c r="A8" s="249" t="s">
        <v>209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5.2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20.2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8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5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7.25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8.75" customHeight="1">
      <c r="A29" s="29">
        <v>5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 t="shared" ref="H29:H34" si="1">SUM(F29*G29/1000)</f>
        <v>3.9495100528000009</v>
      </c>
      <c r="I29" s="13">
        <f>F29/6*G29</f>
        <v>658.25167546666682</v>
      </c>
    </row>
    <row r="30" spans="1:9" ht="45" customHeight="1">
      <c r="A30" s="29">
        <v>6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 t="shared" si="1"/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 t="shared" si="1"/>
        <v>1.4716320896000001</v>
      </c>
      <c r="I31" s="13">
        <f>F31*G31</f>
        <v>1471.6320896000002</v>
      </c>
    </row>
    <row r="32" spans="1:9" ht="16.5" customHeight="1">
      <c r="A32" s="29">
        <v>7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 t="shared" si="1"/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 t="shared" si="1"/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129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2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116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2"/>
        <v>40.416837471000008</v>
      </c>
      <c r="I37" s="13">
        <f t="shared" ref="I37:I43" si="3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117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2"/>
        <v>35.228121806000004</v>
      </c>
      <c r="I38" s="13">
        <f t="shared" si="3"/>
        <v>5871.3536343333326</v>
      </c>
    </row>
    <row r="39" spans="1:9" ht="30" hidden="1">
      <c r="A39" s="29">
        <v>9</v>
      </c>
      <c r="B39" s="66" t="s">
        <v>94</v>
      </c>
      <c r="C39" s="67" t="s">
        <v>133</v>
      </c>
      <c r="D39" s="66" t="s">
        <v>176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82</v>
      </c>
      <c r="C40" s="67" t="s">
        <v>112</v>
      </c>
      <c r="D40" s="66" t="s">
        <v>134</v>
      </c>
      <c r="E40" s="69">
        <v>40.6</v>
      </c>
      <c r="F40" s="69">
        <f>SUM(E40*35/1000)</f>
        <v>1.421</v>
      </c>
      <c r="G40" s="69">
        <v>7915.6</v>
      </c>
      <c r="H40" s="70">
        <f t="shared" si="2"/>
        <v>11.248067600000001</v>
      </c>
      <c r="I40" s="13">
        <f t="shared" si="3"/>
        <v>1874.6779333333334</v>
      </c>
    </row>
    <row r="41" spans="1:9" hidden="1">
      <c r="A41" s="29">
        <v>10</v>
      </c>
      <c r="B41" s="66" t="s">
        <v>118</v>
      </c>
      <c r="C41" s="67" t="s">
        <v>112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2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2"/>
        <v>0.96</v>
      </c>
      <c r="I42" s="13">
        <f>(F42/7.5*1.5)*G42</f>
        <v>192</v>
      </c>
    </row>
    <row r="43" spans="1:9" ht="30" hidden="1">
      <c r="A43" s="29">
        <v>12</v>
      </c>
      <c r="B43" s="46" t="s">
        <v>177</v>
      </c>
      <c r="C43" s="62" t="s">
        <v>29</v>
      </c>
      <c r="D43" s="66" t="s">
        <v>178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2"/>
        <v>1.3638744000000003E-2</v>
      </c>
      <c r="I43" s="13">
        <f t="shared" si="3"/>
        <v>2.2731240000000006</v>
      </c>
    </row>
    <row r="44" spans="1:9" hidden="1">
      <c r="A44" s="252" t="s">
        <v>190</v>
      </c>
      <c r="B44" s="253"/>
      <c r="C44" s="253"/>
      <c r="D44" s="253"/>
      <c r="E44" s="253"/>
      <c r="F44" s="253"/>
      <c r="G44" s="253"/>
      <c r="H44" s="253"/>
      <c r="I44" s="254"/>
    </row>
    <row r="45" spans="1:9" hidden="1">
      <c r="A45" s="29">
        <v>18</v>
      </c>
      <c r="B45" s="66" t="s">
        <v>119</v>
      </c>
      <c r="C45" s="67" t="s">
        <v>112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4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112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4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112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4"/>
        <v>2.8861516079999996</v>
      </c>
      <c r="I47" s="13">
        <f t="shared" ref="I47:I52" si="5">F47/2*G47</f>
        <v>1443.0758039999998</v>
      </c>
    </row>
    <row r="48" spans="1:9" hidden="1">
      <c r="A48" s="29">
        <v>21</v>
      </c>
      <c r="B48" s="66" t="s">
        <v>36</v>
      </c>
      <c r="C48" s="67" t="s">
        <v>112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4"/>
        <v>5.2373029879999997</v>
      </c>
      <c r="I48" s="13">
        <f t="shared" si="5"/>
        <v>2618.6514939999997</v>
      </c>
    </row>
    <row r="49" spans="1:9" hidden="1">
      <c r="A49" s="29">
        <v>22</v>
      </c>
      <c r="B49" s="66" t="s">
        <v>55</v>
      </c>
      <c r="C49" s="67" t="s">
        <v>112</v>
      </c>
      <c r="D49" s="66" t="s">
        <v>167</v>
      </c>
      <c r="E49" s="68">
        <v>5816.5</v>
      </c>
      <c r="F49" s="69">
        <f>SUM(E49*5/1000)</f>
        <v>29.0825</v>
      </c>
      <c r="G49" s="13">
        <v>1655.27</v>
      </c>
      <c r="H49" s="70">
        <f t="shared" si="4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120</v>
      </c>
      <c r="C50" s="67" t="s">
        <v>112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4"/>
        <v>19.255755910000001</v>
      </c>
      <c r="I50" s="13">
        <f t="shared" si="5"/>
        <v>9627.8779549999999</v>
      </c>
    </row>
    <row r="51" spans="1:9" ht="30" hidden="1">
      <c r="A51" s="29">
        <v>14</v>
      </c>
      <c r="B51" s="66" t="s">
        <v>121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4"/>
        <v>1.862185</v>
      </c>
      <c r="I51" s="13">
        <f t="shared" si="5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4"/>
        <v>0.15418879999999999</v>
      </c>
      <c r="I52" s="13">
        <f t="shared" si="5"/>
        <v>77.094399999999993</v>
      </c>
    </row>
    <row r="53" spans="1:9" hidden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4"/>
        <v>53.216459999999998</v>
      </c>
      <c r="I53" s="13">
        <f>F53/3*G53</f>
        <v>17738.82</v>
      </c>
    </row>
    <row r="54" spans="1:9">
      <c r="A54" s="234" t="s">
        <v>170</v>
      </c>
      <c r="B54" s="235"/>
      <c r="C54" s="235"/>
      <c r="D54" s="235"/>
      <c r="E54" s="235"/>
      <c r="F54" s="235"/>
      <c r="G54" s="235"/>
      <c r="H54" s="235"/>
      <c r="I54" s="236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123</v>
      </c>
      <c r="C56" s="67" t="s">
        <v>104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179</v>
      </c>
      <c r="C57" s="67" t="s">
        <v>104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99</v>
      </c>
      <c r="C58" s="67" t="s">
        <v>100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18</v>
      </c>
      <c r="B59" s="77" t="s">
        <v>180</v>
      </c>
      <c r="C59" s="81" t="s">
        <v>32</v>
      </c>
      <c r="D59" s="77" t="s">
        <v>65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v>0</v>
      </c>
    </row>
    <row r="60" spans="1:9" ht="18.7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4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4">
        <v>0</v>
      </c>
    </row>
    <row r="62" spans="1:9" ht="19.5" customHeight="1">
      <c r="A62" s="29">
        <v>8</v>
      </c>
      <c r="B62" s="77" t="s">
        <v>95</v>
      </c>
      <c r="C62" s="81" t="s">
        <v>25</v>
      </c>
      <c r="D62" s="66" t="s">
        <v>221</v>
      </c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.75" customHeight="1">
      <c r="A63" s="29"/>
      <c r="B63" s="88" t="s">
        <v>45</v>
      </c>
      <c r="C63" s="81"/>
      <c r="D63" s="121"/>
      <c r="E63" s="71"/>
      <c r="F63" s="116"/>
      <c r="G63" s="116"/>
      <c r="H63" s="122" t="s">
        <v>129</v>
      </c>
      <c r="I63" s="123"/>
    </row>
    <row r="64" spans="1:9">
      <c r="A64" s="29">
        <v>9</v>
      </c>
      <c r="B64" s="14" t="s">
        <v>46</v>
      </c>
      <c r="C64" s="16" t="s">
        <v>122</v>
      </c>
      <c r="D64" s="14" t="s">
        <v>308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6">SUM(F64*G64/1000)</f>
        <v>4.2469000000000001</v>
      </c>
      <c r="I64" s="13">
        <f>G64*4</f>
        <v>1213.4000000000001</v>
      </c>
    </row>
    <row r="65" spans="1:9" hidden="1">
      <c r="A65" s="29"/>
      <c r="B65" s="14" t="s">
        <v>47</v>
      </c>
      <c r="C65" s="16" t="s">
        <v>122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6"/>
        <v>0.72806999999999999</v>
      </c>
      <c r="I65" s="13">
        <v>0</v>
      </c>
    </row>
    <row r="66" spans="1:9">
      <c r="A66" s="29">
        <v>10</v>
      </c>
      <c r="B66" s="14" t="s">
        <v>48</v>
      </c>
      <c r="C66" s="16" t="s">
        <v>124</v>
      </c>
      <c r="D66" s="14"/>
      <c r="E66" s="68">
        <v>23808</v>
      </c>
      <c r="F66" s="13">
        <f>SUM(E66/100)</f>
        <v>238.08</v>
      </c>
      <c r="G66" s="13">
        <v>289.37</v>
      </c>
      <c r="H66" s="63">
        <f t="shared" si="6"/>
        <v>68.893209600000006</v>
      </c>
      <c r="I66" s="13">
        <f t="shared" ref="I66:I71" si="7">F66*G66</f>
        <v>68893.209600000002</v>
      </c>
    </row>
    <row r="67" spans="1:9">
      <c r="A67" s="29">
        <v>11</v>
      </c>
      <c r="B67" s="14" t="s">
        <v>49</v>
      </c>
      <c r="C67" s="16" t="s">
        <v>125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6"/>
        <v>5.3651327999999996</v>
      </c>
      <c r="I67" s="13">
        <f t="shared" si="7"/>
        <v>5365.1327999999994</v>
      </c>
    </row>
    <row r="68" spans="1:9">
      <c r="A68" s="29">
        <v>12</v>
      </c>
      <c r="B68" s="14" t="s">
        <v>50</v>
      </c>
      <c r="C68" s="16" t="s">
        <v>76</v>
      </c>
      <c r="D68" s="14"/>
      <c r="E68" s="68">
        <v>3810</v>
      </c>
      <c r="F68" s="13">
        <f>SUM(E68/100)</f>
        <v>38.1</v>
      </c>
      <c r="G68" s="13">
        <v>2829.78</v>
      </c>
      <c r="H68" s="63">
        <f t="shared" si="6"/>
        <v>107.81461800000001</v>
      </c>
      <c r="I68" s="13">
        <f t="shared" si="7"/>
        <v>107814.61800000002</v>
      </c>
    </row>
    <row r="69" spans="1:9">
      <c r="A69" s="29">
        <v>13</v>
      </c>
      <c r="B69" s="83" t="s">
        <v>126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6"/>
        <v>0.56716800000000001</v>
      </c>
      <c r="I69" s="13">
        <f t="shared" si="7"/>
        <v>567.16800000000001</v>
      </c>
    </row>
    <row r="70" spans="1:9">
      <c r="A70" s="29">
        <v>14</v>
      </c>
      <c r="B70" s="83" t="s">
        <v>135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6"/>
        <v>0.61171200000000003</v>
      </c>
      <c r="I70" s="13">
        <f t="shared" si="7"/>
        <v>611.71199999999999</v>
      </c>
    </row>
    <row r="71" spans="1:9" hidden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6"/>
        <v>0.40823999999999999</v>
      </c>
      <c r="I71" s="13">
        <f t="shared" si="7"/>
        <v>408.24</v>
      </c>
    </row>
    <row r="72" spans="1:9" ht="33.75" customHeight="1">
      <c r="A72" s="29">
        <v>15</v>
      </c>
      <c r="B72" s="83" t="s">
        <v>181</v>
      </c>
      <c r="C72" s="16"/>
      <c r="D72" s="14" t="s">
        <v>222</v>
      </c>
      <c r="E72" s="18">
        <v>1</v>
      </c>
      <c r="F72" s="13">
        <v>12</v>
      </c>
      <c r="G72" s="13">
        <v>1194</v>
      </c>
      <c r="H72" s="63">
        <f t="shared" si="6"/>
        <v>14.327999999999999</v>
      </c>
      <c r="I72" s="13">
        <f>F72/12*G72</f>
        <v>1194</v>
      </c>
    </row>
    <row r="73" spans="1:9" ht="18" customHeight="1">
      <c r="A73" s="29"/>
      <c r="B73" s="146" t="s">
        <v>182</v>
      </c>
      <c r="C73" s="16"/>
      <c r="D73" s="14"/>
      <c r="E73" s="18"/>
      <c r="F73" s="57"/>
      <c r="G73" s="13"/>
      <c r="H73" s="63"/>
      <c r="I73" s="13"/>
    </row>
    <row r="74" spans="1:9" ht="31.5" customHeight="1">
      <c r="A74" s="29">
        <v>16</v>
      </c>
      <c r="B74" s="14" t="s">
        <v>183</v>
      </c>
      <c r="C74" s="29" t="s">
        <v>184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4.5" customHeight="1">
      <c r="A75" s="29">
        <v>17</v>
      </c>
      <c r="B75" s="46" t="s">
        <v>185</v>
      </c>
      <c r="C75" s="62" t="s">
        <v>122</v>
      </c>
      <c r="D75" s="14" t="s">
        <v>222</v>
      </c>
      <c r="E75" s="118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>
      <c r="A76" s="110"/>
      <c r="B76" s="146" t="s">
        <v>72</v>
      </c>
      <c r="C76" s="16"/>
      <c r="D76" s="14"/>
      <c r="E76" s="18"/>
      <c r="F76" s="13"/>
      <c r="G76" s="13"/>
      <c r="H76" s="63" t="s">
        <v>129</v>
      </c>
      <c r="I76" s="111"/>
    </row>
    <row r="77" spans="1:9" ht="30" hidden="1">
      <c r="A77" s="110"/>
      <c r="B77" s="14" t="s">
        <v>186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1">
        <v>0</v>
      </c>
    </row>
    <row r="78" spans="1:9" hidden="1">
      <c r="A78" s="110"/>
      <c r="B78" s="46" t="s">
        <v>187</v>
      </c>
      <c r="C78" s="62" t="s">
        <v>122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1">
        <v>0</v>
      </c>
    </row>
    <row r="79" spans="1:9">
      <c r="A79" s="110">
        <v>18</v>
      </c>
      <c r="B79" s="14" t="s">
        <v>73</v>
      </c>
      <c r="C79" s="16" t="s">
        <v>188</v>
      </c>
      <c r="D79" s="14" t="s">
        <v>289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1">
        <f>G79*0.3</f>
        <v>205.25700000000001</v>
      </c>
    </row>
    <row r="80" spans="1:9" hidden="1">
      <c r="A80" s="110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1">
        <v>0</v>
      </c>
    </row>
    <row r="81" spans="1:9" hidden="1">
      <c r="A81" s="110"/>
      <c r="B81" s="46" t="s">
        <v>189</v>
      </c>
      <c r="C81" s="62" t="s">
        <v>122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1">
        <v>0</v>
      </c>
    </row>
    <row r="82" spans="1:9" hidden="1">
      <c r="A82" s="110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11"/>
    </row>
    <row r="83" spans="1:9" hidden="1">
      <c r="A83" s="110"/>
      <c r="B83" s="42" t="s">
        <v>130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6"/>
        <v>2.4865679999999997</v>
      </c>
      <c r="I83" s="111">
        <v>0</v>
      </c>
    </row>
    <row r="84" spans="1:9" ht="28.5" hidden="1">
      <c r="A84" s="110"/>
      <c r="B84" s="146" t="s">
        <v>127</v>
      </c>
      <c r="C84" s="84"/>
      <c r="D84" s="117"/>
      <c r="E84" s="31"/>
      <c r="F84" s="119"/>
      <c r="G84" s="119"/>
      <c r="H84" s="120">
        <f>SUM(H56:H83)</f>
        <v>411.53215745600005</v>
      </c>
      <c r="I84" s="111"/>
    </row>
    <row r="85" spans="1:9" hidden="1">
      <c r="A85" s="110"/>
      <c r="B85" s="66" t="s">
        <v>128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1">
        <v>0</v>
      </c>
    </row>
    <row r="86" spans="1:9">
      <c r="A86" s="243" t="s">
        <v>171</v>
      </c>
      <c r="B86" s="244"/>
      <c r="C86" s="244"/>
      <c r="D86" s="244"/>
      <c r="E86" s="244"/>
      <c r="F86" s="244"/>
      <c r="G86" s="244"/>
      <c r="H86" s="244"/>
      <c r="I86" s="245"/>
    </row>
    <row r="87" spans="1:9" ht="17.25" customHeight="1">
      <c r="A87" s="110">
        <v>19</v>
      </c>
      <c r="B87" s="66" t="s">
        <v>131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8.25" customHeight="1">
      <c r="A88" s="29">
        <v>20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44"/>
      <c r="B89" s="34" t="s">
        <v>79</v>
      </c>
      <c r="C89" s="35"/>
      <c r="D89" s="15"/>
      <c r="E89" s="15"/>
      <c r="F89" s="15"/>
      <c r="G89" s="18"/>
      <c r="H89" s="18"/>
      <c r="I89" s="31">
        <f>I88+I87+I79+I75+I74+I72+I70+I69+I68+I67+I66+I62+I32+I30+I29+I26+I18+I17+I16+I64</f>
        <v>278517.33785940002</v>
      </c>
    </row>
    <row r="90" spans="1:9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9">
      <c r="A91" s="29">
        <v>21</v>
      </c>
      <c r="B91" s="96" t="s">
        <v>359</v>
      </c>
      <c r="C91" s="97" t="s">
        <v>25</v>
      </c>
      <c r="D91" s="96"/>
      <c r="E91" s="98"/>
      <c r="F91" s="99">
        <v>2400</v>
      </c>
      <c r="G91" s="100">
        <v>1.4</v>
      </c>
      <c r="H91" s="90">
        <f>G91*F91/1000</f>
        <v>3.36</v>
      </c>
      <c r="I91" s="47">
        <f>G91*2400</f>
        <v>3360</v>
      </c>
    </row>
    <row r="92" spans="1:9">
      <c r="A92" s="29">
        <v>22</v>
      </c>
      <c r="B92" s="48" t="s">
        <v>174</v>
      </c>
      <c r="C92" s="91" t="s">
        <v>193</v>
      </c>
      <c r="D92" s="92" t="s">
        <v>360</v>
      </c>
      <c r="E92" s="33"/>
      <c r="F92" s="33">
        <v>40</v>
      </c>
      <c r="G92" s="33">
        <v>284</v>
      </c>
      <c r="H92" s="90"/>
      <c r="I92" s="47">
        <v>0</v>
      </c>
    </row>
    <row r="93" spans="1:9">
      <c r="A93" s="29">
        <v>23</v>
      </c>
      <c r="B93" s="48" t="s">
        <v>81</v>
      </c>
      <c r="C93" s="91" t="s">
        <v>122</v>
      </c>
      <c r="D93" s="92"/>
      <c r="E93" s="33"/>
      <c r="F93" s="33">
        <v>12</v>
      </c>
      <c r="G93" s="33">
        <v>215.85</v>
      </c>
      <c r="H93" s="90"/>
      <c r="I93" s="47">
        <f>G93*1</f>
        <v>215.85</v>
      </c>
    </row>
    <row r="94" spans="1:9" ht="30">
      <c r="A94" s="29">
        <v>24</v>
      </c>
      <c r="B94" s="48" t="s">
        <v>206</v>
      </c>
      <c r="C94" s="91" t="s">
        <v>193</v>
      </c>
      <c r="D94" s="92" t="s">
        <v>290</v>
      </c>
      <c r="E94" s="33"/>
      <c r="F94" s="33">
        <v>5.5</v>
      </c>
      <c r="G94" s="33">
        <v>1523.6</v>
      </c>
      <c r="H94" s="90"/>
      <c r="I94" s="47">
        <f>G94*1</f>
        <v>1523.6</v>
      </c>
    </row>
    <row r="95" spans="1:9">
      <c r="A95" s="29">
        <v>25</v>
      </c>
      <c r="B95" s="48" t="s">
        <v>288</v>
      </c>
      <c r="C95" s="91" t="s">
        <v>91</v>
      </c>
      <c r="D95" s="92"/>
      <c r="E95" s="33"/>
      <c r="F95" s="33">
        <v>2</v>
      </c>
      <c r="G95" s="33">
        <v>331.57</v>
      </c>
      <c r="H95" s="90"/>
      <c r="I95" s="47">
        <f>G95*2</f>
        <v>663.14</v>
      </c>
    </row>
    <row r="96" spans="1:9" ht="30">
      <c r="A96" s="29">
        <v>26</v>
      </c>
      <c r="B96" s="48" t="s">
        <v>210</v>
      </c>
      <c r="C96" s="91" t="s">
        <v>37</v>
      </c>
      <c r="D96" s="92" t="s">
        <v>221</v>
      </c>
      <c r="E96" s="33"/>
      <c r="F96" s="33">
        <v>0.05</v>
      </c>
      <c r="G96" s="33">
        <v>4070.89</v>
      </c>
      <c r="H96" s="90"/>
      <c r="I96" s="47">
        <v>0</v>
      </c>
    </row>
    <row r="97" spans="1:9" ht="30">
      <c r="A97" s="29">
        <v>27</v>
      </c>
      <c r="B97" s="48" t="s">
        <v>150</v>
      </c>
      <c r="C97" s="91" t="s">
        <v>83</v>
      </c>
      <c r="D97" s="93" t="s">
        <v>291</v>
      </c>
      <c r="E97" s="33"/>
      <c r="F97" s="33">
        <v>11</v>
      </c>
      <c r="G97" s="33">
        <v>222.63</v>
      </c>
      <c r="H97" s="90"/>
      <c r="I97" s="47">
        <f>G97*1</f>
        <v>222.63</v>
      </c>
    </row>
    <row r="98" spans="1:9" ht="18" customHeight="1">
      <c r="A98" s="29"/>
      <c r="B98" s="40" t="s">
        <v>51</v>
      </c>
      <c r="C98" s="36"/>
      <c r="D98" s="44"/>
      <c r="E98" s="36">
        <v>1</v>
      </c>
      <c r="F98" s="36"/>
      <c r="G98" s="36"/>
      <c r="H98" s="36"/>
      <c r="I98" s="31">
        <f>SUM(I91:I97)</f>
        <v>5985.22</v>
      </c>
    </row>
    <row r="99" spans="1:9">
      <c r="A99" s="29"/>
      <c r="B99" s="42" t="s">
        <v>78</v>
      </c>
      <c r="C99" s="15"/>
      <c r="D99" s="15"/>
      <c r="E99" s="37"/>
      <c r="F99" s="37"/>
      <c r="G99" s="38"/>
      <c r="H99" s="38"/>
      <c r="I99" s="17">
        <v>0</v>
      </c>
    </row>
    <row r="100" spans="1:9">
      <c r="A100" s="45"/>
      <c r="B100" s="41" t="s">
        <v>173</v>
      </c>
      <c r="C100" s="32"/>
      <c r="D100" s="32"/>
      <c r="E100" s="32"/>
      <c r="F100" s="32"/>
      <c r="G100" s="32"/>
      <c r="H100" s="32"/>
      <c r="I100" s="39">
        <f>I98+I89</f>
        <v>284502.5578594</v>
      </c>
    </row>
    <row r="101" spans="1:9" ht="15.75">
      <c r="A101" s="240" t="s">
        <v>361</v>
      </c>
      <c r="B101" s="240"/>
      <c r="C101" s="240"/>
      <c r="D101" s="240"/>
      <c r="E101" s="240"/>
      <c r="F101" s="240"/>
      <c r="G101" s="240"/>
      <c r="H101" s="240"/>
      <c r="I101" s="240"/>
    </row>
    <row r="102" spans="1:9" ht="15.75">
      <c r="A102" s="56"/>
      <c r="B102" s="241" t="s">
        <v>362</v>
      </c>
      <c r="C102" s="241"/>
      <c r="D102" s="241"/>
      <c r="E102" s="241"/>
      <c r="F102" s="241"/>
      <c r="G102" s="241"/>
      <c r="H102" s="61"/>
      <c r="I102" s="3"/>
    </row>
    <row r="103" spans="1:9">
      <c r="A103" s="142"/>
      <c r="B103" s="228" t="s">
        <v>6</v>
      </c>
      <c r="C103" s="228"/>
      <c r="D103" s="228"/>
      <c r="E103" s="228"/>
      <c r="F103" s="228"/>
      <c r="G103" s="228"/>
      <c r="H103" s="24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242" t="s">
        <v>7</v>
      </c>
      <c r="B105" s="242"/>
      <c r="C105" s="242"/>
      <c r="D105" s="242"/>
      <c r="E105" s="242"/>
      <c r="F105" s="242"/>
      <c r="G105" s="242"/>
      <c r="H105" s="242"/>
      <c r="I105" s="242"/>
    </row>
    <row r="106" spans="1:9" ht="15.75">
      <c r="A106" s="242" t="s">
        <v>8</v>
      </c>
      <c r="B106" s="242"/>
      <c r="C106" s="242"/>
      <c r="D106" s="242"/>
      <c r="E106" s="242"/>
      <c r="F106" s="242"/>
      <c r="G106" s="242"/>
      <c r="H106" s="242"/>
      <c r="I106" s="242"/>
    </row>
    <row r="107" spans="1:9" ht="15.75">
      <c r="A107" s="232" t="s">
        <v>60</v>
      </c>
      <c r="B107" s="232"/>
      <c r="C107" s="232"/>
      <c r="D107" s="232"/>
      <c r="E107" s="232"/>
      <c r="F107" s="232"/>
      <c r="G107" s="232"/>
      <c r="H107" s="232"/>
      <c r="I107" s="232"/>
    </row>
    <row r="108" spans="1:9" ht="15.75">
      <c r="A108" s="11"/>
    </row>
    <row r="109" spans="1:9" ht="15.75">
      <c r="A109" s="226" t="s">
        <v>9</v>
      </c>
      <c r="B109" s="226"/>
      <c r="C109" s="226"/>
      <c r="D109" s="226"/>
      <c r="E109" s="226"/>
      <c r="F109" s="226"/>
      <c r="G109" s="226"/>
      <c r="H109" s="226"/>
      <c r="I109" s="226"/>
    </row>
    <row r="110" spans="1:9" ht="15.75">
      <c r="A110" s="4"/>
    </row>
    <row r="111" spans="1:9" ht="15.75">
      <c r="B111" s="143" t="s">
        <v>10</v>
      </c>
      <c r="C111" s="227" t="s">
        <v>88</v>
      </c>
      <c r="D111" s="227"/>
      <c r="E111" s="227"/>
      <c r="F111" s="59"/>
      <c r="I111" s="141"/>
    </row>
    <row r="112" spans="1:9">
      <c r="A112" s="142"/>
      <c r="C112" s="228" t="s">
        <v>11</v>
      </c>
      <c r="D112" s="228"/>
      <c r="E112" s="228"/>
      <c r="F112" s="24"/>
      <c r="I112" s="140" t="s">
        <v>12</v>
      </c>
    </row>
    <row r="113" spans="1:9" ht="15.75">
      <c r="A113" s="25"/>
      <c r="C113" s="12"/>
      <c r="D113" s="12"/>
      <c r="G113" s="12"/>
      <c r="H113" s="12"/>
    </row>
    <row r="114" spans="1:9" ht="15.75">
      <c r="B114" s="143" t="s">
        <v>13</v>
      </c>
      <c r="C114" s="229"/>
      <c r="D114" s="229"/>
      <c r="E114" s="229"/>
      <c r="F114" s="60"/>
      <c r="I114" s="141"/>
    </row>
    <row r="115" spans="1:9">
      <c r="A115" s="142"/>
      <c r="C115" s="230" t="s">
        <v>11</v>
      </c>
      <c r="D115" s="230"/>
      <c r="E115" s="230"/>
      <c r="F115" s="142"/>
      <c r="I115" s="140" t="s">
        <v>12</v>
      </c>
    </row>
    <row r="116" spans="1:9" ht="15.75">
      <c r="A116" s="4" t="s">
        <v>14</v>
      </c>
    </row>
    <row r="117" spans="1:9">
      <c r="A117" s="231" t="s">
        <v>15</v>
      </c>
      <c r="B117" s="231"/>
      <c r="C117" s="231"/>
      <c r="D117" s="231"/>
      <c r="E117" s="231"/>
      <c r="F117" s="231"/>
      <c r="G117" s="231"/>
      <c r="H117" s="231"/>
      <c r="I117" s="231"/>
    </row>
    <row r="118" spans="1:9" ht="47.25" customHeight="1">
      <c r="A118" s="225" t="s">
        <v>16</v>
      </c>
      <c r="B118" s="225"/>
      <c r="C118" s="225"/>
      <c r="D118" s="225"/>
      <c r="E118" s="225"/>
      <c r="F118" s="225"/>
      <c r="G118" s="225"/>
      <c r="H118" s="225"/>
      <c r="I118" s="225"/>
    </row>
    <row r="119" spans="1:9" ht="35.25" customHeight="1">
      <c r="A119" s="225" t="s">
        <v>17</v>
      </c>
      <c r="B119" s="225"/>
      <c r="C119" s="225"/>
      <c r="D119" s="225"/>
      <c r="E119" s="225"/>
      <c r="F119" s="225"/>
      <c r="G119" s="225"/>
      <c r="H119" s="225"/>
      <c r="I119" s="225"/>
    </row>
    <row r="120" spans="1:9" ht="28.5" customHeight="1">
      <c r="A120" s="225" t="s">
        <v>21</v>
      </c>
      <c r="B120" s="225"/>
      <c r="C120" s="225"/>
      <c r="D120" s="225"/>
      <c r="E120" s="225"/>
      <c r="F120" s="225"/>
      <c r="G120" s="225"/>
      <c r="H120" s="225"/>
      <c r="I120" s="225"/>
    </row>
    <row r="121" spans="1:9" ht="15.75">
      <c r="A121" s="225" t="s">
        <v>20</v>
      </c>
      <c r="B121" s="225"/>
      <c r="C121" s="225"/>
      <c r="D121" s="225"/>
      <c r="E121" s="225"/>
      <c r="F121" s="225"/>
      <c r="G121" s="225"/>
      <c r="H121" s="225"/>
      <c r="I121" s="225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7:I27"/>
    <mergeCell ref="A44:I44"/>
    <mergeCell ref="A54:I54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topLeftCell="A89" workbookViewId="0">
      <selection activeCell="J103" sqref="J103"/>
    </sheetView>
  </sheetViews>
  <sheetFormatPr defaultRowHeight="15"/>
  <cols>
    <col min="1" max="1" width="12" customWidth="1"/>
    <col min="2" max="2" width="46.85546875" customWidth="1"/>
    <col min="3" max="3" width="18" customWidth="1"/>
    <col min="4" max="4" width="17.85546875" customWidth="1"/>
    <col min="5" max="6" width="0" hidden="1" customWidth="1"/>
    <col min="7" max="7" width="15.85546875" customWidth="1"/>
    <col min="8" max="8" width="0" hidden="1" customWidth="1"/>
    <col min="9" max="9" width="18.285156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199</v>
      </c>
      <c r="B3" s="246"/>
      <c r="C3" s="246"/>
      <c r="D3" s="246"/>
      <c r="E3" s="246"/>
      <c r="F3" s="246"/>
      <c r="G3" s="246"/>
      <c r="H3" s="246"/>
      <c r="I3" s="246"/>
    </row>
    <row r="4" spans="1:9" ht="33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292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52"/>
      <c r="C6" s="152"/>
      <c r="D6" s="152"/>
      <c r="E6" s="152"/>
      <c r="F6" s="152"/>
      <c r="G6" s="152"/>
      <c r="H6" s="152"/>
      <c r="I6" s="139">
        <v>44074</v>
      </c>
    </row>
    <row r="7" spans="1:9" ht="15.75">
      <c r="B7" s="150"/>
      <c r="C7" s="150"/>
      <c r="D7" s="150"/>
      <c r="E7" s="3"/>
      <c r="F7" s="3"/>
      <c r="G7" s="3"/>
      <c r="H7" s="3"/>
    </row>
    <row r="8" spans="1:9" ht="81" customHeight="1">
      <c r="A8" s="249" t="s">
        <v>224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0.7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20.25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9.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8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v>0</v>
      </c>
    </row>
    <row r="20" spans="1:9" hidden="1">
      <c r="A20" s="29">
        <v>5</v>
      </c>
      <c r="B20" s="66" t="s">
        <v>97</v>
      </c>
      <c r="C20" s="67" t="s">
        <v>104</v>
      </c>
      <c r="D20" s="66" t="s">
        <v>41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idden="1">
      <c r="A21" s="29">
        <v>6</v>
      </c>
      <c r="B21" s="66" t="s">
        <v>98</v>
      </c>
      <c r="C21" s="67" t="s">
        <v>104</v>
      </c>
      <c r="D21" s="77" t="s">
        <v>41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v>0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v>0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v>0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v>0</v>
      </c>
    </row>
    <row r="26" spans="1:9" ht="16.5" customHeight="1">
      <c r="A26" s="29">
        <v>4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5" customHeight="1">
      <c r="A29" s="29">
        <v>5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45" customHeight="1">
      <c r="A30" s="29">
        <v>6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8" customHeight="1">
      <c r="A32" s="29">
        <v>7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129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116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117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6" t="s">
        <v>94</v>
      </c>
      <c r="C39" s="67" t="s">
        <v>133</v>
      </c>
      <c r="D39" s="66" t="s">
        <v>176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82</v>
      </c>
      <c r="C40" s="67" t="s">
        <v>112</v>
      </c>
      <c r="D40" s="66" t="s">
        <v>134</v>
      </c>
      <c r="E40" s="69">
        <v>40.6</v>
      </c>
      <c r="F40" s="69">
        <f>SUM(E40*35/1000)</f>
        <v>1.421</v>
      </c>
      <c r="G40" s="69">
        <v>7915.6</v>
      </c>
      <c r="H40" s="70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6" t="s">
        <v>118</v>
      </c>
      <c r="C41" s="67" t="s">
        <v>112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177</v>
      </c>
      <c r="C43" s="62" t="s">
        <v>29</v>
      </c>
      <c r="D43" s="66" t="s">
        <v>178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1"/>
        <v>1.3638744000000003E-2</v>
      </c>
      <c r="I43" s="13">
        <f t="shared" si="2"/>
        <v>2.2731240000000006</v>
      </c>
    </row>
    <row r="44" spans="1:9">
      <c r="A44" s="252" t="s">
        <v>190</v>
      </c>
      <c r="B44" s="253"/>
      <c r="C44" s="253"/>
      <c r="D44" s="253"/>
      <c r="E44" s="253"/>
      <c r="F44" s="253"/>
      <c r="G44" s="253"/>
      <c r="H44" s="253"/>
      <c r="I44" s="254"/>
    </row>
    <row r="45" spans="1:9" hidden="1">
      <c r="A45" s="29">
        <v>18</v>
      </c>
      <c r="B45" s="66" t="s">
        <v>119</v>
      </c>
      <c r="C45" s="67" t="s">
        <v>112</v>
      </c>
      <c r="D45" s="66" t="s">
        <v>41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3">SUM(F45*G45/1000)</f>
        <v>3.71618264</v>
      </c>
      <c r="I45" s="13">
        <f>F45/2*G45</f>
        <v>1858.09132</v>
      </c>
    </row>
    <row r="46" spans="1:9" hidden="1">
      <c r="A46" s="29">
        <v>19</v>
      </c>
      <c r="B46" s="66" t="s">
        <v>34</v>
      </c>
      <c r="C46" s="67" t="s">
        <v>112</v>
      </c>
      <c r="D46" s="66" t="s">
        <v>41</v>
      </c>
      <c r="E46" s="68">
        <v>65</v>
      </c>
      <c r="F46" s="69">
        <f>SUM(E46*2/1000)</f>
        <v>0.13</v>
      </c>
      <c r="G46" s="13">
        <v>790.38</v>
      </c>
      <c r="H46" s="70">
        <f t="shared" si="3"/>
        <v>0.1027494</v>
      </c>
      <c r="I46" s="13">
        <f>F46/2*G46</f>
        <v>51.374700000000004</v>
      </c>
    </row>
    <row r="47" spans="1:9" hidden="1">
      <c r="A47" s="29">
        <v>20</v>
      </c>
      <c r="B47" s="66" t="s">
        <v>35</v>
      </c>
      <c r="C47" s="67" t="s">
        <v>112</v>
      </c>
      <c r="D47" s="66" t="s">
        <v>41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3"/>
        <v>2.8861516079999996</v>
      </c>
      <c r="I47" s="13">
        <f t="shared" ref="I47:I52" si="4">F47/2*G47</f>
        <v>1443.0758039999998</v>
      </c>
    </row>
    <row r="48" spans="1:9" hidden="1">
      <c r="A48" s="29">
        <v>21</v>
      </c>
      <c r="B48" s="66" t="s">
        <v>36</v>
      </c>
      <c r="C48" s="67" t="s">
        <v>112</v>
      </c>
      <c r="D48" s="66" t="s">
        <v>41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3"/>
        <v>5.2373029879999997</v>
      </c>
      <c r="I48" s="13">
        <f t="shared" si="4"/>
        <v>2618.6514939999997</v>
      </c>
    </row>
    <row r="49" spans="1:9" hidden="1">
      <c r="A49" s="29">
        <v>22</v>
      </c>
      <c r="B49" s="66" t="s">
        <v>55</v>
      </c>
      <c r="C49" s="67" t="s">
        <v>112</v>
      </c>
      <c r="D49" s="66" t="s">
        <v>167</v>
      </c>
      <c r="E49" s="68">
        <v>5816.5</v>
      </c>
      <c r="F49" s="69">
        <f>SUM(E49*5/1000)</f>
        <v>29.0825</v>
      </c>
      <c r="G49" s="13">
        <v>1655.27</v>
      </c>
      <c r="H49" s="70">
        <f t="shared" si="3"/>
        <v>48.139389774999998</v>
      </c>
      <c r="I49" s="13">
        <f>F49/5*G49</f>
        <v>9627.8779549999999</v>
      </c>
    </row>
    <row r="50" spans="1:9" ht="45" hidden="1">
      <c r="A50" s="29">
        <v>13</v>
      </c>
      <c r="B50" s="66" t="s">
        <v>120</v>
      </c>
      <c r="C50" s="67" t="s">
        <v>112</v>
      </c>
      <c r="D50" s="66" t="s">
        <v>41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3"/>
        <v>19.255755910000001</v>
      </c>
      <c r="I50" s="13">
        <f t="shared" si="4"/>
        <v>9627.8779549999999</v>
      </c>
    </row>
    <row r="51" spans="1:9" ht="30" hidden="1">
      <c r="A51" s="29">
        <v>14</v>
      </c>
      <c r="B51" s="66" t="s">
        <v>121</v>
      </c>
      <c r="C51" s="67" t="s">
        <v>37</v>
      </c>
      <c r="D51" s="66" t="s">
        <v>41</v>
      </c>
      <c r="E51" s="68">
        <v>25</v>
      </c>
      <c r="F51" s="69">
        <f>SUM(E51*2/100)</f>
        <v>0.5</v>
      </c>
      <c r="G51" s="13">
        <v>3724.37</v>
      </c>
      <c r="H51" s="70">
        <f t="shared" si="3"/>
        <v>1.862185</v>
      </c>
      <c r="I51" s="13">
        <f t="shared" si="4"/>
        <v>931.09249999999997</v>
      </c>
    </row>
    <row r="52" spans="1:9" hidden="1">
      <c r="A52" s="29">
        <v>15</v>
      </c>
      <c r="B52" s="66" t="s">
        <v>38</v>
      </c>
      <c r="C52" s="67" t="s">
        <v>39</v>
      </c>
      <c r="D52" s="66" t="s">
        <v>41</v>
      </c>
      <c r="E52" s="68">
        <v>1</v>
      </c>
      <c r="F52" s="69">
        <v>0.02</v>
      </c>
      <c r="G52" s="13">
        <v>7709.44</v>
      </c>
      <c r="H52" s="70">
        <f t="shared" si="3"/>
        <v>0.15418879999999999</v>
      </c>
      <c r="I52" s="13">
        <f t="shared" si="4"/>
        <v>77.094399999999993</v>
      </c>
    </row>
    <row r="53" spans="1:9">
      <c r="A53" s="29">
        <v>8</v>
      </c>
      <c r="B53" s="66" t="s">
        <v>40</v>
      </c>
      <c r="C53" s="67" t="s">
        <v>30</v>
      </c>
      <c r="D53" s="217">
        <v>44064</v>
      </c>
      <c r="E53" s="68">
        <v>198</v>
      </c>
      <c r="F53" s="69">
        <f>SUM(E53)*3</f>
        <v>594</v>
      </c>
      <c r="G53" s="13">
        <v>89.59</v>
      </c>
      <c r="H53" s="70">
        <f t="shared" si="3"/>
        <v>53.216459999999998</v>
      </c>
      <c r="I53" s="13">
        <f>F53/3*G53</f>
        <v>17738.82</v>
      </c>
    </row>
    <row r="54" spans="1:9">
      <c r="A54" s="234" t="s">
        <v>170</v>
      </c>
      <c r="B54" s="235"/>
      <c r="C54" s="235"/>
      <c r="D54" s="235"/>
      <c r="E54" s="235"/>
      <c r="F54" s="235"/>
      <c r="G54" s="235"/>
      <c r="H54" s="235"/>
      <c r="I54" s="236"/>
    </row>
    <row r="55" spans="1:9" hidden="1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123</v>
      </c>
      <c r="C56" s="67" t="s">
        <v>104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179</v>
      </c>
      <c r="C57" s="67" t="s">
        <v>104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99</v>
      </c>
      <c r="C58" s="67" t="s">
        <v>100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idden="1">
      <c r="A59" s="29">
        <v>9</v>
      </c>
      <c r="B59" s="77" t="s">
        <v>180</v>
      </c>
      <c r="C59" s="81" t="s">
        <v>32</v>
      </c>
      <c r="D59" s="77" t="s">
        <v>225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f>G59*1.5</f>
        <v>2467.5</v>
      </c>
    </row>
    <row r="60" spans="1:9" ht="18.7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4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4">
        <v>0</v>
      </c>
    </row>
    <row r="62" spans="1:9" ht="17.25" customHeight="1">
      <c r="A62" s="29">
        <v>9</v>
      </c>
      <c r="B62" s="77" t="s">
        <v>95</v>
      </c>
      <c r="C62" s="81" t="s">
        <v>25</v>
      </c>
      <c r="D62" s="66"/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>
      <c r="A63" s="29"/>
      <c r="B63" s="88" t="s">
        <v>45</v>
      </c>
      <c r="C63" s="81"/>
      <c r="D63" s="121"/>
      <c r="E63" s="71"/>
      <c r="F63" s="116"/>
      <c r="G63" s="116"/>
      <c r="H63" s="122" t="s">
        <v>129</v>
      </c>
      <c r="I63" s="123"/>
    </row>
    <row r="64" spans="1:9" ht="18" customHeight="1">
      <c r="A64" s="29">
        <v>10</v>
      </c>
      <c r="B64" s="14" t="s">
        <v>46</v>
      </c>
      <c r="C64" s="16" t="s">
        <v>122</v>
      </c>
      <c r="D64" s="14" t="s">
        <v>308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5">SUM(F64*G64/1000)</f>
        <v>4.2469000000000001</v>
      </c>
      <c r="I64" s="13">
        <f>G64*4</f>
        <v>1213.4000000000001</v>
      </c>
    </row>
    <row r="65" spans="1:9" ht="14.25" hidden="1" customHeight="1">
      <c r="A65" s="29"/>
      <c r="B65" s="14" t="s">
        <v>47</v>
      </c>
      <c r="C65" s="16" t="s">
        <v>122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5"/>
        <v>0.72806999999999999</v>
      </c>
      <c r="I65" s="13">
        <v>0</v>
      </c>
    </row>
    <row r="66" spans="1:9" ht="21" hidden="1" customHeight="1">
      <c r="A66" s="29">
        <v>24</v>
      </c>
      <c r="B66" s="14" t="s">
        <v>48</v>
      </c>
      <c r="C66" s="16" t="s">
        <v>124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5"/>
        <v>68.893209600000006</v>
      </c>
      <c r="I66" s="13">
        <f t="shared" ref="I66:I71" si="6">F66*G66</f>
        <v>68893.209600000002</v>
      </c>
    </row>
    <row r="67" spans="1:9" ht="21" hidden="1" customHeight="1">
      <c r="A67" s="29">
        <v>25</v>
      </c>
      <c r="B67" s="14" t="s">
        <v>49</v>
      </c>
      <c r="C67" s="16" t="s">
        <v>125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5"/>
        <v>5.3651327999999996</v>
      </c>
      <c r="I67" s="13">
        <f t="shared" si="6"/>
        <v>5365.1327999999994</v>
      </c>
    </row>
    <row r="68" spans="1:9" ht="22.5" hidden="1" customHeight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5"/>
        <v>107.81461800000001</v>
      </c>
      <c r="I68" s="13">
        <f t="shared" si="6"/>
        <v>107814.61800000002</v>
      </c>
    </row>
    <row r="69" spans="1:9" ht="21.75" hidden="1" customHeight="1">
      <c r="A69" s="29">
        <v>27</v>
      </c>
      <c r="B69" s="83" t="s">
        <v>126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5"/>
        <v>0.56716800000000001</v>
      </c>
      <c r="I69" s="13">
        <f t="shared" si="6"/>
        <v>567.16800000000001</v>
      </c>
    </row>
    <row r="70" spans="1:9" ht="21" hidden="1" customHeight="1">
      <c r="A70" s="29">
        <v>28</v>
      </c>
      <c r="B70" s="83" t="s">
        <v>135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5"/>
        <v>0.61171200000000003</v>
      </c>
      <c r="I70" s="13">
        <f t="shared" si="6"/>
        <v>611.71199999999999</v>
      </c>
    </row>
    <row r="71" spans="1:9" ht="22.5" hidden="1" customHeight="1">
      <c r="A71" s="29"/>
      <c r="B71" s="14" t="s">
        <v>56</v>
      </c>
      <c r="C71" s="16" t="s">
        <v>57</v>
      </c>
      <c r="D71" s="14" t="s">
        <v>53</v>
      </c>
      <c r="E71" s="18">
        <v>6</v>
      </c>
      <c r="F71" s="69">
        <f>SUM(E71)</f>
        <v>6</v>
      </c>
      <c r="G71" s="13">
        <v>68.040000000000006</v>
      </c>
      <c r="H71" s="63">
        <f t="shared" si="5"/>
        <v>0.40823999999999999</v>
      </c>
      <c r="I71" s="13">
        <f t="shared" si="6"/>
        <v>408.24</v>
      </c>
    </row>
    <row r="72" spans="1:9" ht="30.75" customHeight="1">
      <c r="A72" s="29">
        <v>11</v>
      </c>
      <c r="B72" s="83" t="s">
        <v>181</v>
      </c>
      <c r="C72" s="16"/>
      <c r="D72" s="14" t="s">
        <v>222</v>
      </c>
      <c r="E72" s="18">
        <v>1</v>
      </c>
      <c r="F72" s="13">
        <v>12</v>
      </c>
      <c r="G72" s="13">
        <v>1194</v>
      </c>
      <c r="H72" s="63">
        <f t="shared" si="5"/>
        <v>14.327999999999999</v>
      </c>
      <c r="I72" s="13">
        <f>F72/12*G72</f>
        <v>1194</v>
      </c>
    </row>
    <row r="73" spans="1:9" ht="15" customHeight="1">
      <c r="A73" s="29"/>
      <c r="B73" s="153" t="s">
        <v>182</v>
      </c>
      <c r="C73" s="16"/>
      <c r="D73" s="14"/>
      <c r="E73" s="18"/>
      <c r="F73" s="57"/>
      <c r="G73" s="13"/>
      <c r="H73" s="63"/>
      <c r="I73" s="13"/>
    </row>
    <row r="74" spans="1:9" ht="28.5" customHeight="1">
      <c r="A74" s="29">
        <v>12</v>
      </c>
      <c r="B74" s="14" t="s">
        <v>183</v>
      </c>
      <c r="C74" s="29" t="s">
        <v>184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30.75" customHeight="1">
      <c r="A75" s="29">
        <v>13</v>
      </c>
      <c r="B75" s="46" t="s">
        <v>185</v>
      </c>
      <c r="C75" s="62" t="s">
        <v>122</v>
      </c>
      <c r="D75" s="14" t="s">
        <v>222</v>
      </c>
      <c r="E75" s="118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t="36" hidden="1" customHeight="1">
      <c r="A76" s="110"/>
      <c r="B76" s="153" t="s">
        <v>72</v>
      </c>
      <c r="C76" s="16"/>
      <c r="D76" s="14"/>
      <c r="E76" s="18"/>
      <c r="F76" s="13"/>
      <c r="G76" s="13"/>
      <c r="H76" s="63" t="s">
        <v>129</v>
      </c>
      <c r="I76" s="111"/>
    </row>
    <row r="77" spans="1:9" ht="30" hidden="1">
      <c r="A77" s="110"/>
      <c r="B77" s="14" t="s">
        <v>186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1">
        <v>0</v>
      </c>
    </row>
    <row r="78" spans="1:9" hidden="1">
      <c r="A78" s="110"/>
      <c r="B78" s="46" t="s">
        <v>187</v>
      </c>
      <c r="C78" s="62" t="s">
        <v>122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1">
        <v>0</v>
      </c>
    </row>
    <row r="79" spans="1:9" hidden="1">
      <c r="A79" s="110"/>
      <c r="B79" s="14" t="s">
        <v>73</v>
      </c>
      <c r="C79" s="16" t="s">
        <v>188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1">
        <v>0</v>
      </c>
    </row>
    <row r="80" spans="1:9" hidden="1">
      <c r="A80" s="110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1">
        <v>0</v>
      </c>
    </row>
    <row r="81" spans="1:9" hidden="1">
      <c r="A81" s="110"/>
      <c r="B81" s="46" t="s">
        <v>189</v>
      </c>
      <c r="C81" s="62" t="s">
        <v>122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1">
        <v>0</v>
      </c>
    </row>
    <row r="82" spans="1:9" hidden="1">
      <c r="A82" s="110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11"/>
    </row>
    <row r="83" spans="1:9" hidden="1">
      <c r="A83" s="110"/>
      <c r="B83" s="42" t="s">
        <v>130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5"/>
        <v>2.4865679999999997</v>
      </c>
      <c r="I83" s="111">
        <v>0</v>
      </c>
    </row>
    <row r="84" spans="1:9" ht="28.5" hidden="1">
      <c r="A84" s="110"/>
      <c r="B84" s="153" t="s">
        <v>127</v>
      </c>
      <c r="C84" s="84"/>
      <c r="D84" s="117"/>
      <c r="E84" s="31"/>
      <c r="F84" s="119"/>
      <c r="G84" s="119"/>
      <c r="H84" s="120">
        <f>SUM(H56:H83)</f>
        <v>411.53215745600005</v>
      </c>
      <c r="I84" s="111"/>
    </row>
    <row r="85" spans="1:9" hidden="1">
      <c r="A85" s="110"/>
      <c r="B85" s="66" t="s">
        <v>128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1">
        <v>0</v>
      </c>
    </row>
    <row r="86" spans="1:9">
      <c r="A86" s="243" t="s">
        <v>171</v>
      </c>
      <c r="B86" s="244"/>
      <c r="C86" s="244"/>
      <c r="D86" s="244"/>
      <c r="E86" s="244"/>
      <c r="F86" s="244"/>
      <c r="G86" s="244"/>
      <c r="H86" s="244"/>
      <c r="I86" s="245"/>
    </row>
    <row r="87" spans="1:9" ht="13.5" customHeight="1">
      <c r="A87" s="110">
        <v>14</v>
      </c>
      <c r="B87" s="66" t="s">
        <v>131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1.5" customHeight="1">
      <c r="A88" s="29">
        <v>15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51"/>
      <c r="B89" s="34" t="s">
        <v>79</v>
      </c>
      <c r="C89" s="35"/>
      <c r="D89" s="15"/>
      <c r="E89" s="15"/>
      <c r="F89" s="15"/>
      <c r="G89" s="18"/>
      <c r="H89" s="18"/>
      <c r="I89" s="31">
        <f>I88+I87+I75+I74+I72+I62+I53+I32+I30+I29+I26+I18+I17+I16+I64</f>
        <v>112799.06045939999</v>
      </c>
    </row>
    <row r="90" spans="1:9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9" ht="30">
      <c r="A91" s="29">
        <v>16</v>
      </c>
      <c r="B91" s="48" t="s">
        <v>160</v>
      </c>
      <c r="C91" s="91" t="s">
        <v>103</v>
      </c>
      <c r="D91" s="92" t="s">
        <v>293</v>
      </c>
      <c r="E91" s="33"/>
      <c r="F91" s="33">
        <v>1</v>
      </c>
      <c r="G91" s="33">
        <v>61.58</v>
      </c>
      <c r="H91" s="90">
        <f>G91*F91/1000</f>
        <v>6.1579999999999996E-2</v>
      </c>
      <c r="I91" s="47">
        <v>0</v>
      </c>
    </row>
    <row r="92" spans="1:9">
      <c r="A92" s="29">
        <v>17</v>
      </c>
      <c r="B92" s="48" t="s">
        <v>174</v>
      </c>
      <c r="C92" s="91" t="s">
        <v>193</v>
      </c>
      <c r="D92" s="92" t="s">
        <v>363</v>
      </c>
      <c r="E92" s="33"/>
      <c r="F92" s="33">
        <v>47</v>
      </c>
      <c r="G92" s="33">
        <v>284</v>
      </c>
      <c r="H92" s="90"/>
      <c r="I92" s="47">
        <v>0</v>
      </c>
    </row>
    <row r="93" spans="1:9" ht="30">
      <c r="A93" s="29">
        <v>18</v>
      </c>
      <c r="B93" s="48" t="s">
        <v>210</v>
      </c>
      <c r="C93" s="91" t="s">
        <v>37</v>
      </c>
      <c r="D93" s="92" t="s">
        <v>227</v>
      </c>
      <c r="E93" s="33"/>
      <c r="F93" s="33">
        <v>7.0000000000000007E-2</v>
      </c>
      <c r="G93" s="33">
        <v>4070.89</v>
      </c>
      <c r="H93" s="90"/>
      <c r="I93" s="47">
        <v>0</v>
      </c>
    </row>
    <row r="94" spans="1:9">
      <c r="A94" s="29">
        <v>19</v>
      </c>
      <c r="B94" s="48" t="s">
        <v>150</v>
      </c>
      <c r="C94" s="91" t="s">
        <v>83</v>
      </c>
      <c r="D94" s="92" t="s">
        <v>294</v>
      </c>
      <c r="E94" s="33"/>
      <c r="F94" s="33">
        <v>12</v>
      </c>
      <c r="G94" s="33">
        <v>222.63</v>
      </c>
      <c r="H94" s="90"/>
      <c r="I94" s="47">
        <f>G94*2</f>
        <v>445.26</v>
      </c>
    </row>
    <row r="95" spans="1:9">
      <c r="A95" s="29">
        <v>20</v>
      </c>
      <c r="B95" s="48" t="s">
        <v>364</v>
      </c>
      <c r="C95" s="91" t="s">
        <v>258</v>
      </c>
      <c r="D95" s="92" t="s">
        <v>295</v>
      </c>
      <c r="E95" s="33"/>
      <c r="F95" s="33">
        <v>0.1</v>
      </c>
      <c r="G95" s="33">
        <v>1599.93</v>
      </c>
      <c r="H95" s="90"/>
      <c r="I95" s="47">
        <f>G95*0.1</f>
        <v>159.99300000000002</v>
      </c>
    </row>
    <row r="96" spans="1:9" ht="19.5" customHeight="1">
      <c r="A96" s="29"/>
      <c r="B96" s="40" t="s">
        <v>51</v>
      </c>
      <c r="C96" s="36"/>
      <c r="D96" s="44"/>
      <c r="E96" s="36">
        <v>1</v>
      </c>
      <c r="F96" s="36"/>
      <c r="G96" s="36"/>
      <c r="H96" s="36"/>
      <c r="I96" s="31">
        <f>SUM(I91:I95)</f>
        <v>605.25300000000004</v>
      </c>
    </row>
    <row r="97" spans="1:9">
      <c r="A97" s="29"/>
      <c r="B97" s="42" t="s">
        <v>78</v>
      </c>
      <c r="C97" s="15"/>
      <c r="D97" s="15"/>
      <c r="E97" s="37"/>
      <c r="F97" s="37"/>
      <c r="G97" s="38"/>
      <c r="H97" s="38"/>
      <c r="I97" s="17">
        <v>0</v>
      </c>
    </row>
    <row r="98" spans="1:9">
      <c r="A98" s="45"/>
      <c r="B98" s="41" t="s">
        <v>173</v>
      </c>
      <c r="C98" s="32"/>
      <c r="D98" s="32"/>
      <c r="E98" s="32"/>
      <c r="F98" s="32"/>
      <c r="G98" s="32"/>
      <c r="H98" s="32"/>
      <c r="I98" s="39">
        <f>I96+I89</f>
        <v>113404.31345939999</v>
      </c>
    </row>
    <row r="99" spans="1:9" ht="15.75">
      <c r="A99" s="240" t="s">
        <v>365</v>
      </c>
      <c r="B99" s="240"/>
      <c r="C99" s="240"/>
      <c r="D99" s="240"/>
      <c r="E99" s="240"/>
      <c r="F99" s="240"/>
      <c r="G99" s="240"/>
      <c r="H99" s="240"/>
      <c r="I99" s="240"/>
    </row>
    <row r="100" spans="1:9" ht="15.75">
      <c r="A100" s="56"/>
      <c r="B100" s="241" t="s">
        <v>366</v>
      </c>
      <c r="C100" s="241"/>
      <c r="D100" s="241"/>
      <c r="E100" s="241"/>
      <c r="F100" s="241"/>
      <c r="G100" s="241"/>
      <c r="H100" s="61"/>
      <c r="I100" s="3"/>
    </row>
    <row r="101" spans="1:9">
      <c r="A101" s="149"/>
      <c r="B101" s="228" t="s">
        <v>6</v>
      </c>
      <c r="C101" s="228"/>
      <c r="D101" s="228"/>
      <c r="E101" s="228"/>
      <c r="F101" s="228"/>
      <c r="G101" s="228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242" t="s">
        <v>7</v>
      </c>
      <c r="B103" s="242"/>
      <c r="C103" s="242"/>
      <c r="D103" s="242"/>
      <c r="E103" s="242"/>
      <c r="F103" s="242"/>
      <c r="G103" s="242"/>
      <c r="H103" s="242"/>
      <c r="I103" s="242"/>
    </row>
    <row r="104" spans="1:9" ht="15.75">
      <c r="A104" s="242" t="s">
        <v>8</v>
      </c>
      <c r="B104" s="242"/>
      <c r="C104" s="242"/>
      <c r="D104" s="242"/>
      <c r="E104" s="242"/>
      <c r="F104" s="242"/>
      <c r="G104" s="242"/>
      <c r="H104" s="242"/>
      <c r="I104" s="242"/>
    </row>
    <row r="105" spans="1:9" ht="15.75">
      <c r="A105" s="232" t="s">
        <v>60</v>
      </c>
      <c r="B105" s="232"/>
      <c r="C105" s="232"/>
      <c r="D105" s="232"/>
      <c r="E105" s="232"/>
      <c r="F105" s="232"/>
      <c r="G105" s="232"/>
      <c r="H105" s="232"/>
      <c r="I105" s="232"/>
    </row>
    <row r="106" spans="1:9" ht="15.75">
      <c r="A106" s="11"/>
    </row>
    <row r="107" spans="1:9" ht="15.75">
      <c r="A107" s="226" t="s">
        <v>9</v>
      </c>
      <c r="B107" s="226"/>
      <c r="C107" s="226"/>
      <c r="D107" s="226"/>
      <c r="E107" s="226"/>
      <c r="F107" s="226"/>
      <c r="G107" s="226"/>
      <c r="H107" s="226"/>
      <c r="I107" s="226"/>
    </row>
    <row r="108" spans="1:9" ht="15.75">
      <c r="A108" s="4"/>
    </row>
    <row r="109" spans="1:9" ht="15.75">
      <c r="B109" s="150" t="s">
        <v>10</v>
      </c>
      <c r="C109" s="227" t="s">
        <v>88</v>
      </c>
      <c r="D109" s="227"/>
      <c r="E109" s="227"/>
      <c r="F109" s="59"/>
      <c r="I109" s="148"/>
    </row>
    <row r="110" spans="1:9">
      <c r="A110" s="149"/>
      <c r="C110" s="228" t="s">
        <v>11</v>
      </c>
      <c r="D110" s="228"/>
      <c r="E110" s="228"/>
      <c r="F110" s="24"/>
      <c r="I110" s="147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50" t="s">
        <v>13</v>
      </c>
      <c r="C112" s="229"/>
      <c r="D112" s="229"/>
      <c r="E112" s="229"/>
      <c r="F112" s="60"/>
      <c r="I112" s="148"/>
    </row>
    <row r="113" spans="1:9">
      <c r="A113" s="149"/>
      <c r="C113" s="230" t="s">
        <v>11</v>
      </c>
      <c r="D113" s="230"/>
      <c r="E113" s="230"/>
      <c r="F113" s="149"/>
      <c r="I113" s="147" t="s">
        <v>12</v>
      </c>
    </row>
    <row r="114" spans="1:9" ht="15.75">
      <c r="A114" s="4" t="s">
        <v>14</v>
      </c>
    </row>
    <row r="115" spans="1:9">
      <c r="A115" s="231" t="s">
        <v>15</v>
      </c>
      <c r="B115" s="231"/>
      <c r="C115" s="231"/>
      <c r="D115" s="231"/>
      <c r="E115" s="231"/>
      <c r="F115" s="231"/>
      <c r="G115" s="231"/>
      <c r="H115" s="231"/>
      <c r="I115" s="231"/>
    </row>
    <row r="116" spans="1:9" ht="47.25" customHeight="1">
      <c r="A116" s="225" t="s">
        <v>16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ht="39.75" customHeight="1">
      <c r="A117" s="225" t="s">
        <v>17</v>
      </c>
      <c r="B117" s="225"/>
      <c r="C117" s="225"/>
      <c r="D117" s="225"/>
      <c r="E117" s="225"/>
      <c r="F117" s="225"/>
      <c r="G117" s="225"/>
      <c r="H117" s="225"/>
      <c r="I117" s="225"/>
    </row>
    <row r="118" spans="1:9" ht="37.5" customHeight="1">
      <c r="A118" s="225" t="s">
        <v>21</v>
      </c>
      <c r="B118" s="225"/>
      <c r="C118" s="225"/>
      <c r="D118" s="225"/>
      <c r="E118" s="225"/>
      <c r="F118" s="225"/>
      <c r="G118" s="225"/>
      <c r="H118" s="225"/>
      <c r="I118" s="225"/>
    </row>
    <row r="119" spans="1:9" ht="15.75">
      <c r="A119" s="225" t="s">
        <v>20</v>
      </c>
      <c r="B119" s="225"/>
      <c r="C119" s="225"/>
      <c r="D119" s="225"/>
      <c r="E119" s="225"/>
      <c r="F119" s="225"/>
      <c r="G119" s="225"/>
      <c r="H119" s="225"/>
      <c r="I119" s="225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7:I27"/>
    <mergeCell ref="A44:I44"/>
    <mergeCell ref="A54:I54"/>
    <mergeCell ref="A86:I86"/>
    <mergeCell ref="A90:I90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5"/>
  <sheetViews>
    <sheetView view="pageBreakPreview" topLeftCell="A72" zoomScale="60" workbookViewId="0">
      <selection activeCell="J108" sqref="J108"/>
    </sheetView>
  </sheetViews>
  <sheetFormatPr defaultRowHeight="15"/>
  <cols>
    <col min="1" max="1" width="14.42578125" customWidth="1"/>
    <col min="2" max="2" width="48.28515625" customWidth="1"/>
    <col min="3" max="3" width="18.28515625" customWidth="1"/>
    <col min="4" max="4" width="17.85546875" customWidth="1"/>
    <col min="5" max="5" width="0" hidden="1" customWidth="1"/>
    <col min="6" max="6" width="16.42578125" hidden="1" customWidth="1"/>
    <col min="7" max="7" width="17.28515625" customWidth="1"/>
    <col min="8" max="8" width="0" hidden="1" customWidth="1"/>
    <col min="9" max="9" width="16.5703125" customWidth="1"/>
  </cols>
  <sheetData>
    <row r="1" spans="1:9" ht="15.75">
      <c r="A1" s="27" t="s">
        <v>197</v>
      </c>
      <c r="I1" s="26"/>
    </row>
    <row r="2" spans="1:9" ht="15.75">
      <c r="A2" s="28" t="s">
        <v>61</v>
      </c>
    </row>
    <row r="3" spans="1:9" ht="15.75">
      <c r="A3" s="246" t="s">
        <v>200</v>
      </c>
      <c r="B3" s="246"/>
      <c r="C3" s="246"/>
      <c r="D3" s="246"/>
      <c r="E3" s="246"/>
      <c r="F3" s="246"/>
      <c r="G3" s="246"/>
      <c r="H3" s="246"/>
      <c r="I3" s="246"/>
    </row>
    <row r="4" spans="1:9" ht="36" customHeight="1">
      <c r="A4" s="247" t="s">
        <v>132</v>
      </c>
      <c r="B4" s="247"/>
      <c r="C4" s="247"/>
      <c r="D4" s="247"/>
      <c r="E4" s="247"/>
      <c r="F4" s="247"/>
      <c r="G4" s="247"/>
      <c r="H4" s="247"/>
      <c r="I4" s="247"/>
    </row>
    <row r="5" spans="1:9" ht="15.75">
      <c r="A5" s="246" t="s">
        <v>296</v>
      </c>
      <c r="B5" s="248"/>
      <c r="C5" s="248"/>
      <c r="D5" s="248"/>
      <c r="E5" s="248"/>
      <c r="F5" s="248"/>
      <c r="G5" s="248"/>
      <c r="H5" s="248"/>
      <c r="I5" s="248"/>
    </row>
    <row r="6" spans="1:9" ht="15.75">
      <c r="A6" s="2"/>
      <c r="B6" s="159"/>
      <c r="C6" s="159"/>
      <c r="D6" s="159"/>
      <c r="E6" s="159"/>
      <c r="F6" s="159"/>
      <c r="G6" s="159"/>
      <c r="H6" s="159"/>
      <c r="I6" s="139">
        <v>44104</v>
      </c>
    </row>
    <row r="7" spans="1:9" ht="15.75">
      <c r="B7" s="157"/>
      <c r="C7" s="157"/>
      <c r="D7" s="157"/>
      <c r="E7" s="3"/>
      <c r="F7" s="3"/>
      <c r="G7" s="3"/>
      <c r="H7" s="3"/>
    </row>
    <row r="8" spans="1:9" ht="94.5" customHeight="1">
      <c r="A8" s="249" t="s">
        <v>224</v>
      </c>
      <c r="B8" s="249"/>
      <c r="C8" s="249"/>
      <c r="D8" s="249"/>
      <c r="E8" s="249"/>
      <c r="F8" s="249"/>
      <c r="G8" s="249"/>
      <c r="H8" s="249"/>
      <c r="I8" s="249"/>
    </row>
    <row r="9" spans="1:9" ht="15.75">
      <c r="A9" s="4"/>
    </row>
    <row r="10" spans="1:9" ht="63.75" customHeight="1">
      <c r="A10" s="250" t="s">
        <v>172</v>
      </c>
      <c r="B10" s="250"/>
      <c r="C10" s="250"/>
      <c r="D10" s="250"/>
      <c r="E10" s="250"/>
      <c r="F10" s="250"/>
      <c r="G10" s="250"/>
      <c r="H10" s="250"/>
      <c r="I10" s="250"/>
    </row>
    <row r="11" spans="1:9" ht="15.75">
      <c r="A11" s="4"/>
    </row>
    <row r="12" spans="1:9" ht="81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</row>
    <row r="15" spans="1:9">
      <c r="A15" s="233" t="s">
        <v>4</v>
      </c>
      <c r="B15" s="233"/>
      <c r="C15" s="233"/>
      <c r="D15" s="233"/>
      <c r="E15" s="233"/>
      <c r="F15" s="233"/>
      <c r="G15" s="233"/>
      <c r="H15" s="233"/>
      <c r="I15" s="233"/>
    </row>
    <row r="16" spans="1:9" ht="18" customHeight="1">
      <c r="A16" s="29">
        <v>1</v>
      </c>
      <c r="B16" s="112" t="s">
        <v>86</v>
      </c>
      <c r="C16" s="113" t="s">
        <v>104</v>
      </c>
      <c r="D16" s="112" t="s">
        <v>212</v>
      </c>
      <c r="E16" s="190">
        <v>176.24</v>
      </c>
      <c r="F16" s="114">
        <f>SUM(E16*156/100)</f>
        <v>274.93440000000004</v>
      </c>
      <c r="G16" s="114">
        <v>239.2</v>
      </c>
      <c r="H16" s="70">
        <f>SUM(F16*G16/1000)</f>
        <v>65.764308480000011</v>
      </c>
      <c r="I16" s="13">
        <f>F16/12*G16</f>
        <v>5480.3590400000012</v>
      </c>
    </row>
    <row r="17" spans="1:9" ht="16.5" customHeight="1">
      <c r="A17" s="29">
        <v>2</v>
      </c>
      <c r="B17" s="112" t="s">
        <v>92</v>
      </c>
      <c r="C17" s="113" t="s">
        <v>104</v>
      </c>
      <c r="D17" s="112" t="s">
        <v>213</v>
      </c>
      <c r="E17" s="190">
        <v>704.96</v>
      </c>
      <c r="F17" s="114">
        <f>SUM(E17*104/100)</f>
        <v>733.15839999999992</v>
      </c>
      <c r="G17" s="114">
        <v>239.2</v>
      </c>
      <c r="H17" s="70">
        <v>137.453</v>
      </c>
      <c r="I17" s="13">
        <f>F17/12*G17</f>
        <v>14614.29077333333</v>
      </c>
    </row>
    <row r="18" spans="1:9" ht="15.75" customHeight="1">
      <c r="A18" s="29">
        <v>3</v>
      </c>
      <c r="B18" s="112" t="s">
        <v>93</v>
      </c>
      <c r="C18" s="113" t="s">
        <v>104</v>
      </c>
      <c r="D18" s="112" t="s">
        <v>214</v>
      </c>
      <c r="E18" s="190">
        <f>SUM(E16+E17)</f>
        <v>881.2</v>
      </c>
      <c r="F18" s="114">
        <f>SUM(E18*24/100)</f>
        <v>211.48800000000003</v>
      </c>
      <c r="G18" s="114">
        <v>688.14</v>
      </c>
      <c r="H18" s="70">
        <f>SUM(F18*G18/1000)</f>
        <v>145.53335232000001</v>
      </c>
      <c r="I18" s="13">
        <f>F18/12*G18</f>
        <v>12127.779360000002</v>
      </c>
    </row>
    <row r="19" spans="1:9" hidden="1">
      <c r="A19" s="29">
        <v>4</v>
      </c>
      <c r="B19" s="66" t="s">
        <v>105</v>
      </c>
      <c r="C19" s="67" t="s">
        <v>106</v>
      </c>
      <c r="D19" s="66" t="s">
        <v>107</v>
      </c>
      <c r="E19" s="68">
        <v>28.8</v>
      </c>
      <c r="F19" s="69">
        <f>SUM(E19/10)</f>
        <v>2.88</v>
      </c>
      <c r="G19" s="69">
        <v>232.1</v>
      </c>
      <c r="H19" s="70">
        <f t="shared" ref="H19:H25" si="0">SUM(F19*G19/1000)</f>
        <v>0.66844799999999993</v>
      </c>
      <c r="I19" s="13">
        <f>F19*G19</f>
        <v>668.44799999999998</v>
      </c>
    </row>
    <row r="20" spans="1:9" ht="15.75" customHeight="1">
      <c r="A20" s="29">
        <v>4</v>
      </c>
      <c r="B20" s="66" t="s">
        <v>97</v>
      </c>
      <c r="C20" s="67" t="s">
        <v>104</v>
      </c>
      <c r="D20" s="66" t="s">
        <v>221</v>
      </c>
      <c r="E20" s="68">
        <v>17.5</v>
      </c>
      <c r="F20" s="69">
        <f>SUM(E20*2/100)</f>
        <v>0.35</v>
      </c>
      <c r="G20" s="69">
        <v>297.19</v>
      </c>
      <c r="H20" s="70">
        <f t="shared" si="0"/>
        <v>0.1040165</v>
      </c>
      <c r="I20" s="13">
        <f>F20/12*G20</f>
        <v>8.6680416666666655</v>
      </c>
    </row>
    <row r="21" spans="1:9" ht="15" customHeight="1">
      <c r="A21" s="29">
        <v>5</v>
      </c>
      <c r="B21" s="66" t="s">
        <v>98</v>
      </c>
      <c r="C21" s="67" t="s">
        <v>104</v>
      </c>
      <c r="D21" s="77" t="s">
        <v>221</v>
      </c>
      <c r="E21" s="78">
        <v>5.94</v>
      </c>
      <c r="F21" s="69">
        <f>SUM(E21*2/100)</f>
        <v>0.1188</v>
      </c>
      <c r="G21" s="79">
        <v>294.77999999999997</v>
      </c>
      <c r="H21" s="70">
        <f t="shared" si="0"/>
        <v>3.5019863999999998E-2</v>
      </c>
      <c r="I21" s="13">
        <f>F21/6*G21</f>
        <v>5.8366439999999997</v>
      </c>
    </row>
    <row r="22" spans="1:9" hidden="1">
      <c r="A22" s="29">
        <v>7</v>
      </c>
      <c r="B22" s="66" t="s">
        <v>108</v>
      </c>
      <c r="C22" s="67" t="s">
        <v>52</v>
      </c>
      <c r="D22" s="66" t="s">
        <v>107</v>
      </c>
      <c r="E22" s="68">
        <v>376</v>
      </c>
      <c r="F22" s="69">
        <f>SUM(E22/100)</f>
        <v>3.76</v>
      </c>
      <c r="G22" s="69">
        <v>367.27</v>
      </c>
      <c r="H22" s="70">
        <f t="shared" si="0"/>
        <v>1.3809351999999999</v>
      </c>
      <c r="I22" s="13">
        <f>F22*G22</f>
        <v>1380.9351999999999</v>
      </c>
    </row>
    <row r="23" spans="1:9" hidden="1">
      <c r="A23" s="29">
        <v>8</v>
      </c>
      <c r="B23" s="66" t="s">
        <v>109</v>
      </c>
      <c r="C23" s="67" t="s">
        <v>52</v>
      </c>
      <c r="D23" s="66" t="s">
        <v>107</v>
      </c>
      <c r="E23" s="68">
        <v>60.4</v>
      </c>
      <c r="F23" s="69">
        <f>SUM(E23/100)</f>
        <v>0.60399999999999998</v>
      </c>
      <c r="G23" s="69">
        <v>60.41</v>
      </c>
      <c r="H23" s="70">
        <f t="shared" si="0"/>
        <v>3.6487640000000002E-2</v>
      </c>
      <c r="I23" s="13">
        <f>F23*G23</f>
        <v>36.487639999999999</v>
      </c>
    </row>
    <row r="24" spans="1:9" ht="30" hidden="1">
      <c r="A24" s="29">
        <v>9</v>
      </c>
      <c r="B24" s="66" t="s">
        <v>110</v>
      </c>
      <c r="C24" s="67" t="s">
        <v>52</v>
      </c>
      <c r="D24" s="66" t="s">
        <v>107</v>
      </c>
      <c r="E24" s="68">
        <v>23.75</v>
      </c>
      <c r="F24" s="69">
        <f>SUM(E24/100)</f>
        <v>0.23749999999999999</v>
      </c>
      <c r="G24" s="69">
        <v>294.77999999999997</v>
      </c>
      <c r="H24" s="70">
        <f t="shared" si="0"/>
        <v>7.0010249999999982E-2</v>
      </c>
      <c r="I24" s="13">
        <f>F24*G24</f>
        <v>70.010249999999985</v>
      </c>
    </row>
    <row r="25" spans="1:9" hidden="1">
      <c r="A25" s="29">
        <v>10</v>
      </c>
      <c r="B25" s="66" t="s">
        <v>102</v>
      </c>
      <c r="C25" s="67" t="s">
        <v>52</v>
      </c>
      <c r="D25" s="66" t="s">
        <v>107</v>
      </c>
      <c r="E25" s="68">
        <v>10.63</v>
      </c>
      <c r="F25" s="69">
        <f>SUM(E25/100)</f>
        <v>0.10630000000000001</v>
      </c>
      <c r="G25" s="69">
        <v>710.37</v>
      </c>
      <c r="H25" s="70">
        <f t="shared" si="0"/>
        <v>7.5512331000000002E-2</v>
      </c>
      <c r="I25" s="13">
        <f>F25*G25</f>
        <v>75.512331000000003</v>
      </c>
    </row>
    <row r="26" spans="1:9" ht="17.25" customHeight="1">
      <c r="A26" s="29">
        <v>6</v>
      </c>
      <c r="B26" s="112" t="s">
        <v>211</v>
      </c>
      <c r="C26" s="113" t="s">
        <v>25</v>
      </c>
      <c r="D26" s="112" t="s">
        <v>215</v>
      </c>
      <c r="E26" s="215">
        <v>5.72</v>
      </c>
      <c r="F26" s="114">
        <f>E26*258</f>
        <v>1475.76</v>
      </c>
      <c r="G26" s="114">
        <v>10.39</v>
      </c>
      <c r="H26" s="70">
        <f>SUM(F26*G26/1000)</f>
        <v>15.333146400000002</v>
      </c>
      <c r="I26" s="13">
        <f>F26/12*G26</f>
        <v>1277.7622000000001</v>
      </c>
    </row>
    <row r="27" spans="1:9">
      <c r="A27" s="233" t="s">
        <v>85</v>
      </c>
      <c r="B27" s="233"/>
      <c r="C27" s="233"/>
      <c r="D27" s="233"/>
      <c r="E27" s="233"/>
      <c r="F27" s="233"/>
      <c r="G27" s="233"/>
      <c r="H27" s="233"/>
      <c r="I27" s="233"/>
    </row>
    <row r="28" spans="1:9" ht="16.5" customHeight="1">
      <c r="A28" s="29"/>
      <c r="B28" s="87" t="s">
        <v>28</v>
      </c>
      <c r="C28" s="67"/>
      <c r="D28" s="66"/>
      <c r="E28" s="68"/>
      <c r="F28" s="69"/>
      <c r="G28" s="69"/>
      <c r="H28" s="70"/>
      <c r="I28" s="13"/>
    </row>
    <row r="29" spans="1:9" ht="16.5" customHeight="1">
      <c r="A29" s="29">
        <v>7</v>
      </c>
      <c r="B29" s="66" t="s">
        <v>111</v>
      </c>
      <c r="C29" s="67" t="s">
        <v>112</v>
      </c>
      <c r="D29" s="66" t="s">
        <v>213</v>
      </c>
      <c r="E29" s="69">
        <v>357.22</v>
      </c>
      <c r="F29" s="69">
        <f>SUM(E29*52/1000)</f>
        <v>18.575440000000004</v>
      </c>
      <c r="G29" s="69">
        <v>212.62</v>
      </c>
      <c r="H29" s="70">
        <f>SUM(F29*G29/1000)</f>
        <v>3.9495100528000009</v>
      </c>
      <c r="I29" s="13">
        <f>F29/6*G29</f>
        <v>658.25167546666682</v>
      </c>
    </row>
    <row r="30" spans="1:9" ht="31.5" customHeight="1">
      <c r="A30" s="29">
        <v>8</v>
      </c>
      <c r="B30" s="66" t="s">
        <v>166</v>
      </c>
      <c r="C30" s="67" t="s">
        <v>112</v>
      </c>
      <c r="D30" s="66" t="s">
        <v>212</v>
      </c>
      <c r="E30" s="69">
        <v>475.06</v>
      </c>
      <c r="F30" s="69">
        <f>SUM(E30*78/1000)</f>
        <v>37.054679999999998</v>
      </c>
      <c r="G30" s="69">
        <v>352.77</v>
      </c>
      <c r="H30" s="70">
        <f>SUM(F30*G30/1000)</f>
        <v>13.071779463599999</v>
      </c>
      <c r="I30" s="13">
        <f>F30/6*G30</f>
        <v>2178.6299105999997</v>
      </c>
    </row>
    <row r="31" spans="1:9" hidden="1">
      <c r="A31" s="29">
        <v>15</v>
      </c>
      <c r="B31" s="66" t="s">
        <v>27</v>
      </c>
      <c r="C31" s="67" t="s">
        <v>112</v>
      </c>
      <c r="D31" s="66" t="s">
        <v>221</v>
      </c>
      <c r="E31" s="69">
        <v>357.22</v>
      </c>
      <c r="F31" s="69">
        <f>SUM(E31/1000)</f>
        <v>0.35722000000000004</v>
      </c>
      <c r="G31" s="69">
        <v>4119.68</v>
      </c>
      <c r="H31" s="70">
        <f>SUM(F31*G31/1000)</f>
        <v>1.4716320896000001</v>
      </c>
      <c r="I31" s="13">
        <f>F31*G31</f>
        <v>1471.6320896000002</v>
      </c>
    </row>
    <row r="32" spans="1:9" ht="15.75" customHeight="1">
      <c r="A32" s="29">
        <v>9</v>
      </c>
      <c r="B32" s="66" t="s">
        <v>140</v>
      </c>
      <c r="C32" s="67" t="s">
        <v>39</v>
      </c>
      <c r="D32" s="66" t="s">
        <v>217</v>
      </c>
      <c r="E32" s="69">
        <v>5</v>
      </c>
      <c r="F32" s="69">
        <f>E32*155/100</f>
        <v>7.75</v>
      </c>
      <c r="G32" s="69">
        <v>1775.94</v>
      </c>
      <c r="H32" s="70">
        <f>G32*F32/1000</f>
        <v>13.763534999999999</v>
      </c>
      <c r="I32" s="13">
        <f>F32/6*G32</f>
        <v>2293.9225000000001</v>
      </c>
    </row>
    <row r="33" spans="1:9" hidden="1">
      <c r="A33" s="29">
        <v>10</v>
      </c>
      <c r="B33" s="66" t="s">
        <v>63</v>
      </c>
      <c r="C33" s="67" t="s">
        <v>33</v>
      </c>
      <c r="D33" s="66" t="s">
        <v>65</v>
      </c>
      <c r="E33" s="68"/>
      <c r="F33" s="69">
        <v>2</v>
      </c>
      <c r="G33" s="69">
        <v>260.95</v>
      </c>
      <c r="H33" s="70">
        <f>SUM(F33*G33/1000)</f>
        <v>0.52190000000000003</v>
      </c>
      <c r="I33" s="13">
        <v>0</v>
      </c>
    </row>
    <row r="34" spans="1:9" hidden="1">
      <c r="A34" s="29"/>
      <c r="B34" s="66" t="s">
        <v>64</v>
      </c>
      <c r="C34" s="67" t="s">
        <v>32</v>
      </c>
      <c r="D34" s="66" t="s">
        <v>65</v>
      </c>
      <c r="E34" s="68"/>
      <c r="F34" s="69">
        <v>1</v>
      </c>
      <c r="G34" s="69">
        <v>1549.92</v>
      </c>
      <c r="H34" s="70">
        <f>SUM(F34*G34/1000)</f>
        <v>1.54992</v>
      </c>
      <c r="I34" s="13">
        <v>0</v>
      </c>
    </row>
    <row r="35" spans="1:9" hidden="1">
      <c r="A35" s="29"/>
      <c r="B35" s="87" t="s">
        <v>5</v>
      </c>
      <c r="C35" s="67"/>
      <c r="D35" s="66"/>
      <c r="E35" s="68"/>
      <c r="F35" s="69"/>
      <c r="G35" s="69"/>
      <c r="H35" s="70" t="s">
        <v>129</v>
      </c>
      <c r="I35" s="13"/>
    </row>
    <row r="36" spans="1:9" hidden="1">
      <c r="A36" s="29">
        <v>6</v>
      </c>
      <c r="B36" s="66" t="s">
        <v>26</v>
      </c>
      <c r="C36" s="67" t="s">
        <v>32</v>
      </c>
      <c r="D36" s="66"/>
      <c r="E36" s="68"/>
      <c r="F36" s="69">
        <v>5</v>
      </c>
      <c r="G36" s="69">
        <v>2083</v>
      </c>
      <c r="H36" s="70">
        <f t="shared" ref="H36:H43" si="1">SUM(F36*G36/1000)</f>
        <v>10.414999999999999</v>
      </c>
      <c r="I36" s="13">
        <f>F36/6*G36</f>
        <v>1735.8333333333335</v>
      </c>
    </row>
    <row r="37" spans="1:9" hidden="1">
      <c r="A37" s="29">
        <v>7</v>
      </c>
      <c r="B37" s="66" t="s">
        <v>66</v>
      </c>
      <c r="C37" s="67" t="s">
        <v>29</v>
      </c>
      <c r="D37" s="66" t="s">
        <v>116</v>
      </c>
      <c r="E37" s="69">
        <v>469.73</v>
      </c>
      <c r="F37" s="69">
        <f>SUM(E37*30/1000)</f>
        <v>14.091900000000001</v>
      </c>
      <c r="G37" s="69">
        <v>2868.09</v>
      </c>
      <c r="H37" s="70">
        <f t="shared" si="1"/>
        <v>40.416837471000008</v>
      </c>
      <c r="I37" s="13">
        <f t="shared" ref="I37:I43" si="2">F37/6*G37</f>
        <v>6736.1395785000004</v>
      </c>
    </row>
    <row r="38" spans="1:9" ht="30" hidden="1">
      <c r="A38" s="29">
        <v>8</v>
      </c>
      <c r="B38" s="66" t="s">
        <v>67</v>
      </c>
      <c r="C38" s="67" t="s">
        <v>29</v>
      </c>
      <c r="D38" s="66" t="s">
        <v>117</v>
      </c>
      <c r="E38" s="69">
        <v>475.06</v>
      </c>
      <c r="F38" s="69">
        <f>SUM(E38*155/1000)</f>
        <v>73.634299999999996</v>
      </c>
      <c r="G38" s="69">
        <v>478.42</v>
      </c>
      <c r="H38" s="70">
        <f t="shared" si="1"/>
        <v>35.228121806000004</v>
      </c>
      <c r="I38" s="13">
        <f t="shared" si="2"/>
        <v>5871.3536343333326</v>
      </c>
    </row>
    <row r="39" spans="1:9" ht="30" hidden="1">
      <c r="A39" s="29">
        <v>9</v>
      </c>
      <c r="B39" s="66" t="s">
        <v>94</v>
      </c>
      <c r="C39" s="67" t="s">
        <v>133</v>
      </c>
      <c r="D39" s="66" t="s">
        <v>176</v>
      </c>
      <c r="E39" s="68"/>
      <c r="F39" s="69">
        <v>39</v>
      </c>
      <c r="G39" s="69">
        <v>314</v>
      </c>
      <c r="H39" s="70">
        <f>SUM(F39*G39/1000)</f>
        <v>12.246</v>
      </c>
      <c r="I39" s="13">
        <v>0</v>
      </c>
    </row>
    <row r="40" spans="1:9" ht="60" hidden="1">
      <c r="A40" s="29">
        <v>9</v>
      </c>
      <c r="B40" s="66" t="s">
        <v>82</v>
      </c>
      <c r="C40" s="67" t="s">
        <v>112</v>
      </c>
      <c r="D40" s="66" t="s">
        <v>134</v>
      </c>
      <c r="E40" s="69">
        <v>40.6</v>
      </c>
      <c r="F40" s="69">
        <f>SUM(E40*35/1000)</f>
        <v>1.421</v>
      </c>
      <c r="G40" s="69">
        <v>7915.6</v>
      </c>
      <c r="H40" s="70">
        <f t="shared" si="1"/>
        <v>11.248067600000001</v>
      </c>
      <c r="I40" s="13">
        <f t="shared" si="2"/>
        <v>1874.6779333333334</v>
      </c>
    </row>
    <row r="41" spans="1:9" hidden="1">
      <c r="A41" s="29">
        <v>10</v>
      </c>
      <c r="B41" s="66" t="s">
        <v>118</v>
      </c>
      <c r="C41" s="67" t="s">
        <v>112</v>
      </c>
      <c r="D41" s="66" t="s">
        <v>68</v>
      </c>
      <c r="E41" s="69">
        <v>167.03</v>
      </c>
      <c r="F41" s="69">
        <f>SUM(E41*45/1000)</f>
        <v>7.5163500000000001</v>
      </c>
      <c r="G41" s="69">
        <v>584.74</v>
      </c>
      <c r="H41" s="70">
        <f t="shared" si="1"/>
        <v>4.3951104990000003</v>
      </c>
      <c r="I41" s="13">
        <f>(F41/7.5*1.5)*G41</f>
        <v>879.02209980000009</v>
      </c>
    </row>
    <row r="42" spans="1:9" hidden="1">
      <c r="A42" s="29">
        <v>11</v>
      </c>
      <c r="B42" s="66" t="s">
        <v>69</v>
      </c>
      <c r="C42" s="67" t="s">
        <v>33</v>
      </c>
      <c r="D42" s="66"/>
      <c r="E42" s="68"/>
      <c r="F42" s="69">
        <v>1.2</v>
      </c>
      <c r="G42" s="69">
        <v>800</v>
      </c>
      <c r="H42" s="70">
        <f t="shared" si="1"/>
        <v>0.96</v>
      </c>
      <c r="I42" s="13">
        <f>(F42/7.5*1.5)*G42</f>
        <v>192</v>
      </c>
    </row>
    <row r="43" spans="1:9" ht="30" hidden="1">
      <c r="A43" s="29">
        <v>12</v>
      </c>
      <c r="B43" s="46" t="s">
        <v>177</v>
      </c>
      <c r="C43" s="62" t="s">
        <v>29</v>
      </c>
      <c r="D43" s="66" t="s">
        <v>178</v>
      </c>
      <c r="E43" s="68">
        <v>4.2</v>
      </c>
      <c r="F43" s="69">
        <f>SUM(E43*12/1000)</f>
        <v>5.0400000000000007E-2</v>
      </c>
      <c r="G43" s="69">
        <v>270.61</v>
      </c>
      <c r="H43" s="70">
        <f t="shared" si="1"/>
        <v>1.3638744000000003E-2</v>
      </c>
      <c r="I43" s="13">
        <f t="shared" si="2"/>
        <v>2.2731240000000006</v>
      </c>
    </row>
    <row r="44" spans="1:9">
      <c r="A44" s="252" t="s">
        <v>190</v>
      </c>
      <c r="B44" s="253"/>
      <c r="C44" s="253"/>
      <c r="D44" s="253"/>
      <c r="E44" s="253"/>
      <c r="F44" s="253"/>
      <c r="G44" s="253"/>
      <c r="H44" s="253"/>
      <c r="I44" s="254"/>
    </row>
    <row r="45" spans="1:9" ht="15.75" customHeight="1">
      <c r="A45" s="29">
        <v>10</v>
      </c>
      <c r="B45" s="66" t="s">
        <v>119</v>
      </c>
      <c r="C45" s="67" t="s">
        <v>112</v>
      </c>
      <c r="D45" s="66" t="s">
        <v>221</v>
      </c>
      <c r="E45" s="68">
        <v>1603.6</v>
      </c>
      <c r="F45" s="69">
        <f>SUM(E45*2/1000)</f>
        <v>3.2071999999999998</v>
      </c>
      <c r="G45" s="13">
        <v>1158.7</v>
      </c>
      <c r="H45" s="70">
        <f t="shared" ref="H45:H53" si="3">SUM(F45*G45/1000)</f>
        <v>3.71618264</v>
      </c>
      <c r="I45" s="13">
        <f>F45/2*G45</f>
        <v>1858.09132</v>
      </c>
    </row>
    <row r="46" spans="1:9" ht="18" customHeight="1">
      <c r="A46" s="29">
        <v>11</v>
      </c>
      <c r="B46" s="66" t="s">
        <v>34</v>
      </c>
      <c r="C46" s="67" t="s">
        <v>112</v>
      </c>
      <c r="D46" s="66" t="s">
        <v>221</v>
      </c>
      <c r="E46" s="68">
        <v>65</v>
      </c>
      <c r="F46" s="69">
        <f>SUM(E46*2/1000)</f>
        <v>0.13</v>
      </c>
      <c r="G46" s="13">
        <v>790.38</v>
      </c>
      <c r="H46" s="70">
        <f t="shared" si="3"/>
        <v>0.1027494</v>
      </c>
      <c r="I46" s="13">
        <f>F46/2*G46</f>
        <v>51.374700000000004</v>
      </c>
    </row>
    <row r="47" spans="1:9" ht="15.75" customHeight="1">
      <c r="A47" s="29">
        <v>12</v>
      </c>
      <c r="B47" s="66" t="s">
        <v>35</v>
      </c>
      <c r="C47" s="67" t="s">
        <v>112</v>
      </c>
      <c r="D47" s="66" t="s">
        <v>221</v>
      </c>
      <c r="E47" s="68">
        <v>1825.8</v>
      </c>
      <c r="F47" s="69">
        <f>SUM(E47*2/1000)</f>
        <v>3.6515999999999997</v>
      </c>
      <c r="G47" s="13">
        <v>790.38</v>
      </c>
      <c r="H47" s="70">
        <f t="shared" si="3"/>
        <v>2.8861516079999996</v>
      </c>
      <c r="I47" s="13">
        <f t="shared" ref="I47:I52" si="4">F47/2*G47</f>
        <v>1443.0758039999998</v>
      </c>
    </row>
    <row r="48" spans="1:9" ht="16.5" customHeight="1">
      <c r="A48" s="29">
        <v>13</v>
      </c>
      <c r="B48" s="66" t="s">
        <v>36</v>
      </c>
      <c r="C48" s="67" t="s">
        <v>112</v>
      </c>
      <c r="D48" s="66" t="s">
        <v>221</v>
      </c>
      <c r="E48" s="68">
        <v>3163.96</v>
      </c>
      <c r="F48" s="69">
        <f>SUM(E48*2/1000)</f>
        <v>6.3279199999999998</v>
      </c>
      <c r="G48" s="13">
        <v>827.65</v>
      </c>
      <c r="H48" s="70">
        <f t="shared" si="3"/>
        <v>5.2373029879999997</v>
      </c>
      <c r="I48" s="13">
        <f t="shared" si="4"/>
        <v>2618.6514939999997</v>
      </c>
    </row>
    <row r="49" spans="1:9" ht="13.5" customHeight="1">
      <c r="A49" s="29">
        <v>14</v>
      </c>
      <c r="B49" s="66" t="s">
        <v>55</v>
      </c>
      <c r="C49" s="67" t="s">
        <v>112</v>
      </c>
      <c r="D49" s="66" t="s">
        <v>221</v>
      </c>
      <c r="E49" s="68">
        <v>5816.5</v>
      </c>
      <c r="F49" s="69">
        <f>SUM(E49*5/1000)</f>
        <v>29.0825</v>
      </c>
      <c r="G49" s="13">
        <v>1655.27</v>
      </c>
      <c r="H49" s="70">
        <f t="shared" si="3"/>
        <v>48.139389774999998</v>
      </c>
      <c r="I49" s="13">
        <f>F49/5*G49</f>
        <v>9627.8779549999999</v>
      </c>
    </row>
    <row r="50" spans="1:9" ht="45">
      <c r="A50" s="29">
        <v>15</v>
      </c>
      <c r="B50" s="66" t="s">
        <v>120</v>
      </c>
      <c r="C50" s="67" t="s">
        <v>112</v>
      </c>
      <c r="D50" s="66" t="s">
        <v>221</v>
      </c>
      <c r="E50" s="68">
        <v>5816.5</v>
      </c>
      <c r="F50" s="69">
        <f>SUM(E50*2/1000)</f>
        <v>11.632999999999999</v>
      </c>
      <c r="G50" s="13">
        <v>1655.27</v>
      </c>
      <c r="H50" s="70">
        <f t="shared" si="3"/>
        <v>19.255755910000001</v>
      </c>
      <c r="I50" s="13">
        <f t="shared" si="4"/>
        <v>9627.8779549999999</v>
      </c>
    </row>
    <row r="51" spans="1:9" ht="30">
      <c r="A51" s="29">
        <v>16</v>
      </c>
      <c r="B51" s="66" t="s">
        <v>121</v>
      </c>
      <c r="C51" s="67" t="s">
        <v>37</v>
      </c>
      <c r="D51" s="66" t="s">
        <v>221</v>
      </c>
      <c r="E51" s="68">
        <v>25</v>
      </c>
      <c r="F51" s="69">
        <f>SUM(E51*2/100)</f>
        <v>0.5</v>
      </c>
      <c r="G51" s="13">
        <v>3724.37</v>
      </c>
      <c r="H51" s="70">
        <f t="shared" si="3"/>
        <v>1.862185</v>
      </c>
      <c r="I51" s="13">
        <f t="shared" si="4"/>
        <v>931.09249999999997</v>
      </c>
    </row>
    <row r="52" spans="1:9">
      <c r="A52" s="29">
        <v>17</v>
      </c>
      <c r="B52" s="66" t="s">
        <v>38</v>
      </c>
      <c r="C52" s="67" t="s">
        <v>39</v>
      </c>
      <c r="D52" s="66" t="s">
        <v>221</v>
      </c>
      <c r="E52" s="68">
        <v>1</v>
      </c>
      <c r="F52" s="69">
        <v>0.02</v>
      </c>
      <c r="G52" s="13">
        <v>7709.44</v>
      </c>
      <c r="H52" s="70">
        <f t="shared" si="3"/>
        <v>0.15418879999999999</v>
      </c>
      <c r="I52" s="13">
        <f t="shared" si="4"/>
        <v>77.094399999999993</v>
      </c>
    </row>
    <row r="53" spans="1:9" hidden="1">
      <c r="A53" s="29">
        <v>11</v>
      </c>
      <c r="B53" s="66" t="s">
        <v>40</v>
      </c>
      <c r="C53" s="67" t="s">
        <v>30</v>
      </c>
      <c r="D53" s="66" t="s">
        <v>70</v>
      </c>
      <c r="E53" s="68">
        <v>198</v>
      </c>
      <c r="F53" s="69">
        <f>SUM(E53)*3</f>
        <v>594</v>
      </c>
      <c r="G53" s="13">
        <v>89.59</v>
      </c>
      <c r="H53" s="70">
        <f t="shared" si="3"/>
        <v>53.216459999999998</v>
      </c>
      <c r="I53" s="13">
        <f>F53/3*G53</f>
        <v>17738.82</v>
      </c>
    </row>
    <row r="54" spans="1:9">
      <c r="A54" s="234" t="s">
        <v>137</v>
      </c>
      <c r="B54" s="235"/>
      <c r="C54" s="235"/>
      <c r="D54" s="235"/>
      <c r="E54" s="235"/>
      <c r="F54" s="235"/>
      <c r="G54" s="235"/>
      <c r="H54" s="235"/>
      <c r="I54" s="236"/>
    </row>
    <row r="55" spans="1:9">
      <c r="A55" s="29"/>
      <c r="B55" s="87" t="s">
        <v>42</v>
      </c>
      <c r="C55" s="67"/>
      <c r="D55" s="66"/>
      <c r="E55" s="68"/>
      <c r="F55" s="69"/>
      <c r="G55" s="69"/>
      <c r="H55" s="70"/>
      <c r="I55" s="13"/>
    </row>
    <row r="56" spans="1:9" ht="45" hidden="1">
      <c r="A56" s="29">
        <v>16</v>
      </c>
      <c r="B56" s="66" t="s">
        <v>123</v>
      </c>
      <c r="C56" s="67" t="s">
        <v>104</v>
      </c>
      <c r="D56" s="66" t="s">
        <v>71</v>
      </c>
      <c r="E56" s="68">
        <v>118.3</v>
      </c>
      <c r="F56" s="69">
        <f>E56*6/100</f>
        <v>7.0979999999999999</v>
      </c>
      <c r="G56" s="76">
        <v>2110.4699999999998</v>
      </c>
      <c r="H56" s="70">
        <f>F56*G56/1000</f>
        <v>14.980116059999999</v>
      </c>
      <c r="I56" s="13">
        <f>G56*1.028</f>
        <v>2169.5631599999997</v>
      </c>
    </row>
    <row r="57" spans="1:9" hidden="1">
      <c r="A57" s="29">
        <v>17</v>
      </c>
      <c r="B57" s="66" t="s">
        <v>179</v>
      </c>
      <c r="C57" s="67" t="s">
        <v>104</v>
      </c>
      <c r="D57" s="66" t="s">
        <v>71</v>
      </c>
      <c r="E57" s="75">
        <v>3.78</v>
      </c>
      <c r="F57" s="13">
        <f>E57*6/100</f>
        <v>0.2268</v>
      </c>
      <c r="G57" s="69">
        <v>2110.4699999999998</v>
      </c>
      <c r="H57" s="70">
        <f>SUM(F57*G57/1000)</f>
        <v>0.47865459599999999</v>
      </c>
      <c r="I57" s="13">
        <f>F57/6*G57</f>
        <v>79.77576599999999</v>
      </c>
    </row>
    <row r="58" spans="1:9" hidden="1">
      <c r="A58" s="29">
        <v>15</v>
      </c>
      <c r="B58" s="77" t="s">
        <v>99</v>
      </c>
      <c r="C58" s="67" t="s">
        <v>100</v>
      </c>
      <c r="D58" s="77" t="s">
        <v>41</v>
      </c>
      <c r="E58" s="78">
        <v>5</v>
      </c>
      <c r="F58" s="79">
        <v>10</v>
      </c>
      <c r="G58" s="76">
        <v>246.58</v>
      </c>
      <c r="H58" s="80">
        <v>0.99099999999999999</v>
      </c>
      <c r="I58" s="13">
        <f>F58/2*G58</f>
        <v>1232.9000000000001</v>
      </c>
    </row>
    <row r="59" spans="1:9" ht="18.75" customHeight="1">
      <c r="A59" s="29">
        <v>18</v>
      </c>
      <c r="B59" s="77" t="s">
        <v>180</v>
      </c>
      <c r="C59" s="81" t="s">
        <v>32</v>
      </c>
      <c r="D59" s="77" t="s">
        <v>302</v>
      </c>
      <c r="E59" s="78"/>
      <c r="F59" s="80">
        <v>5</v>
      </c>
      <c r="G59" s="101">
        <v>1645</v>
      </c>
      <c r="H59" s="80">
        <f>SUM(F59*G59/1000)</f>
        <v>8.2249999999999996</v>
      </c>
      <c r="I59" s="101">
        <f>G59*2</f>
        <v>3290</v>
      </c>
    </row>
    <row r="60" spans="1:9" ht="16.5" customHeight="1">
      <c r="A60" s="29"/>
      <c r="B60" s="88" t="s">
        <v>43</v>
      </c>
      <c r="C60" s="81"/>
      <c r="D60" s="66"/>
      <c r="E60" s="68"/>
      <c r="F60" s="69"/>
      <c r="G60" s="69"/>
      <c r="H60" s="69"/>
      <c r="I60" s="124"/>
    </row>
    <row r="61" spans="1:9" hidden="1">
      <c r="A61" s="29"/>
      <c r="B61" s="77" t="s">
        <v>44</v>
      </c>
      <c r="C61" s="81" t="s">
        <v>52</v>
      </c>
      <c r="D61" s="66" t="s">
        <v>53</v>
      </c>
      <c r="E61" s="68">
        <v>352</v>
      </c>
      <c r="F61" s="69">
        <f>E61/100</f>
        <v>3.52</v>
      </c>
      <c r="G61" s="69">
        <v>1082.47</v>
      </c>
      <c r="H61" s="69">
        <f>G61*F61/1000</f>
        <v>3.8102944000000001</v>
      </c>
      <c r="I61" s="124">
        <v>0</v>
      </c>
    </row>
    <row r="62" spans="1:9" ht="18" customHeight="1">
      <c r="A62" s="29">
        <v>19</v>
      </c>
      <c r="B62" s="77" t="s">
        <v>95</v>
      </c>
      <c r="C62" s="81" t="s">
        <v>25</v>
      </c>
      <c r="D62" s="66"/>
      <c r="E62" s="68">
        <v>200</v>
      </c>
      <c r="F62" s="69">
        <f>E62*12</f>
        <v>2400</v>
      </c>
      <c r="G62" s="69">
        <v>1.4</v>
      </c>
      <c r="H62" s="69">
        <f>G62*F62/1000</f>
        <v>3.36</v>
      </c>
      <c r="I62" s="13">
        <f>F62/12*G62</f>
        <v>280</v>
      </c>
    </row>
    <row r="63" spans="1:9" ht="18" customHeight="1">
      <c r="A63" s="29"/>
      <c r="B63" s="88" t="s">
        <v>45</v>
      </c>
      <c r="C63" s="81"/>
      <c r="D63" s="121"/>
      <c r="E63" s="71"/>
      <c r="F63" s="116"/>
      <c r="G63" s="116"/>
      <c r="H63" s="122" t="s">
        <v>129</v>
      </c>
      <c r="I63" s="123"/>
    </row>
    <row r="64" spans="1:9" ht="18" customHeight="1">
      <c r="A64" s="29">
        <v>20</v>
      </c>
      <c r="B64" s="14" t="s">
        <v>46</v>
      </c>
      <c r="C64" s="16" t="s">
        <v>122</v>
      </c>
      <c r="D64" s="14" t="s">
        <v>227</v>
      </c>
      <c r="E64" s="18">
        <v>14</v>
      </c>
      <c r="F64" s="13">
        <f>SUM(E64)</f>
        <v>14</v>
      </c>
      <c r="G64" s="13">
        <v>303.35000000000002</v>
      </c>
      <c r="H64" s="63">
        <f t="shared" ref="H64:H83" si="5">SUM(F64*G64/1000)</f>
        <v>4.2469000000000001</v>
      </c>
      <c r="I64" s="13">
        <f>G64*2</f>
        <v>606.70000000000005</v>
      </c>
    </row>
    <row r="65" spans="1:9" hidden="1">
      <c r="A65" s="29"/>
      <c r="B65" s="14" t="s">
        <v>47</v>
      </c>
      <c r="C65" s="16" t="s">
        <v>122</v>
      </c>
      <c r="D65" s="14" t="s">
        <v>65</v>
      </c>
      <c r="E65" s="18">
        <v>7</v>
      </c>
      <c r="F65" s="13">
        <f>SUM(E65)</f>
        <v>7</v>
      </c>
      <c r="G65" s="13">
        <v>104.01</v>
      </c>
      <c r="H65" s="63">
        <f t="shared" si="5"/>
        <v>0.72806999999999999</v>
      </c>
      <c r="I65" s="13">
        <v>0</v>
      </c>
    </row>
    <row r="66" spans="1:9" hidden="1">
      <c r="A66" s="29">
        <v>24</v>
      </c>
      <c r="B66" s="14" t="s">
        <v>48</v>
      </c>
      <c r="C66" s="16" t="s">
        <v>124</v>
      </c>
      <c r="D66" s="14" t="s">
        <v>53</v>
      </c>
      <c r="E66" s="68">
        <v>23808</v>
      </c>
      <c r="F66" s="13">
        <f>SUM(E66/100)</f>
        <v>238.08</v>
      </c>
      <c r="G66" s="13">
        <v>289.37</v>
      </c>
      <c r="H66" s="63">
        <f t="shared" si="5"/>
        <v>68.893209600000006</v>
      </c>
      <c r="I66" s="13">
        <f t="shared" ref="I66:I71" si="6">F66*G66</f>
        <v>68893.209600000002</v>
      </c>
    </row>
    <row r="67" spans="1:9" hidden="1">
      <c r="A67" s="29">
        <v>25</v>
      </c>
      <c r="B67" s="14" t="s">
        <v>49</v>
      </c>
      <c r="C67" s="16" t="s">
        <v>125</v>
      </c>
      <c r="D67" s="14"/>
      <c r="E67" s="68">
        <v>23808</v>
      </c>
      <c r="F67" s="13">
        <f>SUM(E67/1000)</f>
        <v>23.808</v>
      </c>
      <c r="G67" s="13">
        <v>225.35</v>
      </c>
      <c r="H67" s="63">
        <f t="shared" si="5"/>
        <v>5.3651327999999996</v>
      </c>
      <c r="I67" s="13">
        <f t="shared" si="6"/>
        <v>5365.1327999999994</v>
      </c>
    </row>
    <row r="68" spans="1:9" hidden="1">
      <c r="A68" s="29">
        <v>26</v>
      </c>
      <c r="B68" s="14" t="s">
        <v>50</v>
      </c>
      <c r="C68" s="16" t="s">
        <v>76</v>
      </c>
      <c r="D68" s="14" t="s">
        <v>53</v>
      </c>
      <c r="E68" s="68">
        <v>3810</v>
      </c>
      <c r="F68" s="13">
        <f>SUM(E68/100)</f>
        <v>38.1</v>
      </c>
      <c r="G68" s="13">
        <v>2829.78</v>
      </c>
      <c r="H68" s="63">
        <f t="shared" si="5"/>
        <v>107.81461800000001</v>
      </c>
      <c r="I68" s="13">
        <f t="shared" si="6"/>
        <v>107814.61800000002</v>
      </c>
    </row>
    <row r="69" spans="1:9" hidden="1">
      <c r="A69" s="29">
        <v>27</v>
      </c>
      <c r="B69" s="83" t="s">
        <v>126</v>
      </c>
      <c r="C69" s="16" t="s">
        <v>33</v>
      </c>
      <c r="D69" s="14"/>
      <c r="E69" s="68">
        <v>12.8</v>
      </c>
      <c r="F69" s="13">
        <f>SUM(E69)</f>
        <v>12.8</v>
      </c>
      <c r="G69" s="13">
        <v>44.31</v>
      </c>
      <c r="H69" s="63">
        <f t="shared" si="5"/>
        <v>0.56716800000000001</v>
      </c>
      <c r="I69" s="13">
        <f t="shared" si="6"/>
        <v>567.16800000000001</v>
      </c>
    </row>
    <row r="70" spans="1:9" hidden="1">
      <c r="A70" s="29">
        <v>28</v>
      </c>
      <c r="B70" s="83" t="s">
        <v>135</v>
      </c>
      <c r="C70" s="16" t="s">
        <v>33</v>
      </c>
      <c r="D70" s="14"/>
      <c r="E70" s="68">
        <v>12.8</v>
      </c>
      <c r="F70" s="13">
        <f>SUM(E70)</f>
        <v>12.8</v>
      </c>
      <c r="G70" s="13">
        <v>47.79</v>
      </c>
      <c r="H70" s="63">
        <f t="shared" si="5"/>
        <v>0.61171200000000003</v>
      </c>
      <c r="I70" s="13">
        <f t="shared" si="6"/>
        <v>611.71199999999999</v>
      </c>
    </row>
    <row r="71" spans="1:9" ht="19.5" customHeight="1">
      <c r="A71" s="29">
        <v>21</v>
      </c>
      <c r="B71" s="14" t="s">
        <v>56</v>
      </c>
      <c r="C71" s="16" t="s">
        <v>57</v>
      </c>
      <c r="D71" s="14" t="s">
        <v>222</v>
      </c>
      <c r="E71" s="18">
        <v>6</v>
      </c>
      <c r="F71" s="69">
        <f>SUM(E71)</f>
        <v>6</v>
      </c>
      <c r="G71" s="13">
        <v>68.040000000000006</v>
      </c>
      <c r="H71" s="63">
        <f t="shared" si="5"/>
        <v>0.40823999999999999</v>
      </c>
      <c r="I71" s="13">
        <f t="shared" si="6"/>
        <v>408.24</v>
      </c>
    </row>
    <row r="72" spans="1:9" ht="33" customHeight="1">
      <c r="A72" s="29">
        <v>22</v>
      </c>
      <c r="B72" s="83" t="s">
        <v>181</v>
      </c>
      <c r="C72" s="16"/>
      <c r="D72" s="14" t="s">
        <v>222</v>
      </c>
      <c r="E72" s="18">
        <v>1</v>
      </c>
      <c r="F72" s="13">
        <v>12</v>
      </c>
      <c r="G72" s="13">
        <v>1194</v>
      </c>
      <c r="H72" s="63">
        <f t="shared" si="5"/>
        <v>14.327999999999999</v>
      </c>
      <c r="I72" s="13">
        <f>F72/12*G72</f>
        <v>1194</v>
      </c>
    </row>
    <row r="73" spans="1:9" ht="17.25" customHeight="1">
      <c r="A73" s="29"/>
      <c r="B73" s="160" t="s">
        <v>182</v>
      </c>
      <c r="C73" s="16"/>
      <c r="D73" s="14"/>
      <c r="E73" s="18"/>
      <c r="F73" s="57"/>
      <c r="G73" s="13"/>
      <c r="H73" s="63"/>
      <c r="I73" s="13"/>
    </row>
    <row r="74" spans="1:9" ht="35.25" customHeight="1">
      <c r="A74" s="29">
        <v>23</v>
      </c>
      <c r="B74" s="14" t="s">
        <v>183</v>
      </c>
      <c r="C74" s="29" t="s">
        <v>184</v>
      </c>
      <c r="D74" s="14"/>
      <c r="E74" s="18">
        <v>5816.5</v>
      </c>
      <c r="F74" s="69">
        <f>SUM(E74)*12</f>
        <v>69798</v>
      </c>
      <c r="G74" s="13">
        <v>2.37</v>
      </c>
      <c r="H74" s="63">
        <f>SUM(F74*G74/1000)</f>
        <v>165.42126000000002</v>
      </c>
      <c r="I74" s="13">
        <f>F74/12*G74</f>
        <v>13785.105000000001</v>
      </c>
    </row>
    <row r="75" spans="1:9" ht="27.75" customHeight="1">
      <c r="A75" s="29">
        <v>24</v>
      </c>
      <c r="B75" s="46" t="s">
        <v>185</v>
      </c>
      <c r="C75" s="62" t="s">
        <v>122</v>
      </c>
      <c r="D75" s="14" t="s">
        <v>221</v>
      </c>
      <c r="E75" s="118">
        <v>1</v>
      </c>
      <c r="F75" s="79">
        <f>E75*12</f>
        <v>12</v>
      </c>
      <c r="G75" s="101">
        <v>55.55</v>
      </c>
      <c r="H75" s="63">
        <f>SUM(F75*G75/1000)</f>
        <v>0.66659999999999986</v>
      </c>
      <c r="I75" s="13">
        <f>F75/12*G75</f>
        <v>55.55</v>
      </c>
    </row>
    <row r="76" spans="1:9" hidden="1">
      <c r="A76" s="110"/>
      <c r="B76" s="160" t="s">
        <v>72</v>
      </c>
      <c r="C76" s="16"/>
      <c r="D76" s="14"/>
      <c r="E76" s="18"/>
      <c r="F76" s="13"/>
      <c r="G76" s="13"/>
      <c r="H76" s="63" t="s">
        <v>129</v>
      </c>
      <c r="I76" s="111"/>
    </row>
    <row r="77" spans="1:9" ht="30" hidden="1">
      <c r="A77" s="110"/>
      <c r="B77" s="14" t="s">
        <v>186</v>
      </c>
      <c r="C77" s="16" t="s">
        <v>30</v>
      </c>
      <c r="D77" s="14" t="s">
        <v>65</v>
      </c>
      <c r="E77" s="18">
        <v>2</v>
      </c>
      <c r="F77" s="69">
        <f>E77</f>
        <v>2</v>
      </c>
      <c r="G77" s="13">
        <v>2112.2800000000002</v>
      </c>
      <c r="H77" s="63">
        <f>G77*F77/1000</f>
        <v>4.2245600000000003</v>
      </c>
      <c r="I77" s="111">
        <v>0</v>
      </c>
    </row>
    <row r="78" spans="1:9" hidden="1">
      <c r="A78" s="110"/>
      <c r="B78" s="46" t="s">
        <v>187</v>
      </c>
      <c r="C78" s="62" t="s">
        <v>122</v>
      </c>
      <c r="D78" s="14" t="s">
        <v>65</v>
      </c>
      <c r="E78" s="18">
        <v>5</v>
      </c>
      <c r="F78" s="13">
        <v>5</v>
      </c>
      <c r="G78" s="13">
        <v>136.19999999999999</v>
      </c>
      <c r="H78" s="63">
        <f>SUM(F78*G78/1000)</f>
        <v>0.68100000000000005</v>
      </c>
      <c r="I78" s="111">
        <v>0</v>
      </c>
    </row>
    <row r="79" spans="1:9" hidden="1">
      <c r="A79" s="110"/>
      <c r="B79" s="14" t="s">
        <v>73</v>
      </c>
      <c r="C79" s="16" t="s">
        <v>188</v>
      </c>
      <c r="D79" s="14" t="s">
        <v>65</v>
      </c>
      <c r="E79" s="18">
        <v>6</v>
      </c>
      <c r="F79" s="13">
        <f>E79/10</f>
        <v>0.6</v>
      </c>
      <c r="G79" s="13">
        <v>684.19</v>
      </c>
      <c r="H79" s="63">
        <f>SUM(F79*G79/1000)</f>
        <v>0.41051399999999999</v>
      </c>
      <c r="I79" s="111">
        <v>0</v>
      </c>
    </row>
    <row r="80" spans="1:9" hidden="1">
      <c r="A80" s="110"/>
      <c r="B80" s="14" t="s">
        <v>74</v>
      </c>
      <c r="C80" s="16" t="s">
        <v>30</v>
      </c>
      <c r="D80" s="14" t="s">
        <v>65</v>
      </c>
      <c r="E80" s="18">
        <v>1</v>
      </c>
      <c r="F80" s="57">
        <v>1</v>
      </c>
      <c r="G80" s="13">
        <v>1163.47</v>
      </c>
      <c r="H80" s="63">
        <f>SUM(F80*G80/1000)</f>
        <v>1.16347</v>
      </c>
      <c r="I80" s="111">
        <v>0</v>
      </c>
    </row>
    <row r="81" spans="1:9" hidden="1">
      <c r="A81" s="110"/>
      <c r="B81" s="46" t="s">
        <v>189</v>
      </c>
      <c r="C81" s="62" t="s">
        <v>122</v>
      </c>
      <c r="D81" s="14" t="s">
        <v>65</v>
      </c>
      <c r="E81" s="18">
        <v>1</v>
      </c>
      <c r="F81" s="69">
        <f>E81</f>
        <v>1</v>
      </c>
      <c r="G81" s="13">
        <v>1670.07</v>
      </c>
      <c r="H81" s="63">
        <f>SUM(F81*G81/1000)</f>
        <v>1.6700699999999999</v>
      </c>
      <c r="I81" s="111">
        <v>0</v>
      </c>
    </row>
    <row r="82" spans="1:9" hidden="1">
      <c r="A82" s="110"/>
      <c r="B82" s="84" t="s">
        <v>75</v>
      </c>
      <c r="C82" s="16"/>
      <c r="D82" s="14"/>
      <c r="E82" s="18"/>
      <c r="F82" s="13"/>
      <c r="G82" s="13" t="s">
        <v>129</v>
      </c>
      <c r="H82" s="63" t="s">
        <v>129</v>
      </c>
      <c r="I82" s="111"/>
    </row>
    <row r="83" spans="1:9" hidden="1">
      <c r="A83" s="110"/>
      <c r="B83" s="42" t="s">
        <v>130</v>
      </c>
      <c r="C83" s="16" t="s">
        <v>76</v>
      </c>
      <c r="D83" s="14"/>
      <c r="E83" s="18"/>
      <c r="F83" s="13">
        <v>0.6</v>
      </c>
      <c r="G83" s="13">
        <v>4144.28</v>
      </c>
      <c r="H83" s="63">
        <f t="shared" si="5"/>
        <v>2.4865679999999997</v>
      </c>
      <c r="I83" s="111">
        <v>0</v>
      </c>
    </row>
    <row r="84" spans="1:9" ht="28.5" hidden="1">
      <c r="A84" s="110"/>
      <c r="B84" s="160" t="s">
        <v>127</v>
      </c>
      <c r="C84" s="84"/>
      <c r="D84" s="117"/>
      <c r="E84" s="31"/>
      <c r="F84" s="119"/>
      <c r="G84" s="119"/>
      <c r="H84" s="120">
        <f>SUM(H56:H83)</f>
        <v>411.53215745600005</v>
      </c>
      <c r="I84" s="111"/>
    </row>
    <row r="85" spans="1:9" hidden="1">
      <c r="A85" s="110"/>
      <c r="B85" s="66" t="s">
        <v>128</v>
      </c>
      <c r="C85" s="16"/>
      <c r="D85" s="14"/>
      <c r="E85" s="58"/>
      <c r="F85" s="13">
        <v>1</v>
      </c>
      <c r="G85" s="13">
        <v>24117.599999999999</v>
      </c>
      <c r="H85" s="63">
        <f>G85*F85/1000</f>
        <v>24.117599999999999</v>
      </c>
      <c r="I85" s="111">
        <v>0</v>
      </c>
    </row>
    <row r="86" spans="1:9">
      <c r="A86" s="243" t="s">
        <v>138</v>
      </c>
      <c r="B86" s="244"/>
      <c r="C86" s="244"/>
      <c r="D86" s="244"/>
      <c r="E86" s="244"/>
      <c r="F86" s="244"/>
      <c r="G86" s="244"/>
      <c r="H86" s="244"/>
      <c r="I86" s="245"/>
    </row>
    <row r="87" spans="1:9" ht="16.5" customHeight="1">
      <c r="A87" s="110">
        <v>25</v>
      </c>
      <c r="B87" s="66" t="s">
        <v>131</v>
      </c>
      <c r="C87" s="16" t="s">
        <v>54</v>
      </c>
      <c r="D87" s="85"/>
      <c r="E87" s="13">
        <v>5816.5</v>
      </c>
      <c r="F87" s="13">
        <f>SUM(E87*12)</f>
        <v>69798</v>
      </c>
      <c r="G87" s="13">
        <v>3.22</v>
      </c>
      <c r="H87" s="63">
        <f>SUM(F87*G87/1000)</f>
        <v>224.74956000000003</v>
      </c>
      <c r="I87" s="13">
        <f>F87/12*G87</f>
        <v>18729.13</v>
      </c>
    </row>
    <row r="88" spans="1:9" ht="36.75" customHeight="1">
      <c r="A88" s="29">
        <v>26</v>
      </c>
      <c r="B88" s="14" t="s">
        <v>77</v>
      </c>
      <c r="C88" s="16"/>
      <c r="D88" s="85"/>
      <c r="E88" s="68">
        <f>E87</f>
        <v>5816.5</v>
      </c>
      <c r="F88" s="13">
        <f>E88*12</f>
        <v>69798</v>
      </c>
      <c r="G88" s="13">
        <v>3.64</v>
      </c>
      <c r="H88" s="63">
        <f>F88*G88/1000</f>
        <v>254.06471999999999</v>
      </c>
      <c r="I88" s="13">
        <f>F88/12*G88</f>
        <v>21172.06</v>
      </c>
    </row>
    <row r="89" spans="1:9">
      <c r="A89" s="158"/>
      <c r="B89" s="34" t="s">
        <v>79</v>
      </c>
      <c r="C89" s="35"/>
      <c r="D89" s="15"/>
      <c r="E89" s="15"/>
      <c r="F89" s="15"/>
      <c r="G89" s="18"/>
      <c r="H89" s="18"/>
      <c r="I89" s="31">
        <f>I88+I87+I75+I74+I72+I71+I64+I62+I59+I52+I51+I50+I49+I48+I47+I46+I45+I32+I30+I29+I26+I21+I20+I18+I17+I16</f>
        <v>124401.42127306666</v>
      </c>
    </row>
    <row r="90" spans="1:9">
      <c r="A90" s="237" t="s">
        <v>59</v>
      </c>
      <c r="B90" s="238"/>
      <c r="C90" s="238"/>
      <c r="D90" s="238"/>
      <c r="E90" s="238"/>
      <c r="F90" s="238"/>
      <c r="G90" s="238"/>
      <c r="H90" s="238"/>
      <c r="I90" s="239"/>
    </row>
    <row r="91" spans="1:9" ht="30">
      <c r="A91" s="29">
        <v>27</v>
      </c>
      <c r="B91" s="48" t="s">
        <v>201</v>
      </c>
      <c r="C91" s="91" t="s">
        <v>91</v>
      </c>
      <c r="D91" s="93" t="s">
        <v>303</v>
      </c>
      <c r="E91" s="33"/>
      <c r="F91" s="33">
        <v>3</v>
      </c>
      <c r="G91" s="33">
        <v>670.51</v>
      </c>
      <c r="H91" s="90">
        <f>G91*F91/1000</f>
        <v>2.01153</v>
      </c>
      <c r="I91" s="47">
        <f>G91*2</f>
        <v>1341.02</v>
      </c>
    </row>
    <row r="92" spans="1:9">
      <c r="A92" s="29">
        <v>28</v>
      </c>
      <c r="B92" s="48" t="s">
        <v>297</v>
      </c>
      <c r="C92" s="91" t="s">
        <v>96</v>
      </c>
      <c r="D92" s="92" t="s">
        <v>304</v>
      </c>
      <c r="E92" s="33"/>
      <c r="F92" s="33">
        <v>6</v>
      </c>
      <c r="G92" s="33">
        <v>3498.52</v>
      </c>
      <c r="H92" s="90"/>
      <c r="I92" s="47">
        <f>G92*6</f>
        <v>20991.119999999999</v>
      </c>
    </row>
    <row r="93" spans="1:9">
      <c r="A93" s="29">
        <v>29</v>
      </c>
      <c r="B93" s="48" t="s">
        <v>298</v>
      </c>
      <c r="C93" s="91" t="s">
        <v>122</v>
      </c>
      <c r="D93" s="92" t="s">
        <v>305</v>
      </c>
      <c r="E93" s="33"/>
      <c r="F93" s="33">
        <v>6</v>
      </c>
      <c r="G93" s="33">
        <v>837</v>
      </c>
      <c r="H93" s="90"/>
      <c r="I93" s="47">
        <f>G93*6</f>
        <v>5022</v>
      </c>
    </row>
    <row r="94" spans="1:9">
      <c r="A94" s="29">
        <v>30</v>
      </c>
      <c r="B94" s="48" t="s">
        <v>299</v>
      </c>
      <c r="C94" s="91" t="s">
        <v>122</v>
      </c>
      <c r="D94" s="92" t="s">
        <v>306</v>
      </c>
      <c r="E94" s="33"/>
      <c r="F94" s="33">
        <v>3</v>
      </c>
      <c r="G94" s="33">
        <v>890</v>
      </c>
      <c r="H94" s="90"/>
      <c r="I94" s="47">
        <f>G94*3</f>
        <v>2670</v>
      </c>
    </row>
    <row r="95" spans="1:9">
      <c r="A95" s="29">
        <v>31</v>
      </c>
      <c r="B95" s="48" t="s">
        <v>300</v>
      </c>
      <c r="C95" s="224" t="s">
        <v>193</v>
      </c>
      <c r="D95" s="92" t="s">
        <v>307</v>
      </c>
      <c r="E95" s="33"/>
      <c r="F95" s="33">
        <v>150</v>
      </c>
      <c r="G95" s="33">
        <v>425.33</v>
      </c>
      <c r="H95" s="90"/>
      <c r="I95" s="47">
        <f>G95*150</f>
        <v>63799.5</v>
      </c>
    </row>
    <row r="96" spans="1:9" ht="30">
      <c r="A96" s="29">
        <v>32</v>
      </c>
      <c r="B96" s="48" t="s">
        <v>301</v>
      </c>
      <c r="C96" s="91" t="s">
        <v>29</v>
      </c>
      <c r="D96" s="92" t="s">
        <v>221</v>
      </c>
      <c r="E96" s="33"/>
      <c r="F96" s="33">
        <v>0.1</v>
      </c>
      <c r="G96" s="33">
        <v>1809.27</v>
      </c>
      <c r="H96" s="90"/>
      <c r="I96" s="47">
        <v>0</v>
      </c>
    </row>
    <row r="97" spans="1:9">
      <c r="A97" s="29">
        <v>33</v>
      </c>
      <c r="B97" s="48" t="s">
        <v>174</v>
      </c>
      <c r="C97" s="91" t="s">
        <v>193</v>
      </c>
      <c r="D97" s="92" t="s">
        <v>367</v>
      </c>
      <c r="E97" s="33"/>
      <c r="F97" s="33">
        <v>66</v>
      </c>
      <c r="G97" s="33">
        <v>284</v>
      </c>
      <c r="H97" s="90"/>
      <c r="I97" s="47">
        <v>0</v>
      </c>
    </row>
    <row r="98" spans="1:9">
      <c r="A98" s="29">
        <v>34</v>
      </c>
      <c r="B98" s="48" t="s">
        <v>368</v>
      </c>
      <c r="C98" s="91" t="s">
        <v>83</v>
      </c>
      <c r="D98" s="92"/>
      <c r="E98" s="33"/>
      <c r="F98" s="33">
        <v>3</v>
      </c>
      <c r="G98" s="33">
        <v>269.91000000000003</v>
      </c>
      <c r="H98" s="90"/>
      <c r="I98" s="47">
        <v>0</v>
      </c>
    </row>
    <row r="99" spans="1:9">
      <c r="A99" s="29">
        <v>35</v>
      </c>
      <c r="B99" s="48" t="s">
        <v>81</v>
      </c>
      <c r="C99" s="91" t="s">
        <v>122</v>
      </c>
      <c r="D99" s="92"/>
      <c r="E99" s="33"/>
      <c r="F99" s="33">
        <v>13</v>
      </c>
      <c r="G99" s="33">
        <v>215.85</v>
      </c>
      <c r="H99" s="90"/>
      <c r="I99" s="47">
        <f>G99*1</f>
        <v>215.85</v>
      </c>
    </row>
    <row r="100" spans="1:9">
      <c r="A100" s="29">
        <v>36</v>
      </c>
      <c r="B100" s="48" t="s">
        <v>247</v>
      </c>
      <c r="C100" s="91" t="s">
        <v>39</v>
      </c>
      <c r="D100" s="92" t="s">
        <v>221</v>
      </c>
      <c r="E100" s="33"/>
      <c r="F100" s="33">
        <v>0.04</v>
      </c>
      <c r="G100" s="33">
        <v>27139.18</v>
      </c>
      <c r="H100" s="90"/>
      <c r="I100" s="47">
        <v>0</v>
      </c>
    </row>
    <row r="101" spans="1:9" ht="30">
      <c r="A101" s="29">
        <v>37</v>
      </c>
      <c r="B101" s="48" t="s">
        <v>210</v>
      </c>
      <c r="C101" s="91" t="s">
        <v>37</v>
      </c>
      <c r="D101" s="92" t="s">
        <v>221</v>
      </c>
      <c r="E101" s="33"/>
      <c r="F101" s="33">
        <v>0.08</v>
      </c>
      <c r="G101" s="33">
        <v>4070.89</v>
      </c>
      <c r="H101" s="90"/>
      <c r="I101" s="47">
        <v>0</v>
      </c>
    </row>
    <row r="102" spans="1:9" ht="13.5" customHeight="1">
      <c r="A102" s="29"/>
      <c r="B102" s="40" t="s">
        <v>51</v>
      </c>
      <c r="C102" s="36"/>
      <c r="D102" s="44"/>
      <c r="E102" s="36">
        <v>1</v>
      </c>
      <c r="F102" s="36"/>
      <c r="G102" s="36"/>
      <c r="H102" s="36"/>
      <c r="I102" s="31">
        <f>SUM(I91:I101)</f>
        <v>94039.49</v>
      </c>
    </row>
    <row r="103" spans="1:9">
      <c r="A103" s="29"/>
      <c r="B103" s="42" t="s">
        <v>78</v>
      </c>
      <c r="C103" s="15"/>
      <c r="D103" s="15"/>
      <c r="E103" s="37"/>
      <c r="F103" s="37"/>
      <c r="G103" s="38"/>
      <c r="H103" s="38"/>
      <c r="I103" s="17">
        <v>0</v>
      </c>
    </row>
    <row r="104" spans="1:9">
      <c r="A104" s="45"/>
      <c r="B104" s="41" t="s">
        <v>173</v>
      </c>
      <c r="C104" s="32"/>
      <c r="D104" s="32"/>
      <c r="E104" s="32"/>
      <c r="F104" s="32"/>
      <c r="G104" s="32"/>
      <c r="H104" s="32"/>
      <c r="I104" s="39">
        <f>I102+I89</f>
        <v>218440.91127306665</v>
      </c>
    </row>
    <row r="105" spans="1:9" ht="15.75">
      <c r="A105" s="240" t="s">
        <v>369</v>
      </c>
      <c r="B105" s="240"/>
      <c r="C105" s="240"/>
      <c r="D105" s="240"/>
      <c r="E105" s="240"/>
      <c r="F105" s="240"/>
      <c r="G105" s="240"/>
      <c r="H105" s="240"/>
      <c r="I105" s="240"/>
    </row>
    <row r="106" spans="1:9" ht="15.75">
      <c r="A106" s="56"/>
      <c r="B106" s="241" t="s">
        <v>370</v>
      </c>
      <c r="C106" s="241"/>
      <c r="D106" s="241"/>
      <c r="E106" s="241"/>
      <c r="F106" s="241"/>
      <c r="G106" s="241"/>
      <c r="H106" s="61"/>
      <c r="I106" s="3"/>
    </row>
    <row r="107" spans="1:9">
      <c r="A107" s="156"/>
      <c r="B107" s="228" t="s">
        <v>6</v>
      </c>
      <c r="C107" s="228"/>
      <c r="D107" s="228"/>
      <c r="E107" s="228"/>
      <c r="F107" s="228"/>
      <c r="G107" s="228"/>
      <c r="H107" s="24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242" t="s">
        <v>7</v>
      </c>
      <c r="B109" s="242"/>
      <c r="C109" s="242"/>
      <c r="D109" s="242"/>
      <c r="E109" s="242"/>
      <c r="F109" s="242"/>
      <c r="G109" s="242"/>
      <c r="H109" s="242"/>
      <c r="I109" s="242"/>
    </row>
    <row r="110" spans="1:9" ht="15.75">
      <c r="A110" s="242" t="s">
        <v>8</v>
      </c>
      <c r="B110" s="242"/>
      <c r="C110" s="242"/>
      <c r="D110" s="242"/>
      <c r="E110" s="242"/>
      <c r="F110" s="242"/>
      <c r="G110" s="242"/>
      <c r="H110" s="242"/>
      <c r="I110" s="242"/>
    </row>
    <row r="111" spans="1:9" ht="15.75">
      <c r="A111" s="232" t="s">
        <v>60</v>
      </c>
      <c r="B111" s="232"/>
      <c r="C111" s="232"/>
      <c r="D111" s="232"/>
      <c r="E111" s="232"/>
      <c r="F111" s="232"/>
      <c r="G111" s="232"/>
      <c r="H111" s="232"/>
      <c r="I111" s="232"/>
    </row>
    <row r="112" spans="1:9" ht="15.75">
      <c r="A112" s="11"/>
    </row>
    <row r="113" spans="1:9" ht="15.75">
      <c r="A113" s="226" t="s">
        <v>9</v>
      </c>
      <c r="B113" s="226"/>
      <c r="C113" s="226"/>
      <c r="D113" s="226"/>
      <c r="E113" s="226"/>
      <c r="F113" s="226"/>
      <c r="G113" s="226"/>
      <c r="H113" s="226"/>
      <c r="I113" s="226"/>
    </row>
    <row r="114" spans="1:9" ht="15.75">
      <c r="A114" s="4"/>
    </row>
    <row r="115" spans="1:9" ht="15.75">
      <c r="B115" s="157" t="s">
        <v>10</v>
      </c>
      <c r="C115" s="227" t="s">
        <v>88</v>
      </c>
      <c r="D115" s="227"/>
      <c r="E115" s="227"/>
      <c r="F115" s="59"/>
      <c r="I115" s="155"/>
    </row>
    <row r="116" spans="1:9">
      <c r="A116" s="156"/>
      <c r="C116" s="228" t="s">
        <v>11</v>
      </c>
      <c r="D116" s="228"/>
      <c r="E116" s="228"/>
      <c r="F116" s="24"/>
      <c r="I116" s="154" t="s">
        <v>12</v>
      </c>
    </row>
    <row r="117" spans="1:9" ht="15.75">
      <c r="A117" s="25"/>
      <c r="C117" s="12"/>
      <c r="D117" s="12"/>
      <c r="G117" s="12"/>
      <c r="H117" s="12"/>
    </row>
    <row r="118" spans="1:9" ht="15.75">
      <c r="B118" s="157" t="s">
        <v>13</v>
      </c>
      <c r="C118" s="229"/>
      <c r="D118" s="229"/>
      <c r="E118" s="229"/>
      <c r="F118" s="60"/>
      <c r="I118" s="155"/>
    </row>
    <row r="119" spans="1:9">
      <c r="A119" s="156"/>
      <c r="C119" s="230" t="s">
        <v>11</v>
      </c>
      <c r="D119" s="230"/>
      <c r="E119" s="230"/>
      <c r="F119" s="156"/>
      <c r="I119" s="154" t="s">
        <v>12</v>
      </c>
    </row>
    <row r="120" spans="1:9" ht="15.75">
      <c r="A120" s="4" t="s">
        <v>14</v>
      </c>
    </row>
    <row r="121" spans="1:9">
      <c r="A121" s="231" t="s">
        <v>15</v>
      </c>
      <c r="B121" s="231"/>
      <c r="C121" s="231"/>
      <c r="D121" s="231"/>
      <c r="E121" s="231"/>
      <c r="F121" s="231"/>
      <c r="G121" s="231"/>
      <c r="H121" s="231"/>
      <c r="I121" s="231"/>
    </row>
    <row r="122" spans="1:9" ht="44.25" customHeight="1">
      <c r="A122" s="225" t="s">
        <v>16</v>
      </c>
      <c r="B122" s="225"/>
      <c r="C122" s="225"/>
      <c r="D122" s="225"/>
      <c r="E122" s="225"/>
      <c r="F122" s="225"/>
      <c r="G122" s="225"/>
      <c r="H122" s="225"/>
      <c r="I122" s="225"/>
    </row>
    <row r="123" spans="1:9" ht="36.75" customHeight="1">
      <c r="A123" s="225" t="s">
        <v>17</v>
      </c>
      <c r="B123" s="225"/>
      <c r="C123" s="225"/>
      <c r="D123" s="225"/>
      <c r="E123" s="225"/>
      <c r="F123" s="225"/>
      <c r="G123" s="225"/>
      <c r="H123" s="225"/>
      <c r="I123" s="225"/>
    </row>
    <row r="124" spans="1:9" ht="30.75" customHeight="1">
      <c r="A124" s="225" t="s">
        <v>21</v>
      </c>
      <c r="B124" s="225"/>
      <c r="C124" s="225"/>
      <c r="D124" s="225"/>
      <c r="E124" s="225"/>
      <c r="F124" s="225"/>
      <c r="G124" s="225"/>
      <c r="H124" s="225"/>
      <c r="I124" s="225"/>
    </row>
    <row r="125" spans="1:9" ht="15.75">
      <c r="A125" s="225" t="s">
        <v>20</v>
      </c>
      <c r="B125" s="225"/>
      <c r="C125" s="225"/>
      <c r="D125" s="225"/>
      <c r="E125" s="225"/>
      <c r="F125" s="225"/>
      <c r="G125" s="225"/>
      <c r="H125" s="225"/>
      <c r="I125" s="225"/>
    </row>
  </sheetData>
  <mergeCells count="28">
    <mergeCell ref="A14:I14"/>
    <mergeCell ref="A3:I3"/>
    <mergeCell ref="A4:I4"/>
    <mergeCell ref="A5:I5"/>
    <mergeCell ref="A8:I8"/>
    <mergeCell ref="A10:I10"/>
    <mergeCell ref="A111:I111"/>
    <mergeCell ref="A15:I15"/>
    <mergeCell ref="A27:I27"/>
    <mergeCell ref="A44:I44"/>
    <mergeCell ref="A54:I54"/>
    <mergeCell ref="A86:I86"/>
    <mergeCell ref="A90:I90"/>
    <mergeCell ref="A105:I105"/>
    <mergeCell ref="B106:G106"/>
    <mergeCell ref="B107:G107"/>
    <mergeCell ref="A109:I109"/>
    <mergeCell ref="A110:I110"/>
    <mergeCell ref="A122:I122"/>
    <mergeCell ref="A123:I123"/>
    <mergeCell ref="A124:I124"/>
    <mergeCell ref="A125:I125"/>
    <mergeCell ref="A113:I113"/>
    <mergeCell ref="C115:E115"/>
    <mergeCell ref="C116:E116"/>
    <mergeCell ref="C118:E118"/>
    <mergeCell ref="C119:E119"/>
    <mergeCell ref="A121:I1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2021-02-15T12:34:57Z</cp:lastPrinted>
  <dcterms:created xsi:type="dcterms:W3CDTF">2016-03-25T08:33:47Z</dcterms:created>
  <dcterms:modified xsi:type="dcterms:W3CDTF">2021-02-15T12:36:00Z</dcterms:modified>
</cp:coreProperties>
</file>