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'Шахт.,7'!$A$1:$U$112</definedName>
  </definedNames>
  <calcPr calcId="124519"/>
</workbook>
</file>

<file path=xl/calcChain.xml><?xml version="1.0" encoding="utf-8"?>
<calcChain xmlns="http://schemas.openxmlformats.org/spreadsheetml/2006/main">
  <c r="T61" i="1"/>
  <c r="H100"/>
  <c r="U100"/>
  <c r="U98"/>
  <c r="O98"/>
  <c r="H98"/>
  <c r="U97" l="1"/>
  <c r="O97"/>
  <c r="H97"/>
  <c r="U96"/>
  <c r="T96"/>
  <c r="H96"/>
  <c r="T86"/>
  <c r="T95"/>
  <c r="U95" s="1"/>
  <c r="R61"/>
  <c r="P87"/>
  <c r="S95"/>
  <c r="H95"/>
  <c r="S61"/>
  <c r="U94"/>
  <c r="S94"/>
  <c r="H94"/>
  <c r="U93"/>
  <c r="S93"/>
  <c r="R93"/>
  <c r="H93"/>
  <c r="S86"/>
  <c r="P86"/>
  <c r="O86"/>
  <c r="N86"/>
  <c r="K36"/>
  <c r="F52"/>
  <c r="T40"/>
  <c r="S40"/>
  <c r="T33"/>
  <c r="S33"/>
  <c r="Q67"/>
  <c r="Q53"/>
  <c r="Q52"/>
  <c r="Q51"/>
  <c r="M53"/>
  <c r="M52"/>
  <c r="F26"/>
  <c r="R26" s="1"/>
  <c r="L87"/>
  <c r="L92"/>
  <c r="U92" s="1"/>
  <c r="H92"/>
  <c r="L40"/>
  <c r="L33"/>
  <c r="K40"/>
  <c r="K33"/>
  <c r="K91"/>
  <c r="U91" s="1"/>
  <c r="H91"/>
  <c r="N26" l="1"/>
  <c r="O26"/>
  <c r="Q26"/>
  <c r="M26"/>
  <c r="P26"/>
  <c r="K90"/>
  <c r="U90" s="1"/>
  <c r="H90"/>
  <c r="U89"/>
  <c r="K89"/>
  <c r="H89"/>
  <c r="F75"/>
  <c r="N75" s="1"/>
  <c r="U75"/>
  <c r="H75"/>
  <c r="U88"/>
  <c r="J88"/>
  <c r="H88"/>
  <c r="J53"/>
  <c r="J52"/>
  <c r="J51"/>
  <c r="J40"/>
  <c r="J33"/>
  <c r="U87"/>
  <c r="I87"/>
  <c r="H87"/>
  <c r="I86"/>
  <c r="U86" s="1"/>
  <c r="H86"/>
  <c r="I61"/>
  <c r="U61" s="1"/>
  <c r="U73"/>
  <c r="U71"/>
  <c r="U70"/>
  <c r="U69"/>
  <c r="U67"/>
  <c r="U60"/>
  <c r="U58"/>
  <c r="U53"/>
  <c r="U52"/>
  <c r="U51"/>
  <c r="U29"/>
  <c r="U28"/>
  <c r="U26"/>
  <c r="U16"/>
  <c r="I40"/>
  <c r="U40" s="1"/>
  <c r="I36"/>
  <c r="U36" s="1"/>
  <c r="I33"/>
  <c r="U33" s="1"/>
  <c r="F47"/>
  <c r="F44"/>
  <c r="F19"/>
  <c r="F16"/>
  <c r="N16" s="1"/>
  <c r="F15"/>
  <c r="N15" s="1"/>
  <c r="U15" s="1"/>
  <c r="H52"/>
  <c r="F53"/>
  <c r="F38"/>
  <c r="F34"/>
  <c r="J34" s="1"/>
  <c r="F35"/>
  <c r="H58"/>
  <c r="H19" l="1"/>
  <c r="N19"/>
  <c r="U19" s="1"/>
  <c r="I35"/>
  <c r="T35"/>
  <c r="S35"/>
  <c r="L35"/>
  <c r="K35"/>
  <c r="I38"/>
  <c r="T38"/>
  <c r="S38"/>
  <c r="L38"/>
  <c r="K38"/>
  <c r="Q44"/>
  <c r="L44"/>
  <c r="H34"/>
  <c r="T34"/>
  <c r="L34"/>
  <c r="K34"/>
  <c r="S34"/>
  <c r="H47"/>
  <c r="L47"/>
  <c r="U47" s="1"/>
  <c r="Q47"/>
  <c r="J35"/>
  <c r="J38"/>
  <c r="I34"/>
  <c r="U34" s="1"/>
  <c r="U44" l="1"/>
  <c r="U38"/>
  <c r="U35"/>
  <c r="H36"/>
  <c r="H35" l="1"/>
  <c r="H71"/>
  <c r="H70" l="1"/>
  <c r="F14" l="1"/>
  <c r="F17"/>
  <c r="N17" s="1"/>
  <c r="U17" s="1"/>
  <c r="F18"/>
  <c r="N18" s="1"/>
  <c r="U18" s="1"/>
  <c r="N14" l="1"/>
  <c r="U14" s="1"/>
  <c r="H14"/>
  <c r="F103"/>
  <c r="H102"/>
  <c r="E78"/>
  <c r="H82" s="1"/>
  <c r="F76"/>
  <c r="H73"/>
  <c r="H69"/>
  <c r="H67"/>
  <c r="F66"/>
  <c r="F65"/>
  <c r="F64"/>
  <c r="F63"/>
  <c r="F62"/>
  <c r="H61"/>
  <c r="H60"/>
  <c r="F56"/>
  <c r="H53"/>
  <c r="H51"/>
  <c r="F50"/>
  <c r="F49"/>
  <c r="F48"/>
  <c r="F46"/>
  <c r="F45"/>
  <c r="H44"/>
  <c r="F43"/>
  <c r="H40"/>
  <c r="F39"/>
  <c r="H38"/>
  <c r="F37"/>
  <c r="H33"/>
  <c r="F30"/>
  <c r="H29"/>
  <c r="H28"/>
  <c r="F27"/>
  <c r="H26"/>
  <c r="F25"/>
  <c r="F24"/>
  <c r="F23"/>
  <c r="F20"/>
  <c r="H18"/>
  <c r="H17"/>
  <c r="E13"/>
  <c r="F13" s="1"/>
  <c r="F12"/>
  <c r="F11"/>
  <c r="H24" l="1"/>
  <c r="Q24"/>
  <c r="O24"/>
  <c r="M24"/>
  <c r="R24"/>
  <c r="P24"/>
  <c r="N24"/>
  <c r="T11"/>
  <c r="R11"/>
  <c r="P11"/>
  <c r="N11"/>
  <c r="L11"/>
  <c r="K11"/>
  <c r="I11"/>
  <c r="S11"/>
  <c r="Q11"/>
  <c r="O11"/>
  <c r="M11"/>
  <c r="J11"/>
  <c r="I13"/>
  <c r="T13"/>
  <c r="R13"/>
  <c r="P13"/>
  <c r="N13"/>
  <c r="M13"/>
  <c r="L13"/>
  <c r="K13"/>
  <c r="S13"/>
  <c r="Q13"/>
  <c r="O13"/>
  <c r="J13"/>
  <c r="H23"/>
  <c r="R23"/>
  <c r="P23"/>
  <c r="N23"/>
  <c r="Q23"/>
  <c r="O23"/>
  <c r="M23"/>
  <c r="H25"/>
  <c r="M25"/>
  <c r="U25" s="1"/>
  <c r="I27"/>
  <c r="T27"/>
  <c r="Q27"/>
  <c r="O27"/>
  <c r="M27"/>
  <c r="S27"/>
  <c r="R27"/>
  <c r="P27"/>
  <c r="N27"/>
  <c r="L27"/>
  <c r="K27"/>
  <c r="J27"/>
  <c r="H46"/>
  <c r="Q46"/>
  <c r="L46"/>
  <c r="U46" s="1"/>
  <c r="H49"/>
  <c r="K49"/>
  <c r="U49" s="1"/>
  <c r="Q49"/>
  <c r="T56"/>
  <c r="K56"/>
  <c r="S56"/>
  <c r="L56"/>
  <c r="J56"/>
  <c r="H63"/>
  <c r="M63"/>
  <c r="U63" s="1"/>
  <c r="H65"/>
  <c r="M65"/>
  <c r="U65" s="1"/>
  <c r="I12"/>
  <c r="T12"/>
  <c r="Q12"/>
  <c r="O12"/>
  <c r="M12"/>
  <c r="S12"/>
  <c r="R12"/>
  <c r="P12"/>
  <c r="N12"/>
  <c r="L12"/>
  <c r="K12"/>
  <c r="J12"/>
  <c r="H20"/>
  <c r="N20"/>
  <c r="U20" s="1"/>
  <c r="T30"/>
  <c r="R30"/>
  <c r="P30"/>
  <c r="N30"/>
  <c r="L30"/>
  <c r="K30"/>
  <c r="S30"/>
  <c r="Q30"/>
  <c r="O30"/>
  <c r="M30"/>
  <c r="J30"/>
  <c r="T37"/>
  <c r="L37"/>
  <c r="K37"/>
  <c r="S37"/>
  <c r="J37"/>
  <c r="T39"/>
  <c r="L39"/>
  <c r="K39"/>
  <c r="S39"/>
  <c r="J39"/>
  <c r="H43"/>
  <c r="L43"/>
  <c r="Q43"/>
  <c r="H45"/>
  <c r="L45"/>
  <c r="U45" s="1"/>
  <c r="Q45"/>
  <c r="I48"/>
  <c r="Q48"/>
  <c r="M48"/>
  <c r="T48"/>
  <c r="J48"/>
  <c r="H50"/>
  <c r="Q50"/>
  <c r="K50"/>
  <c r="H62"/>
  <c r="M62"/>
  <c r="U62" s="1"/>
  <c r="H64"/>
  <c r="M64"/>
  <c r="U64" s="1"/>
  <c r="H66"/>
  <c r="M66"/>
  <c r="U66" s="1"/>
  <c r="I76"/>
  <c r="T76"/>
  <c r="R76"/>
  <c r="P76"/>
  <c r="N76"/>
  <c r="M76"/>
  <c r="L76"/>
  <c r="K76"/>
  <c r="S76"/>
  <c r="Q76"/>
  <c r="O76"/>
  <c r="J76"/>
  <c r="H30"/>
  <c r="I30"/>
  <c r="U30" s="1"/>
  <c r="H37"/>
  <c r="H41" s="1"/>
  <c r="I37"/>
  <c r="U37" s="1"/>
  <c r="H39"/>
  <c r="I39"/>
  <c r="U39" s="1"/>
  <c r="H56"/>
  <c r="I56"/>
  <c r="U56" s="1"/>
  <c r="U74" s="1"/>
  <c r="H76"/>
  <c r="H77" s="1"/>
  <c r="H27"/>
  <c r="H48"/>
  <c r="H54" s="1"/>
  <c r="H11"/>
  <c r="H12"/>
  <c r="H16"/>
  <c r="H13"/>
  <c r="H15"/>
  <c r="F78"/>
  <c r="H31" l="1"/>
  <c r="H74"/>
  <c r="U50"/>
  <c r="U43"/>
  <c r="U12"/>
  <c r="U23"/>
  <c r="U13"/>
  <c r="M103"/>
  <c r="I78"/>
  <c r="T78"/>
  <c r="T103" s="1"/>
  <c r="Q78"/>
  <c r="Q103" s="1"/>
  <c r="O78"/>
  <c r="O103" s="1"/>
  <c r="S78"/>
  <c r="R78"/>
  <c r="P78"/>
  <c r="P103" s="1"/>
  <c r="N78"/>
  <c r="M78"/>
  <c r="L78"/>
  <c r="L103" s="1"/>
  <c r="K78"/>
  <c r="J78"/>
  <c r="U76"/>
  <c r="U77" s="1"/>
  <c r="U48"/>
  <c r="U54" s="1"/>
  <c r="U27"/>
  <c r="J103"/>
  <c r="S103"/>
  <c r="K103"/>
  <c r="N103"/>
  <c r="R103"/>
  <c r="U11"/>
  <c r="U21" s="1"/>
  <c r="U24"/>
  <c r="U41"/>
  <c r="H78"/>
  <c r="H79" s="1"/>
  <c r="C109"/>
  <c r="H21"/>
  <c r="U78" l="1"/>
  <c r="U79" s="1"/>
  <c r="U31"/>
  <c r="U80" s="1"/>
  <c r="U103" s="1"/>
  <c r="I103"/>
  <c r="H80"/>
  <c r="H83" s="1"/>
  <c r="G103" s="1"/>
  <c r="H103" s="1"/>
  <c r="C108" l="1"/>
  <c r="C112"/>
</calcChain>
</file>

<file path=xl/sharedStrings.xml><?xml version="1.0" encoding="utf-8"?>
<sst xmlns="http://schemas.openxmlformats.org/spreadsheetml/2006/main" count="301" uniqueCount="226">
  <si>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</si>
  <si>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</si>
  <si>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</si>
  <si>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</si>
  <si>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</si>
  <si>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</si>
  <si>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</si>
  <si>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</si>
  <si>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</si>
  <si>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</si>
  <si>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</si>
  <si>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</si>
  <si>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</si>
  <si>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</si>
  <si>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</si>
  <si>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</si>
  <si>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</si>
  <si>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</si>
  <si>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</si>
  <si>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</si>
  <si>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</si>
  <si>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</si>
  <si>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</si>
  <si>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</si>
  <si>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</si>
  <si>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</si>
  <si>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</si>
  <si>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</si>
  <si>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</si>
  <si>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</si>
  <si>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</si>
  <si>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</si>
  <si>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</si>
  <si>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</si>
  <si>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</si>
  <si>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</si>
  <si>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</si>
  <si>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</si>
  <si>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</si>
  <si>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</si>
  <si>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</si>
  <si>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</si>
  <si>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</si>
  <si>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</si>
  <si>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</si>
  <si>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</si>
  <si>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</si>
  <si>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</si>
  <si>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</si>
  <si>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</si>
  <si>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</si>
  <si>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</si>
  <si>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</si>
  <si>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</si>
  <si>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</si>
  <si>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</si>
  <si>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</si>
  <si>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</si>
  <si>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</si>
  <si>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</si>
  <si>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</si>
  <si>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</si>
  <si>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</si>
  <si>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</si>
  <si>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</si>
  <si>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</si>
  <si>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</si>
  <si>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</si>
  <si>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</si>
  <si>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</si>
  <si>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</si>
  <si>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</si>
  <si>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</si>
  <si>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</si>
  <si>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</si>
  <si>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</si>
  <si>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</si>
  <si>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</si>
  <si>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</si>
  <si>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</si>
  <si>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</si>
  <si>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</si>
  <si>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</si>
  <si>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</si>
  <si>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</si>
  <si>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</si>
  <si>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</si>
  <si>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</si>
  <si>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</si>
  <si>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</si>
  <si>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</si>
  <si>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</si>
  <si>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</si>
  <si>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</si>
  <si>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</si>
  <si>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</si>
  <si>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</si>
  <si>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</si>
  <si>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</si>
  <si>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</si>
  <si>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</si>
  <si>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 xml:space="preserve">6 раз за сезон </t>
  </si>
  <si>
    <t xml:space="preserve">пр.ТЭР 54-041 </t>
  </si>
  <si>
    <t>Чердак, подвал, технический этаж</t>
  </si>
  <si>
    <t>ТЭР 51-034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</si>
  <si>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</si>
  <si>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</si>
  <si>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</si>
  <si>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</si>
  <si>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</si>
  <si>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</si>
  <si>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</si>
  <si>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</si>
  <si>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</si>
  <si>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</si>
  <si>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</si>
  <si>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</si>
  <si>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</si>
  <si>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</si>
  <si>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</si>
  <si>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</si>
  <si>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</si>
  <si>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</si>
  <si>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</si>
  <si>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</si>
  <si>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</si>
  <si>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</si>
  <si>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33-049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</si>
  <si>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</si>
  <si>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</si>
  <si>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</si>
  <si>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</si>
  <si>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</si>
  <si>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</si>
  <si>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</si>
  <si>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</si>
  <si>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</si>
  <si>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</si>
  <si>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</si>
  <si>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</si>
  <si>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</si>
  <si>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</si>
  <si>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</si>
  <si>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</si>
  <si>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 Очистка края кровли от слежавшегося снега со сбрасыванием сосулек (10% от S кровли) и козырьки</t>
  </si>
  <si>
    <t>Сдвигание снега в дни снегопада ( крыльца, тротуары</t>
  </si>
  <si>
    <t>Вода для промывки СО</t>
  </si>
  <si>
    <t>Сброс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</si>
  <si>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</si>
  <si>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</si>
  <si>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</si>
  <si>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Замена ламп ДРЛ</t>
  </si>
  <si>
    <t>Вывоз снега с придомовой территории</t>
  </si>
  <si>
    <t>30 раз за сезон</t>
  </si>
  <si>
    <t>12 раз за сезон</t>
  </si>
  <si>
    <t>Сдвигание снега в дни снегопада (проезд)</t>
  </si>
  <si>
    <t>24 раза за сезон</t>
  </si>
  <si>
    <t>ТЭР 42-002</t>
  </si>
  <si>
    <t>Осмотр рулонной кровли</t>
  </si>
  <si>
    <t>2-1-1а</t>
  </si>
  <si>
    <t>Проверка дымоходов</t>
  </si>
  <si>
    <t>Очистка  от мусора</t>
  </si>
  <si>
    <t>ТЭР 51-020</t>
  </si>
  <si>
    <t>Влажная протирка подоконников</t>
  </si>
  <si>
    <t>ТЭР 42-003</t>
  </si>
  <si>
    <t>Осмотр деревянных конструкций стропил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</si>
  <si>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</si>
  <si>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</si>
  <si>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</si>
  <si>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</si>
  <si>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</si>
  <si>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</si>
  <si>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</si>
  <si>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</si>
  <si>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</si>
  <si>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</si>
  <si>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</si>
  <si>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</si>
  <si>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</si>
  <si>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3 раза в год</t>
  </si>
  <si>
    <t>Ремонт групповых щитков на лестничной клетке без ремонта автоматов</t>
  </si>
  <si>
    <t>ТЭР 33-030</t>
  </si>
  <si>
    <t>Смена автомата на ток до 25А</t>
  </si>
  <si>
    <t>ТЭР 33-046</t>
  </si>
  <si>
    <t>калькуляция</t>
  </si>
  <si>
    <t>Работа автовышки</t>
  </si>
  <si>
    <t>маш/час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</si>
  <si>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Космонавтов, 4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</si>
  <si>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4 подъезда</t>
  </si>
  <si>
    <t>Стоимость (руб.)</t>
  </si>
  <si>
    <t>договор</t>
  </si>
  <si>
    <t>ТО внутридомового газ.оборудования</t>
  </si>
  <si>
    <t>10 м</t>
  </si>
  <si>
    <t xml:space="preserve">Смена сгонов у трубопроводов диаметром до 20 мм </t>
  </si>
  <si>
    <t>1 сгон</t>
  </si>
  <si>
    <t>ТЭР 31-009</t>
  </si>
  <si>
    <t>20-1-134-2</t>
  </si>
  <si>
    <t>Пристрожка полотна по кромкам</t>
  </si>
  <si>
    <t>1 полотно</t>
  </si>
  <si>
    <t>прим. ТЭР 11-013</t>
  </si>
  <si>
    <t>Заделка слухового окна ДВП</t>
  </si>
  <si>
    <t>Ремонт силового предохранительного шкафа (без стоимости материалов)</t>
  </si>
  <si>
    <t>ТЭР 33-032</t>
  </si>
  <si>
    <t>С учетом показателя инфляции     ( К=1,064)</t>
  </si>
  <si>
    <t>Начислено за содержание и текущий ремонт за  2015  г.</t>
  </si>
  <si>
    <t xml:space="preserve">Выполнено работ по содержанию за   2015 г. 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</si>
  <si>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</si>
  <si>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</si>
  <si>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2015 г., составляет:</t>
  </si>
  <si>
    <t>Баланс выполненных работ на 01.01.2016 г. ( -долг за предприятием, +долг за населением)</t>
  </si>
  <si>
    <t>Ремонт и регулировка доводчика (со стоимостью доводчика)</t>
  </si>
  <si>
    <t>1шт.</t>
  </si>
  <si>
    <t>место</t>
  </si>
  <si>
    <t>ТЭР 32-098</t>
  </si>
  <si>
    <t>Ремонт внутренних трубопроводов и стояков д=до 50 мм (хомуты)</t>
  </si>
  <si>
    <t>Смена арматуры - вентилей и клапанов обратных муфтовых диаметром до 20 мм</t>
  </si>
  <si>
    <t>1 шт</t>
  </si>
  <si>
    <t>ТЭР 32-027</t>
  </si>
  <si>
    <t>Q2-2-1-3-3</t>
  </si>
  <si>
    <t>Мелкий ремонт электропроводки</t>
  </si>
  <si>
    <t>1 м</t>
  </si>
  <si>
    <t>прим. ТЭР 15-008</t>
  </si>
  <si>
    <t>Ремонт рамы слух.окна</t>
  </si>
  <si>
    <t>Обрезка и прореживание кустарников диаметром до 0,5 м</t>
  </si>
  <si>
    <t>100 шт</t>
  </si>
  <si>
    <t>ТЭР 53-026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</si>
</sst>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/>
    <xf numFmtId="4" fontId="1" fillId="4" borderId="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4" fontId="1" fillId="8" borderId="1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0" borderId="13" xfId="0" applyFont="1" applyBorder="1" applyAlignment="1">
      <alignment horizontal="center" vertical="center" wrapText="1"/>
    </xf>
    <xf numFmtId="0" fontId="17" fillId="0" borderId="0" xfId="0" applyFont="1" applyAlignment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12" borderId="3" xfId="0" applyNumberFormat="1" applyFont="1" applyFill="1" applyBorder="1" applyAlignment="1" applyProtection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23" xfId="0" applyFont="1" applyBorder="1"/>
    <xf numFmtId="0" fontId="1" fillId="5" borderId="23" xfId="0" applyFont="1" applyFill="1" applyBorder="1"/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 applyProtection="1">
      <alignment horizontal="center" vertical="center" wrapText="1"/>
    </xf>
    <xf numFmtId="0" fontId="1" fillId="0" borderId="3" xfId="0" applyFont="1" applyBorder="1"/>
    <xf numFmtId="4" fontId="1" fillId="2" borderId="2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16"/>
  <sheetViews>
    <sheetView tabSelected="1" view="pageBreakPreview" zoomScaleNormal="75" zoomScaleSheetLayoutView="100" workbookViewId="0">
      <pane ySplit="7" topLeftCell="A110" activePane="bottomLeft" state="frozen"/>
      <selection activeCell="B1" sqref="B1"/>
      <selection pane="bottomLeft" activeCell="C107" sqref="C107:F107"/>
    </sheetView>
  </sheetViews>
  <sheetFormatPr defaultRowHeight="12.75"/>
  <cols>
    <col min="1" max="1" width="12.42578125" customWidth="1"/>
    <col min="2" max="2" width="42.7109375" customWidth="1"/>
    <col min="3" max="3" width="9.2851562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28515625" customWidth="1"/>
    <col min="10" max="10" width="10.140625" customWidth="1"/>
    <col min="11" max="12" width="10.28515625" customWidth="1"/>
    <col min="13" max="13" width="9.85546875" customWidth="1"/>
    <col min="14" max="14" width="10" customWidth="1"/>
    <col min="15" max="17" width="9.85546875" customWidth="1"/>
    <col min="18" max="18" width="9.5703125" customWidth="1"/>
    <col min="19" max="19" width="9.7109375" customWidth="1"/>
    <col min="20" max="20" width="9.85546875" customWidth="1"/>
    <col min="21" max="21" width="11.5703125" customWidth="1"/>
  </cols>
  <sheetData>
    <row r="1" spans="1:21" ht="14.25" customHeight="1">
      <c r="A1" s="151"/>
    </row>
    <row r="3" spans="1:21" ht="18">
      <c r="A3" s="132"/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73"/>
      <c r="N3" s="73"/>
      <c r="O3" s="73"/>
      <c r="P3" s="73"/>
      <c r="Q3" s="73"/>
      <c r="R3" s="73"/>
      <c r="S3" s="73"/>
      <c r="T3" s="73"/>
      <c r="U3" s="73"/>
    </row>
    <row r="4" spans="1:21" ht="34.5" customHeight="1">
      <c r="A4" s="73"/>
      <c r="B4" s="176" t="s">
        <v>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73"/>
      <c r="N4" s="73"/>
      <c r="O4" s="73"/>
      <c r="P4" s="73"/>
      <c r="Q4" s="73"/>
      <c r="R4" s="73"/>
      <c r="S4" s="73"/>
      <c r="T4" s="73"/>
      <c r="U4" s="73"/>
    </row>
    <row r="5" spans="1:21" ht="18">
      <c r="A5" s="73"/>
      <c r="B5" s="176" t="s">
        <v>187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73"/>
      <c r="N5" s="73"/>
      <c r="O5" s="73"/>
      <c r="P5" s="73"/>
      <c r="Q5" s="73"/>
      <c r="R5" s="73"/>
      <c r="S5" s="73"/>
      <c r="T5" s="73"/>
      <c r="U5" s="73"/>
    </row>
    <row r="6" spans="1:21" ht="15">
      <c r="A6" s="73"/>
      <c r="B6" s="177" t="s">
        <v>188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73"/>
      <c r="N6" s="73"/>
      <c r="O6" s="73"/>
      <c r="P6" s="73"/>
      <c r="Q6" s="73"/>
      <c r="R6" s="73"/>
      <c r="S6" s="73"/>
      <c r="T6" s="73"/>
      <c r="U6" s="73"/>
    </row>
    <row r="7" spans="1:21" ht="46.5" customHeight="1">
      <c r="A7" s="152" t="s">
        <v>2</v>
      </c>
      <c r="B7" s="153" t="s">
        <v>3</v>
      </c>
      <c r="C7" s="153" t="s">
        <v>4</v>
      </c>
      <c r="D7" s="153" t="s">
        <v>5</v>
      </c>
      <c r="E7" s="153" t="s">
        <v>6</v>
      </c>
      <c r="F7" s="153" t="s">
        <v>7</v>
      </c>
      <c r="G7" s="153" t="s">
        <v>8</v>
      </c>
      <c r="H7" s="154" t="s">
        <v>9</v>
      </c>
      <c r="I7" s="28" t="s">
        <v>166</v>
      </c>
      <c r="J7" s="28" t="s">
        <v>167</v>
      </c>
      <c r="K7" s="28" t="s">
        <v>168</v>
      </c>
      <c r="L7" s="28" t="s">
        <v>169</v>
      </c>
      <c r="M7" s="28" t="s">
        <v>170</v>
      </c>
      <c r="N7" s="28" t="s">
        <v>171</v>
      </c>
      <c r="O7" s="28" t="s">
        <v>172</v>
      </c>
      <c r="P7" s="28" t="s">
        <v>173</v>
      </c>
      <c r="Q7" s="28" t="s">
        <v>174</v>
      </c>
      <c r="R7" s="28" t="s">
        <v>175</v>
      </c>
      <c r="S7" s="28" t="s">
        <v>176</v>
      </c>
      <c r="T7" s="28" t="s">
        <v>177</v>
      </c>
      <c r="U7" s="28" t="s">
        <v>189</v>
      </c>
    </row>
    <row r="8" spans="1:21">
      <c r="A8" s="155">
        <v>1</v>
      </c>
      <c r="B8" s="7">
        <v>2</v>
      </c>
      <c r="C8" s="29">
        <v>3</v>
      </c>
      <c r="D8" s="7">
        <v>4</v>
      </c>
      <c r="E8" s="7">
        <v>5</v>
      </c>
      <c r="F8" s="29">
        <v>6</v>
      </c>
      <c r="G8" s="29">
        <v>7</v>
      </c>
      <c r="H8" s="30">
        <v>8</v>
      </c>
      <c r="I8" s="31">
        <v>10</v>
      </c>
      <c r="J8" s="31">
        <v>11</v>
      </c>
      <c r="K8" s="31">
        <v>12</v>
      </c>
      <c r="L8" s="31">
        <v>13</v>
      </c>
      <c r="M8" s="32">
        <v>14</v>
      </c>
      <c r="N8" s="31">
        <v>15</v>
      </c>
      <c r="O8" s="31">
        <v>16</v>
      </c>
      <c r="P8" s="31">
        <v>17</v>
      </c>
      <c r="Q8" s="31">
        <v>18</v>
      </c>
      <c r="R8" s="31">
        <v>19</v>
      </c>
      <c r="S8" s="31">
        <v>20</v>
      </c>
      <c r="T8" s="31">
        <v>21</v>
      </c>
      <c r="U8" s="31">
        <v>22</v>
      </c>
    </row>
    <row r="9" spans="1:21" ht="38.25">
      <c r="A9" s="155"/>
      <c r="B9" s="9" t="s">
        <v>10</v>
      </c>
      <c r="C9" s="29"/>
      <c r="D9" s="10"/>
      <c r="E9" s="10"/>
      <c r="F9" s="29"/>
      <c r="G9" s="29"/>
      <c r="H9" s="33"/>
      <c r="I9" s="34"/>
      <c r="J9" s="34"/>
      <c r="K9" s="34"/>
      <c r="L9" s="34"/>
      <c r="M9" s="35"/>
      <c r="N9" s="36"/>
      <c r="O9" s="36"/>
      <c r="P9" s="36"/>
      <c r="Q9" s="36"/>
      <c r="R9" s="36"/>
      <c r="S9" s="36"/>
      <c r="T9" s="36"/>
      <c r="U9" s="36"/>
    </row>
    <row r="10" spans="1:21">
      <c r="A10" s="155"/>
      <c r="B10" s="9" t="s">
        <v>11</v>
      </c>
      <c r="C10" s="29"/>
      <c r="D10" s="10"/>
      <c r="E10" s="10"/>
      <c r="F10" s="29"/>
      <c r="G10" s="29"/>
      <c r="H10" s="33"/>
      <c r="I10" s="34"/>
      <c r="J10" s="34"/>
      <c r="K10" s="34"/>
      <c r="L10" s="34"/>
      <c r="M10" s="35"/>
      <c r="N10" s="36"/>
      <c r="O10" s="36"/>
      <c r="P10" s="36"/>
      <c r="Q10" s="36"/>
      <c r="R10" s="36"/>
      <c r="S10" s="36"/>
      <c r="T10" s="36"/>
      <c r="U10" s="36"/>
    </row>
    <row r="11" spans="1:21" ht="25.5">
      <c r="A11" s="155" t="s">
        <v>12</v>
      </c>
      <c r="B11" s="10" t="s">
        <v>13</v>
      </c>
      <c r="C11" s="29" t="s">
        <v>14</v>
      </c>
      <c r="D11" s="10" t="s">
        <v>15</v>
      </c>
      <c r="E11" s="37">
        <v>59.9</v>
      </c>
      <c r="F11" s="38">
        <f>SUM(E11*156/100)</f>
        <v>93.444000000000003</v>
      </c>
      <c r="G11" s="38">
        <v>175.38</v>
      </c>
      <c r="H11" s="39">
        <f t="shared" ref="H11:H20" si="0">SUM(F11*G11/1000)</f>
        <v>16.388208719999998</v>
      </c>
      <c r="I11" s="40">
        <f>F11/12*G11</f>
        <v>1365.68406</v>
      </c>
      <c r="J11" s="40">
        <f>F11/12*G11</f>
        <v>1365.68406</v>
      </c>
      <c r="K11" s="40">
        <f>F11/12*G11</f>
        <v>1365.68406</v>
      </c>
      <c r="L11" s="40">
        <f>F11/12*G11</f>
        <v>1365.68406</v>
      </c>
      <c r="M11" s="40">
        <f>F11/12*G11</f>
        <v>1365.68406</v>
      </c>
      <c r="N11" s="40">
        <f>F11/12*G11</f>
        <v>1365.68406</v>
      </c>
      <c r="O11" s="40">
        <f>F11/12*G11</f>
        <v>1365.68406</v>
      </c>
      <c r="P11" s="40">
        <f>F11/12*G11</f>
        <v>1365.68406</v>
      </c>
      <c r="Q11" s="40">
        <f>F11/12*G11</f>
        <v>1365.68406</v>
      </c>
      <c r="R11" s="40">
        <f>F11/12*G11</f>
        <v>1365.68406</v>
      </c>
      <c r="S11" s="40">
        <f>F11/12*G11</f>
        <v>1365.68406</v>
      </c>
      <c r="T11" s="40">
        <f>F11/12*G11</f>
        <v>1365.68406</v>
      </c>
      <c r="U11" s="40">
        <f t="shared" ref="U11:U20" si="1">SUM(I11:T11)</f>
        <v>16388.208719999999</v>
      </c>
    </row>
    <row r="12" spans="1:21" ht="25.5">
      <c r="A12" s="155" t="s">
        <v>12</v>
      </c>
      <c r="B12" s="10" t="s">
        <v>16</v>
      </c>
      <c r="C12" s="29" t="s">
        <v>14</v>
      </c>
      <c r="D12" s="10" t="s">
        <v>17</v>
      </c>
      <c r="E12" s="37">
        <v>239.4</v>
      </c>
      <c r="F12" s="38">
        <f>SUM(E12*104/100)</f>
        <v>248.97600000000003</v>
      </c>
      <c r="G12" s="38">
        <v>175.38</v>
      </c>
      <c r="H12" s="39">
        <f t="shared" si="0"/>
        <v>43.665410880000003</v>
      </c>
      <c r="I12" s="40">
        <f>F12/12*G12</f>
        <v>3638.78424</v>
      </c>
      <c r="J12" s="40">
        <f>F12/12*G12</f>
        <v>3638.78424</v>
      </c>
      <c r="K12" s="40">
        <f>F12/12*G12</f>
        <v>3638.78424</v>
      </c>
      <c r="L12" s="40">
        <f>F12/12*G12</f>
        <v>3638.78424</v>
      </c>
      <c r="M12" s="40">
        <f>F12/12*G12</f>
        <v>3638.78424</v>
      </c>
      <c r="N12" s="40">
        <f>F12/12*G12</f>
        <v>3638.78424</v>
      </c>
      <c r="O12" s="40">
        <f>F12/12*G12</f>
        <v>3638.78424</v>
      </c>
      <c r="P12" s="40">
        <f>F12/12*G12</f>
        <v>3638.78424</v>
      </c>
      <c r="Q12" s="40">
        <f>F12/12*G12</f>
        <v>3638.78424</v>
      </c>
      <c r="R12" s="40">
        <f>F12/12*G12</f>
        <v>3638.78424</v>
      </c>
      <c r="S12" s="40">
        <f>F12/12*G12</f>
        <v>3638.78424</v>
      </c>
      <c r="T12" s="40">
        <f>F12/12*G12</f>
        <v>3638.78424</v>
      </c>
      <c r="U12" s="40">
        <f t="shared" si="1"/>
        <v>43665.410880000003</v>
      </c>
    </row>
    <row r="13" spans="1:21" ht="25.5">
      <c r="A13" s="155" t="s">
        <v>18</v>
      </c>
      <c r="B13" s="10" t="s">
        <v>19</v>
      </c>
      <c r="C13" s="29" t="s">
        <v>14</v>
      </c>
      <c r="D13" s="10" t="s">
        <v>20</v>
      </c>
      <c r="E13" s="37">
        <f>SUM(E11+E12)</f>
        <v>299.3</v>
      </c>
      <c r="F13" s="38">
        <f>SUM(E13*24/100)</f>
        <v>71.832000000000008</v>
      </c>
      <c r="G13" s="38">
        <v>504.5</v>
      </c>
      <c r="H13" s="39">
        <f t="shared" si="0"/>
        <v>36.239244000000006</v>
      </c>
      <c r="I13" s="40">
        <f>F13/12*G13</f>
        <v>3019.9370000000004</v>
      </c>
      <c r="J13" s="40">
        <f>F13/12*G13</f>
        <v>3019.9370000000004</v>
      </c>
      <c r="K13" s="40">
        <f>F13/12*G13</f>
        <v>3019.9370000000004</v>
      </c>
      <c r="L13" s="40">
        <f>F13/12*G13</f>
        <v>3019.9370000000004</v>
      </c>
      <c r="M13" s="40">
        <f>F13/12*G13</f>
        <v>3019.9370000000004</v>
      </c>
      <c r="N13" s="40">
        <f>F13/12*G13</f>
        <v>3019.9370000000004</v>
      </c>
      <c r="O13" s="40">
        <f>F13/12*G13</f>
        <v>3019.9370000000004</v>
      </c>
      <c r="P13" s="40">
        <f>F13/12*G13</f>
        <v>3019.9370000000004</v>
      </c>
      <c r="Q13" s="40">
        <f>F13/12*G13</f>
        <v>3019.9370000000004</v>
      </c>
      <c r="R13" s="40">
        <f>F13/12*G13</f>
        <v>3019.9370000000004</v>
      </c>
      <c r="S13" s="40">
        <f>F13/12*G13</f>
        <v>3019.9370000000004</v>
      </c>
      <c r="T13" s="40">
        <f>F13/12*G13</f>
        <v>3019.9370000000004</v>
      </c>
      <c r="U13" s="40">
        <f t="shared" si="1"/>
        <v>36239.244000000006</v>
      </c>
    </row>
    <row r="14" spans="1:21">
      <c r="A14" s="155" t="s">
        <v>21</v>
      </c>
      <c r="B14" s="10" t="s">
        <v>22</v>
      </c>
      <c r="C14" s="29" t="s">
        <v>23</v>
      </c>
      <c r="D14" s="10" t="s">
        <v>143</v>
      </c>
      <c r="E14" s="37">
        <v>40</v>
      </c>
      <c r="F14" s="38">
        <f>SUM(E14/10)</f>
        <v>4</v>
      </c>
      <c r="G14" s="38">
        <v>170.16</v>
      </c>
      <c r="H14" s="39">
        <f>SUM(F14*G14/1000)</f>
        <v>0.68064000000000002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f t="shared" ref="N14:N20" si="2">F14*G14</f>
        <v>680.64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1"/>
        <v>680.64</v>
      </c>
    </row>
    <row r="15" spans="1:21">
      <c r="A15" s="155" t="s">
        <v>24</v>
      </c>
      <c r="B15" s="10" t="s">
        <v>25</v>
      </c>
      <c r="C15" s="29" t="s">
        <v>14</v>
      </c>
      <c r="D15" s="10" t="s">
        <v>47</v>
      </c>
      <c r="E15" s="37">
        <v>10.5</v>
      </c>
      <c r="F15" s="38">
        <f t="shared" ref="F15:F20" si="3">SUM(E15/100)</f>
        <v>0.105</v>
      </c>
      <c r="G15" s="38">
        <v>217.88</v>
      </c>
      <c r="H15" s="39">
        <f t="shared" si="0"/>
        <v>2.2877399999999999E-2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f t="shared" si="2"/>
        <v>22.877399999999998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f t="shared" si="1"/>
        <v>22.877399999999998</v>
      </c>
    </row>
    <row r="16" spans="1:21">
      <c r="A16" s="155" t="s">
        <v>26</v>
      </c>
      <c r="B16" s="10" t="s">
        <v>27</v>
      </c>
      <c r="C16" s="29" t="s">
        <v>14</v>
      </c>
      <c r="D16" s="10" t="s">
        <v>47</v>
      </c>
      <c r="E16" s="37">
        <v>2.7</v>
      </c>
      <c r="F16" s="38">
        <f t="shared" si="3"/>
        <v>2.7000000000000003E-2</v>
      </c>
      <c r="G16" s="38">
        <v>203.5</v>
      </c>
      <c r="H16" s="39">
        <f t="shared" si="0"/>
        <v>5.4945000000000003E-3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f t="shared" si="2"/>
        <v>5.4945000000000004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f t="shared" si="1"/>
        <v>5.4945000000000004</v>
      </c>
    </row>
    <row r="17" spans="1:21">
      <c r="A17" s="155" t="s">
        <v>28</v>
      </c>
      <c r="B17" s="10" t="s">
        <v>29</v>
      </c>
      <c r="C17" s="29" t="s">
        <v>30</v>
      </c>
      <c r="D17" s="10" t="s">
        <v>143</v>
      </c>
      <c r="E17" s="37">
        <v>357</v>
      </c>
      <c r="F17" s="38">
        <f t="shared" si="3"/>
        <v>3.57</v>
      </c>
      <c r="G17" s="38">
        <v>269.26</v>
      </c>
      <c r="H17" s="39">
        <f t="shared" si="0"/>
        <v>0.96125819999999984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 t="shared" si="2"/>
        <v>961.25819999999987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f t="shared" si="1"/>
        <v>961.25819999999987</v>
      </c>
    </row>
    <row r="18" spans="1:21">
      <c r="A18" s="155" t="s">
        <v>31</v>
      </c>
      <c r="B18" s="10" t="s">
        <v>32</v>
      </c>
      <c r="C18" s="29" t="s">
        <v>30</v>
      </c>
      <c r="D18" s="10" t="s">
        <v>143</v>
      </c>
      <c r="E18" s="42">
        <v>38.64</v>
      </c>
      <c r="F18" s="38">
        <f t="shared" si="3"/>
        <v>0.38640000000000002</v>
      </c>
      <c r="G18" s="38">
        <v>44.29</v>
      </c>
      <c r="H18" s="39">
        <f t="shared" si="0"/>
        <v>1.7113655999999998E-2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f t="shared" si="2"/>
        <v>17.113655999999999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1"/>
        <v>17.113655999999999</v>
      </c>
    </row>
    <row r="19" spans="1:21">
      <c r="A19" s="155" t="s">
        <v>162</v>
      </c>
      <c r="B19" s="10" t="s">
        <v>163</v>
      </c>
      <c r="C19" s="29" t="s">
        <v>30</v>
      </c>
      <c r="D19" s="43" t="s">
        <v>143</v>
      </c>
      <c r="E19" s="44">
        <v>15</v>
      </c>
      <c r="F19" s="45">
        <f t="shared" si="3"/>
        <v>0.15</v>
      </c>
      <c r="G19" s="38">
        <v>389.72</v>
      </c>
      <c r="H19" s="39">
        <f t="shared" ref="H19" si="4">SUM(F19*G19/1000)</f>
        <v>5.8457999999999996E-2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f t="shared" si="2"/>
        <v>58.457999999999998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1"/>
        <v>58.457999999999998</v>
      </c>
    </row>
    <row r="20" spans="1:21">
      <c r="A20" s="155" t="s">
        <v>33</v>
      </c>
      <c r="B20" s="10" t="s">
        <v>34</v>
      </c>
      <c r="C20" s="29" t="s">
        <v>30</v>
      </c>
      <c r="D20" s="10" t="s">
        <v>143</v>
      </c>
      <c r="E20" s="46">
        <v>6.38</v>
      </c>
      <c r="F20" s="38">
        <f t="shared" si="3"/>
        <v>6.3799999999999996E-2</v>
      </c>
      <c r="G20" s="38">
        <v>520.79999999999995</v>
      </c>
      <c r="H20" s="39">
        <f t="shared" si="0"/>
        <v>3.3227039999999992E-2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f t="shared" si="2"/>
        <v>33.227039999999995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1"/>
        <v>33.227039999999995</v>
      </c>
    </row>
    <row r="21" spans="1:21" s="18" customFormat="1">
      <c r="A21" s="156"/>
      <c r="B21" s="19" t="s">
        <v>35</v>
      </c>
      <c r="C21" s="47"/>
      <c r="D21" s="19"/>
      <c r="E21" s="48"/>
      <c r="F21" s="49"/>
      <c r="G21" s="49"/>
      <c r="H21" s="50">
        <f>SUM(H11:H20)</f>
        <v>98.071932396000008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>
        <f>SUM(U11:U20)</f>
        <v>98071.932396000004</v>
      </c>
    </row>
    <row r="22" spans="1:21">
      <c r="A22" s="155"/>
      <c r="B22" s="11" t="s">
        <v>36</v>
      </c>
      <c r="C22" s="29"/>
      <c r="D22" s="10"/>
      <c r="E22" s="37"/>
      <c r="F22" s="38"/>
      <c r="G22" s="38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1" ht="25.5" customHeight="1">
      <c r="A23" s="155" t="s">
        <v>37</v>
      </c>
      <c r="B23" s="10" t="s">
        <v>38</v>
      </c>
      <c r="C23" s="29" t="s">
        <v>39</v>
      </c>
      <c r="D23" s="10" t="s">
        <v>40</v>
      </c>
      <c r="E23" s="38">
        <v>786.4</v>
      </c>
      <c r="F23" s="38">
        <f>SUM(E23*52/1000)</f>
        <v>40.892799999999994</v>
      </c>
      <c r="G23" s="38">
        <v>155.88999999999999</v>
      </c>
      <c r="H23" s="39">
        <f t="shared" ref="H23:H30" si="5">SUM(F23*G23/1000)</f>
        <v>6.3747785919999984</v>
      </c>
      <c r="I23" s="40">
        <v>0</v>
      </c>
      <c r="J23" s="40">
        <v>0</v>
      </c>
      <c r="K23" s="40">
        <v>0</v>
      </c>
      <c r="L23" s="40">
        <v>0</v>
      </c>
      <c r="M23" s="40">
        <f>F23/6*G23</f>
        <v>1062.4630986666664</v>
      </c>
      <c r="N23" s="40">
        <f>F23/6*G23</f>
        <v>1062.4630986666664</v>
      </c>
      <c r="O23" s="40">
        <f>F23/6*G23</f>
        <v>1062.4630986666664</v>
      </c>
      <c r="P23" s="40">
        <f>F23/6*G23</f>
        <v>1062.4630986666664</v>
      </c>
      <c r="Q23" s="40">
        <f>F23/6*G23</f>
        <v>1062.4630986666664</v>
      </c>
      <c r="R23" s="40">
        <f>F23/6*G23</f>
        <v>1062.4630986666664</v>
      </c>
      <c r="S23" s="40">
        <v>0</v>
      </c>
      <c r="T23" s="40">
        <v>0</v>
      </c>
      <c r="U23" s="40">
        <f t="shared" ref="U23:U30" si="6">SUM(I23:T23)</f>
        <v>6374.7785919999978</v>
      </c>
    </row>
    <row r="24" spans="1:21" ht="38.25" customHeight="1">
      <c r="A24" s="155" t="s">
        <v>41</v>
      </c>
      <c r="B24" s="10" t="s">
        <v>42</v>
      </c>
      <c r="C24" s="29" t="s">
        <v>43</v>
      </c>
      <c r="D24" s="10" t="s">
        <v>44</v>
      </c>
      <c r="E24" s="38">
        <v>97.33</v>
      </c>
      <c r="F24" s="38">
        <f>SUM(E24*78/1000)</f>
        <v>7.5917399999999997</v>
      </c>
      <c r="G24" s="38">
        <v>258.63</v>
      </c>
      <c r="H24" s="39">
        <f t="shared" si="5"/>
        <v>1.9634517162</v>
      </c>
      <c r="I24" s="40">
        <v>0</v>
      </c>
      <c r="J24" s="40">
        <v>0</v>
      </c>
      <c r="K24" s="40">
        <v>0</v>
      </c>
      <c r="L24" s="40">
        <v>0</v>
      </c>
      <c r="M24" s="40">
        <f>F24/6*G24</f>
        <v>327.24195270000001</v>
      </c>
      <c r="N24" s="40">
        <f>F24/6*G24</f>
        <v>327.24195270000001</v>
      </c>
      <c r="O24" s="40">
        <f>F24/6*G24</f>
        <v>327.24195270000001</v>
      </c>
      <c r="P24" s="40">
        <f>F24/6*G24</f>
        <v>327.24195270000001</v>
      </c>
      <c r="Q24" s="40">
        <f>F24/6*G24</f>
        <v>327.24195270000001</v>
      </c>
      <c r="R24" s="40">
        <f>F24/6*G24</f>
        <v>327.24195270000001</v>
      </c>
      <c r="S24" s="40">
        <v>0</v>
      </c>
      <c r="T24" s="40">
        <v>0</v>
      </c>
      <c r="U24" s="40">
        <f t="shared" si="6"/>
        <v>1963.4517162</v>
      </c>
    </row>
    <row r="25" spans="1:21">
      <c r="A25" s="155" t="s">
        <v>45</v>
      </c>
      <c r="B25" s="10" t="s">
        <v>46</v>
      </c>
      <c r="C25" s="29" t="s">
        <v>43</v>
      </c>
      <c r="D25" s="10" t="s">
        <v>47</v>
      </c>
      <c r="E25" s="38">
        <v>786.4</v>
      </c>
      <c r="F25" s="38">
        <f>SUM(E25/1000)</f>
        <v>0.78639999999999999</v>
      </c>
      <c r="G25" s="38">
        <v>3020.33</v>
      </c>
      <c r="H25" s="39">
        <f t="shared" si="5"/>
        <v>2.3751875120000001</v>
      </c>
      <c r="I25" s="40">
        <v>0</v>
      </c>
      <c r="J25" s="40">
        <v>0</v>
      </c>
      <c r="K25" s="40">
        <v>0</v>
      </c>
      <c r="L25" s="40">
        <v>0</v>
      </c>
      <c r="M25" s="40">
        <f>F25*G25</f>
        <v>2375.187512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f t="shared" si="6"/>
        <v>2375.187512</v>
      </c>
    </row>
    <row r="26" spans="1:21">
      <c r="A26" s="155" t="s">
        <v>48</v>
      </c>
      <c r="B26" s="10" t="s">
        <v>49</v>
      </c>
      <c r="C26" s="29" t="s">
        <v>50</v>
      </c>
      <c r="D26" s="10" t="s">
        <v>51</v>
      </c>
      <c r="E26" s="53">
        <v>0.33333333333333331</v>
      </c>
      <c r="F26" s="38">
        <f>155/3</f>
        <v>51.666666666666664</v>
      </c>
      <c r="G26" s="38">
        <v>56.69</v>
      </c>
      <c r="H26" s="39">
        <f>SUM(G26*155/3/1000)</f>
        <v>2.9289833333333331</v>
      </c>
      <c r="I26" s="40">
        <v>0</v>
      </c>
      <c r="J26" s="40">
        <v>0</v>
      </c>
      <c r="K26" s="40">
        <v>0</v>
      </c>
      <c r="L26" s="40">
        <v>0</v>
      </c>
      <c r="M26" s="40">
        <f>F26/6*G26</f>
        <v>488.16388888888883</v>
      </c>
      <c r="N26" s="40">
        <f>F26/6*G26</f>
        <v>488.16388888888883</v>
      </c>
      <c r="O26" s="40">
        <f>F26/6*G26</f>
        <v>488.16388888888883</v>
      </c>
      <c r="P26" s="40">
        <f>F26/6*G26</f>
        <v>488.16388888888883</v>
      </c>
      <c r="Q26" s="40">
        <f>F26/6*G26</f>
        <v>488.16388888888883</v>
      </c>
      <c r="R26" s="40">
        <f>F26/6*G26</f>
        <v>488.16388888888883</v>
      </c>
      <c r="S26" s="40">
        <v>0</v>
      </c>
      <c r="T26" s="40">
        <v>0</v>
      </c>
      <c r="U26" s="40">
        <f t="shared" si="6"/>
        <v>2928.9833333333331</v>
      </c>
    </row>
    <row r="27" spans="1:21" ht="12.75" customHeight="1">
      <c r="A27" s="155" t="s">
        <v>52</v>
      </c>
      <c r="B27" s="10" t="s">
        <v>53</v>
      </c>
      <c r="C27" s="29" t="s">
        <v>54</v>
      </c>
      <c r="D27" s="10" t="s">
        <v>55</v>
      </c>
      <c r="E27" s="54">
        <v>0.1</v>
      </c>
      <c r="F27" s="38">
        <f>SUM(E27*365)</f>
        <v>36.5</v>
      </c>
      <c r="G27" s="38">
        <v>147.03</v>
      </c>
      <c r="H27" s="39">
        <f t="shared" si="5"/>
        <v>5.3665950000000002</v>
      </c>
      <c r="I27" s="40">
        <f>F27/12*G27</f>
        <v>447.21625</v>
      </c>
      <c r="J27" s="40">
        <f>F27/12*G27</f>
        <v>447.21625</v>
      </c>
      <c r="K27" s="40">
        <f>F27/12*G27</f>
        <v>447.21625</v>
      </c>
      <c r="L27" s="40">
        <f>F27/12*G27</f>
        <v>447.21625</v>
      </c>
      <c r="M27" s="40">
        <f>F27/12*G27</f>
        <v>447.21625</v>
      </c>
      <c r="N27" s="40">
        <f>F27/12*G27</f>
        <v>447.21625</v>
      </c>
      <c r="O27" s="40">
        <f>F27/12*G27</f>
        <v>447.21625</v>
      </c>
      <c r="P27" s="40">
        <f>F27/12*G27</f>
        <v>447.21625</v>
      </c>
      <c r="Q27" s="40">
        <f>F27/12*G27</f>
        <v>447.21625</v>
      </c>
      <c r="R27" s="40">
        <f>F27/12*G27</f>
        <v>447.21625</v>
      </c>
      <c r="S27" s="40">
        <f>F27/12*G27</f>
        <v>447.21625</v>
      </c>
      <c r="T27" s="40">
        <f>F27/12*G27</f>
        <v>447.21625</v>
      </c>
      <c r="U27" s="40">
        <f t="shared" si="6"/>
        <v>5366.5950000000012</v>
      </c>
    </row>
    <row r="28" spans="1:21" ht="12.75" customHeight="1">
      <c r="A28" s="155" t="s">
        <v>57</v>
      </c>
      <c r="B28" s="10" t="s">
        <v>58</v>
      </c>
      <c r="C28" s="29" t="s">
        <v>54</v>
      </c>
      <c r="D28" s="10" t="s">
        <v>56</v>
      </c>
      <c r="E28" s="37"/>
      <c r="F28" s="38">
        <v>3</v>
      </c>
      <c r="G28" s="38">
        <v>191.32</v>
      </c>
      <c r="H28" s="39">
        <f t="shared" si="5"/>
        <v>0.57396000000000003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f t="shared" si="6"/>
        <v>0</v>
      </c>
    </row>
    <row r="29" spans="1:21" ht="13.5" customHeight="1">
      <c r="A29" s="155" t="s">
        <v>59</v>
      </c>
      <c r="B29" s="10" t="s">
        <v>60</v>
      </c>
      <c r="C29" s="29" t="s">
        <v>61</v>
      </c>
      <c r="D29" s="10" t="s">
        <v>56</v>
      </c>
      <c r="E29" s="37"/>
      <c r="F29" s="38">
        <v>2</v>
      </c>
      <c r="G29" s="38">
        <v>1136.33</v>
      </c>
      <c r="H29" s="39">
        <f t="shared" si="5"/>
        <v>2.2726599999999997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6"/>
        <v>0</v>
      </c>
    </row>
    <row r="30" spans="1:21">
      <c r="A30" s="155"/>
      <c r="B30" s="55" t="s">
        <v>62</v>
      </c>
      <c r="C30" s="29" t="s">
        <v>63</v>
      </c>
      <c r="D30" s="55" t="s">
        <v>64</v>
      </c>
      <c r="E30" s="37">
        <v>3181</v>
      </c>
      <c r="F30" s="38">
        <f>SUM(E30*12)</f>
        <v>38172</v>
      </c>
      <c r="G30" s="38">
        <v>4.95</v>
      </c>
      <c r="H30" s="39">
        <f t="shared" si="5"/>
        <v>188.95140000000001</v>
      </c>
      <c r="I30" s="40">
        <f>F30/12*G30</f>
        <v>15745.95</v>
      </c>
      <c r="J30" s="40">
        <f>F30/12*G30</f>
        <v>15745.95</v>
      </c>
      <c r="K30" s="40">
        <f>F30/12*G30</f>
        <v>15745.95</v>
      </c>
      <c r="L30" s="40">
        <f>F30/12*G30</f>
        <v>15745.95</v>
      </c>
      <c r="M30" s="40">
        <f>F30/12*G30</f>
        <v>15745.95</v>
      </c>
      <c r="N30" s="40">
        <f>F30/12*G30</f>
        <v>15745.95</v>
      </c>
      <c r="O30" s="40">
        <f>F30/12*G30</f>
        <v>15745.95</v>
      </c>
      <c r="P30" s="40">
        <f>F30/12*G30</f>
        <v>15745.95</v>
      </c>
      <c r="Q30" s="40">
        <f>F30/12*G30</f>
        <v>15745.95</v>
      </c>
      <c r="R30" s="40">
        <f>F30/12*G30</f>
        <v>15745.95</v>
      </c>
      <c r="S30" s="40">
        <f>F30/12*G30</f>
        <v>15745.95</v>
      </c>
      <c r="T30" s="40">
        <f>F30/12*G30</f>
        <v>15745.95</v>
      </c>
      <c r="U30" s="40">
        <f t="shared" si="6"/>
        <v>188951.40000000002</v>
      </c>
    </row>
    <row r="31" spans="1:21" s="18" customFormat="1">
      <c r="A31" s="156"/>
      <c r="B31" s="19" t="s">
        <v>35</v>
      </c>
      <c r="C31" s="47"/>
      <c r="D31" s="19"/>
      <c r="E31" s="48"/>
      <c r="F31" s="49"/>
      <c r="G31" s="49"/>
      <c r="H31" s="56">
        <f>SUM(H23:H30)</f>
        <v>210.80701615353334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>
        <f>SUM(U23:U30)</f>
        <v>207960.39615353337</v>
      </c>
    </row>
    <row r="32" spans="1:21">
      <c r="A32" s="155"/>
      <c r="B32" s="11" t="s">
        <v>65</v>
      </c>
      <c r="C32" s="29"/>
      <c r="D32" s="10"/>
      <c r="E32" s="37"/>
      <c r="F32" s="38"/>
      <c r="G32" s="38"/>
      <c r="H32" s="39" t="s">
        <v>64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25.5">
      <c r="A33" s="155" t="s">
        <v>59</v>
      </c>
      <c r="B33" s="12" t="s">
        <v>66</v>
      </c>
      <c r="C33" s="29" t="s">
        <v>61</v>
      </c>
      <c r="D33" s="10"/>
      <c r="E33" s="37"/>
      <c r="F33" s="38">
        <v>8</v>
      </c>
      <c r="G33" s="38">
        <v>1527.22</v>
      </c>
      <c r="H33" s="39">
        <f t="shared" ref="H33:H40" si="7">SUM(F33*G33/1000)</f>
        <v>12.21776</v>
      </c>
      <c r="I33" s="40">
        <f>F33/6*G33</f>
        <v>2036.2933333333333</v>
      </c>
      <c r="J33" s="40">
        <f>F33/6*G33</f>
        <v>2036.2933333333333</v>
      </c>
      <c r="K33" s="40">
        <f>F33/6*G33</f>
        <v>2036.2933333333333</v>
      </c>
      <c r="L33" s="40">
        <f>F33/6*G33</f>
        <v>2036.2933333333333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f>F33/6*G33</f>
        <v>2036.2933333333333</v>
      </c>
      <c r="T33" s="40">
        <f>F33/6*G33</f>
        <v>2036.2933333333333</v>
      </c>
      <c r="U33" s="40">
        <f t="shared" ref="U33:U40" si="8">SUM(I33:T33)</f>
        <v>12217.76</v>
      </c>
    </row>
    <row r="34" spans="1:21">
      <c r="A34" s="157" t="s">
        <v>67</v>
      </c>
      <c r="B34" s="12" t="s">
        <v>155</v>
      </c>
      <c r="C34" s="58" t="s">
        <v>68</v>
      </c>
      <c r="D34" s="10" t="s">
        <v>154</v>
      </c>
      <c r="E34" s="37">
        <v>485.66</v>
      </c>
      <c r="F34" s="57">
        <f>E34*12/1000</f>
        <v>5.8279199999999998</v>
      </c>
      <c r="G34" s="38">
        <v>2102.71</v>
      </c>
      <c r="H34" s="39">
        <f>G34*F34/1000</f>
        <v>12.254425663199999</v>
      </c>
      <c r="I34" s="40">
        <f>F34/6*G34</f>
        <v>2042.4042772</v>
      </c>
      <c r="J34" s="40">
        <f>F34/6*G34</f>
        <v>2042.4042772</v>
      </c>
      <c r="K34" s="40">
        <f>F34/6*G34</f>
        <v>2042.4042772</v>
      </c>
      <c r="L34" s="40">
        <f>F34/6*G34</f>
        <v>2042.4042772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f>F34/6*G34</f>
        <v>2042.4042772</v>
      </c>
      <c r="T34" s="40">
        <f>F34/6*G34</f>
        <v>2042.4042772</v>
      </c>
      <c r="U34" s="40">
        <f t="shared" si="8"/>
        <v>12254.4256632</v>
      </c>
    </row>
    <row r="35" spans="1:21" ht="25.5">
      <c r="A35" s="157" t="s">
        <v>67</v>
      </c>
      <c r="B35" s="12" t="s">
        <v>145</v>
      </c>
      <c r="C35" s="58" t="s">
        <v>68</v>
      </c>
      <c r="D35" s="10" t="s">
        <v>153</v>
      </c>
      <c r="E35" s="37">
        <v>97.33</v>
      </c>
      <c r="F35" s="57">
        <f>E35*30/1000</f>
        <v>2.9199000000000002</v>
      </c>
      <c r="G35" s="38">
        <v>2102.71</v>
      </c>
      <c r="H35" s="39">
        <f>G35*F35/1000</f>
        <v>6.1397029290000003</v>
      </c>
      <c r="I35" s="40">
        <f>F35/6*G35</f>
        <v>1023.2838215</v>
      </c>
      <c r="J35" s="40">
        <f>F35/6*G35</f>
        <v>1023.2838215</v>
      </c>
      <c r="K35" s="40">
        <f>F35/6*G35</f>
        <v>1023.2838215</v>
      </c>
      <c r="L35" s="40">
        <f>F35/6*G35</f>
        <v>1023.2838215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f>F35/6*G35</f>
        <v>1023.2838215</v>
      </c>
      <c r="T35" s="40">
        <f>F35/6*G35</f>
        <v>1023.2838215</v>
      </c>
      <c r="U35" s="40">
        <f t="shared" si="8"/>
        <v>6139.702929</v>
      </c>
    </row>
    <row r="36" spans="1:21">
      <c r="A36" s="155" t="s">
        <v>59</v>
      </c>
      <c r="B36" s="10" t="s">
        <v>152</v>
      </c>
      <c r="C36" s="29" t="s">
        <v>105</v>
      </c>
      <c r="D36" s="10" t="s">
        <v>56</v>
      </c>
      <c r="E36" s="37"/>
      <c r="F36" s="57">
        <v>100</v>
      </c>
      <c r="G36" s="38">
        <v>213.2</v>
      </c>
      <c r="H36" s="39">
        <f>G36*F36/1000</f>
        <v>21.32</v>
      </c>
      <c r="I36" s="40">
        <f>0</f>
        <v>0</v>
      </c>
      <c r="J36" s="40">
        <v>0</v>
      </c>
      <c r="K36" s="40">
        <f>21*G36</f>
        <v>4477.2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8"/>
        <v>4477.2</v>
      </c>
    </row>
    <row r="37" spans="1:21" ht="24.75" customHeight="1">
      <c r="A37" s="155" t="s">
        <v>69</v>
      </c>
      <c r="B37" s="10" t="s">
        <v>70</v>
      </c>
      <c r="C37" s="29" t="s">
        <v>68</v>
      </c>
      <c r="D37" s="10" t="s">
        <v>71</v>
      </c>
      <c r="E37" s="38">
        <v>97.33</v>
      </c>
      <c r="F37" s="57">
        <f>SUM(E37*155/1000)</f>
        <v>15.08615</v>
      </c>
      <c r="G37" s="38">
        <v>350.75</v>
      </c>
      <c r="H37" s="39">
        <f t="shared" si="7"/>
        <v>5.2914671124999995</v>
      </c>
      <c r="I37" s="40">
        <f>F37/6*G37</f>
        <v>881.91118541666674</v>
      </c>
      <c r="J37" s="40">
        <f>F37/6*G37</f>
        <v>881.91118541666674</v>
      </c>
      <c r="K37" s="40">
        <f>F37/6*G37</f>
        <v>881.91118541666674</v>
      </c>
      <c r="L37" s="40">
        <f>F37/6*G37</f>
        <v>881.91118541666674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f>F37/6*G37</f>
        <v>881.91118541666674</v>
      </c>
      <c r="T37" s="40">
        <f>F37/6*G37</f>
        <v>881.91118541666674</v>
      </c>
      <c r="U37" s="40">
        <f t="shared" si="8"/>
        <v>5291.4671125000004</v>
      </c>
    </row>
    <row r="38" spans="1:21" ht="51" customHeight="1">
      <c r="A38" s="155" t="s">
        <v>72</v>
      </c>
      <c r="B38" s="10" t="s">
        <v>73</v>
      </c>
      <c r="C38" s="29" t="s">
        <v>43</v>
      </c>
      <c r="D38" s="10" t="s">
        <v>156</v>
      </c>
      <c r="E38" s="38">
        <v>97.33</v>
      </c>
      <c r="F38" s="57">
        <f>SUM(E38*24/1000)</f>
        <v>2.3359200000000002</v>
      </c>
      <c r="G38" s="38">
        <v>5803.28</v>
      </c>
      <c r="H38" s="39">
        <f t="shared" si="7"/>
        <v>13.5559978176</v>
      </c>
      <c r="I38" s="40">
        <f>F38/6*G38</f>
        <v>2259.3329696000001</v>
      </c>
      <c r="J38" s="40">
        <f>F38/6*G38</f>
        <v>2259.3329696000001</v>
      </c>
      <c r="K38" s="40">
        <f>F38/6*G38</f>
        <v>2259.3329696000001</v>
      </c>
      <c r="L38" s="40">
        <f>F38/6*G38</f>
        <v>2259.3329696000001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f>F38/6*G38</f>
        <v>2259.3329696000001</v>
      </c>
      <c r="T38" s="40">
        <f>F38/6*G38</f>
        <v>2259.3329696000001</v>
      </c>
      <c r="U38" s="40">
        <f t="shared" si="8"/>
        <v>13555.9978176</v>
      </c>
    </row>
    <row r="39" spans="1:21" ht="12.75" customHeight="1">
      <c r="A39" s="155" t="s">
        <v>74</v>
      </c>
      <c r="B39" s="10" t="s">
        <v>75</v>
      </c>
      <c r="C39" s="29" t="s">
        <v>43</v>
      </c>
      <c r="D39" s="10" t="s">
        <v>76</v>
      </c>
      <c r="E39" s="38">
        <v>97.33</v>
      </c>
      <c r="F39" s="57">
        <f>SUM(E39*45/1000)</f>
        <v>4.3798500000000002</v>
      </c>
      <c r="G39" s="38">
        <v>428.7</v>
      </c>
      <c r="H39" s="39">
        <f t="shared" si="7"/>
        <v>1.8776416950000001</v>
      </c>
      <c r="I39" s="40">
        <f>F39/6*G39</f>
        <v>312.94028250000002</v>
      </c>
      <c r="J39" s="40">
        <f>F39/6*G39</f>
        <v>312.94028250000002</v>
      </c>
      <c r="K39" s="40">
        <f>F39/6*G39</f>
        <v>312.94028250000002</v>
      </c>
      <c r="L39" s="40">
        <f>F39/6*G39</f>
        <v>312.94028250000002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f>F39/6*G39</f>
        <v>312.94028250000002</v>
      </c>
      <c r="T39" s="40">
        <f>F39/6*G39</f>
        <v>312.94028250000002</v>
      </c>
      <c r="U39" s="40">
        <f t="shared" si="8"/>
        <v>1877.641695</v>
      </c>
    </row>
    <row r="40" spans="1:21" s="1" customFormat="1">
      <c r="A40" s="157"/>
      <c r="B40" s="12" t="s">
        <v>77</v>
      </c>
      <c r="C40" s="58" t="s">
        <v>54</v>
      </c>
      <c r="D40" s="12"/>
      <c r="E40" s="54"/>
      <c r="F40" s="57">
        <v>0.8</v>
      </c>
      <c r="G40" s="57">
        <v>798</v>
      </c>
      <c r="H40" s="39">
        <f t="shared" si="7"/>
        <v>0.63840000000000008</v>
      </c>
      <c r="I40" s="59">
        <f>F40/6*G40</f>
        <v>106.39999999999999</v>
      </c>
      <c r="J40" s="59">
        <f>F40/6*G40</f>
        <v>106.39999999999999</v>
      </c>
      <c r="K40" s="59">
        <f>F40/6*G40</f>
        <v>106.39999999999999</v>
      </c>
      <c r="L40" s="59">
        <f>F40/6*G40</f>
        <v>106.39999999999999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f>F40/6*G40</f>
        <v>106.39999999999999</v>
      </c>
      <c r="T40" s="59">
        <f>F40/6*G40</f>
        <v>106.39999999999999</v>
      </c>
      <c r="U40" s="40">
        <f t="shared" si="8"/>
        <v>638.4</v>
      </c>
    </row>
    <row r="41" spans="1:21" s="18" customFormat="1">
      <c r="A41" s="156"/>
      <c r="B41" s="19" t="s">
        <v>35</v>
      </c>
      <c r="C41" s="47"/>
      <c r="D41" s="19"/>
      <c r="E41" s="48"/>
      <c r="F41" s="49" t="s">
        <v>64</v>
      </c>
      <c r="G41" s="49"/>
      <c r="H41" s="56">
        <f>SUM(H33:H40)</f>
        <v>73.295395217299998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>
        <f>SUM(U33:U40)</f>
        <v>56452.595217299997</v>
      </c>
    </row>
    <row r="42" spans="1:21">
      <c r="A42" s="155"/>
      <c r="B42" s="13" t="s">
        <v>78</v>
      </c>
      <c r="C42" s="29"/>
      <c r="D42" s="10"/>
      <c r="E42" s="37"/>
      <c r="F42" s="38"/>
      <c r="G42" s="38"/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>
      <c r="A43" s="155" t="s">
        <v>157</v>
      </c>
      <c r="B43" s="10" t="s">
        <v>158</v>
      </c>
      <c r="C43" s="29" t="s">
        <v>43</v>
      </c>
      <c r="D43" s="10" t="s">
        <v>79</v>
      </c>
      <c r="E43" s="37">
        <v>1114.25</v>
      </c>
      <c r="F43" s="38">
        <f>SUM(E43*2/1000)</f>
        <v>2.2284999999999999</v>
      </c>
      <c r="G43" s="60">
        <v>910.17</v>
      </c>
      <c r="H43" s="39">
        <f t="shared" ref="H43:H53" si="9">SUM(F43*G43/1000)</f>
        <v>2.028313845</v>
      </c>
      <c r="I43" s="40">
        <v>0</v>
      </c>
      <c r="J43" s="40">
        <v>0</v>
      </c>
      <c r="K43" s="40">
        <v>0</v>
      </c>
      <c r="L43" s="40">
        <f>F43/2*G43</f>
        <v>1014.1569225</v>
      </c>
      <c r="M43" s="40">
        <v>0</v>
      </c>
      <c r="N43" s="40">
        <v>0</v>
      </c>
      <c r="O43" s="40">
        <v>0</v>
      </c>
      <c r="P43" s="40">
        <v>0</v>
      </c>
      <c r="Q43" s="40">
        <f>F43/2*G43</f>
        <v>1014.1569225</v>
      </c>
      <c r="R43" s="40">
        <v>0</v>
      </c>
      <c r="S43" s="40">
        <v>0</v>
      </c>
      <c r="T43" s="40">
        <v>0</v>
      </c>
      <c r="U43" s="40">
        <f t="shared" ref="U43:U53" si="10">SUM(I43:T43)</f>
        <v>2028.3138449999999</v>
      </c>
    </row>
    <row r="44" spans="1:21">
      <c r="A44" s="155" t="s">
        <v>80</v>
      </c>
      <c r="B44" s="10" t="s">
        <v>81</v>
      </c>
      <c r="C44" s="29" t="s">
        <v>43</v>
      </c>
      <c r="D44" s="10" t="s">
        <v>79</v>
      </c>
      <c r="E44" s="37">
        <v>37</v>
      </c>
      <c r="F44" s="38">
        <f>E44*2/1000</f>
        <v>7.3999999999999996E-2</v>
      </c>
      <c r="G44" s="60">
        <v>579.48</v>
      </c>
      <c r="H44" s="39">
        <f t="shared" si="9"/>
        <v>4.2881519999999999E-2</v>
      </c>
      <c r="I44" s="40">
        <v>0</v>
      </c>
      <c r="J44" s="40">
        <v>0</v>
      </c>
      <c r="K44" s="40">
        <v>0</v>
      </c>
      <c r="L44" s="40">
        <f>F44/2*G44</f>
        <v>21.440760000000001</v>
      </c>
      <c r="M44" s="40">
        <v>0</v>
      </c>
      <c r="N44" s="40">
        <v>0</v>
      </c>
      <c r="O44" s="40">
        <v>0</v>
      </c>
      <c r="P44" s="40">
        <v>0</v>
      </c>
      <c r="Q44" s="40">
        <f>F44/2*G44</f>
        <v>21.440760000000001</v>
      </c>
      <c r="R44" s="40">
        <v>0</v>
      </c>
      <c r="S44" s="40">
        <v>0</v>
      </c>
      <c r="T44" s="40">
        <v>0</v>
      </c>
      <c r="U44" s="40">
        <f t="shared" si="10"/>
        <v>42.881520000000002</v>
      </c>
    </row>
    <row r="45" spans="1:21" ht="25.5">
      <c r="A45" s="155" t="s">
        <v>82</v>
      </c>
      <c r="B45" s="10" t="s">
        <v>83</v>
      </c>
      <c r="C45" s="29" t="s">
        <v>43</v>
      </c>
      <c r="D45" s="10" t="s">
        <v>79</v>
      </c>
      <c r="E45" s="37">
        <v>2631</v>
      </c>
      <c r="F45" s="38">
        <f>SUM(E45*2/1000)</f>
        <v>5.2619999999999996</v>
      </c>
      <c r="G45" s="60">
        <v>579.48</v>
      </c>
      <c r="H45" s="39">
        <f t="shared" si="9"/>
        <v>3.0492237599999998</v>
      </c>
      <c r="I45" s="40">
        <v>0</v>
      </c>
      <c r="J45" s="40">
        <v>0</v>
      </c>
      <c r="K45" s="40">
        <v>0</v>
      </c>
      <c r="L45" s="40">
        <f>F45/2*G45</f>
        <v>1524.6118799999999</v>
      </c>
      <c r="M45" s="40">
        <v>0</v>
      </c>
      <c r="N45" s="40">
        <v>0</v>
      </c>
      <c r="O45" s="40">
        <v>0</v>
      </c>
      <c r="P45" s="40">
        <v>0</v>
      </c>
      <c r="Q45" s="40">
        <f>F45/2*G45</f>
        <v>1524.6118799999999</v>
      </c>
      <c r="R45" s="40">
        <v>0</v>
      </c>
      <c r="S45" s="40">
        <v>0</v>
      </c>
      <c r="T45" s="40">
        <v>0</v>
      </c>
      <c r="U45" s="40">
        <f t="shared" si="10"/>
        <v>3049.2237599999999</v>
      </c>
    </row>
    <row r="46" spans="1:21">
      <c r="A46" s="155" t="s">
        <v>84</v>
      </c>
      <c r="B46" s="10" t="s">
        <v>85</v>
      </c>
      <c r="C46" s="29" t="s">
        <v>43</v>
      </c>
      <c r="D46" s="10" t="s">
        <v>79</v>
      </c>
      <c r="E46" s="37">
        <v>1953.8</v>
      </c>
      <c r="F46" s="38">
        <f>SUM(E46*2/1000)</f>
        <v>3.9076</v>
      </c>
      <c r="G46" s="60">
        <v>606.77</v>
      </c>
      <c r="H46" s="39">
        <f t="shared" si="9"/>
        <v>2.3710144519999998</v>
      </c>
      <c r="I46" s="40">
        <v>0</v>
      </c>
      <c r="J46" s="40">
        <v>0</v>
      </c>
      <c r="K46" s="40">
        <v>0</v>
      </c>
      <c r="L46" s="40">
        <f>F46/2*G46</f>
        <v>1185.5072259999999</v>
      </c>
      <c r="M46" s="40">
        <v>0</v>
      </c>
      <c r="N46" s="40">
        <v>0</v>
      </c>
      <c r="O46" s="40">
        <v>0</v>
      </c>
      <c r="P46" s="40">
        <v>0</v>
      </c>
      <c r="Q46" s="40">
        <f>F46/2*G46</f>
        <v>1185.5072259999999</v>
      </c>
      <c r="R46" s="40">
        <v>0</v>
      </c>
      <c r="S46" s="40">
        <v>0</v>
      </c>
      <c r="T46" s="40">
        <v>0</v>
      </c>
      <c r="U46" s="40">
        <f t="shared" si="10"/>
        <v>2371.0144519999999</v>
      </c>
    </row>
    <row r="47" spans="1:21">
      <c r="A47" s="155" t="s">
        <v>164</v>
      </c>
      <c r="B47" s="10" t="s">
        <v>165</v>
      </c>
      <c r="C47" s="29" t="s">
        <v>14</v>
      </c>
      <c r="D47" s="10" t="s">
        <v>79</v>
      </c>
      <c r="E47" s="37">
        <v>91.84</v>
      </c>
      <c r="F47" s="38">
        <f>SUM(E47*2/100)</f>
        <v>1.8368</v>
      </c>
      <c r="G47" s="60">
        <v>72.81</v>
      </c>
      <c r="H47" s="39">
        <f t="shared" ref="H47" si="11">SUM(F47*G47/1000)</f>
        <v>0.13373740800000003</v>
      </c>
      <c r="I47" s="40">
        <v>0</v>
      </c>
      <c r="J47" s="40">
        <v>0</v>
      </c>
      <c r="K47" s="40">
        <v>0</v>
      </c>
      <c r="L47" s="40">
        <f>F47/2*G47</f>
        <v>66.868704000000008</v>
      </c>
      <c r="M47" s="40">
        <v>0</v>
      </c>
      <c r="N47" s="40">
        <v>0</v>
      </c>
      <c r="O47" s="40">
        <v>0</v>
      </c>
      <c r="P47" s="40">
        <v>0</v>
      </c>
      <c r="Q47" s="40">
        <f>F47/2*G47</f>
        <v>66.868704000000008</v>
      </c>
      <c r="R47" s="40">
        <v>0</v>
      </c>
      <c r="S47" s="40">
        <v>0</v>
      </c>
      <c r="T47" s="40">
        <v>0</v>
      </c>
      <c r="U47" s="40">
        <f t="shared" si="10"/>
        <v>133.73740800000002</v>
      </c>
    </row>
    <row r="48" spans="1:21" ht="25.5">
      <c r="A48" s="155" t="s">
        <v>86</v>
      </c>
      <c r="B48" s="10" t="s">
        <v>87</v>
      </c>
      <c r="C48" s="29" t="s">
        <v>43</v>
      </c>
      <c r="D48" s="10" t="s">
        <v>88</v>
      </c>
      <c r="E48" s="37">
        <v>891.4</v>
      </c>
      <c r="F48" s="38">
        <f>SUM(E48*5/1000)</f>
        <v>4.4569999999999999</v>
      </c>
      <c r="G48" s="60">
        <v>1213.55</v>
      </c>
      <c r="H48" s="39">
        <f t="shared" si="9"/>
        <v>5.4087923499999997</v>
      </c>
      <c r="I48" s="40">
        <f>F48/5*G48</f>
        <v>1081.75847</v>
      </c>
      <c r="J48" s="40">
        <f>F48/5*G48</f>
        <v>1081.75847</v>
      </c>
      <c r="K48" s="40">
        <v>0</v>
      </c>
      <c r="L48" s="40">
        <v>0</v>
      </c>
      <c r="M48" s="40">
        <f>F48/5*G48</f>
        <v>1081.75847</v>
      </c>
      <c r="N48" s="40">
        <v>0</v>
      </c>
      <c r="O48" s="40">
        <v>0</v>
      </c>
      <c r="P48" s="40">
        <v>0</v>
      </c>
      <c r="Q48" s="40">
        <f>F48/5*G48</f>
        <v>1081.75847</v>
      </c>
      <c r="R48" s="40">
        <v>0</v>
      </c>
      <c r="S48" s="40">
        <v>0</v>
      </c>
      <c r="T48" s="40">
        <f>F48/5*G48</f>
        <v>1081.75847</v>
      </c>
      <c r="U48" s="40">
        <f t="shared" si="10"/>
        <v>5408.7923499999997</v>
      </c>
    </row>
    <row r="49" spans="1:21" ht="39.6" customHeight="1">
      <c r="A49" s="155" t="s">
        <v>89</v>
      </c>
      <c r="B49" s="10" t="s">
        <v>90</v>
      </c>
      <c r="C49" s="29" t="s">
        <v>43</v>
      </c>
      <c r="D49" s="10" t="s">
        <v>79</v>
      </c>
      <c r="E49" s="37">
        <v>891.4</v>
      </c>
      <c r="F49" s="38">
        <f>SUM(E49*2/1000)</f>
        <v>1.7827999999999999</v>
      </c>
      <c r="G49" s="60">
        <v>1213.55</v>
      </c>
      <c r="H49" s="39">
        <f t="shared" si="9"/>
        <v>2.1635169400000001</v>
      </c>
      <c r="I49" s="40">
        <v>0</v>
      </c>
      <c r="J49" s="40">
        <v>0</v>
      </c>
      <c r="K49" s="40">
        <f>F49/2*G49</f>
        <v>1081.75847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f>F49/2*G49</f>
        <v>1081.75847</v>
      </c>
      <c r="R49" s="40">
        <v>0</v>
      </c>
      <c r="S49" s="40">
        <v>0</v>
      </c>
      <c r="T49" s="40">
        <v>0</v>
      </c>
      <c r="U49" s="40">
        <f t="shared" si="10"/>
        <v>2163.51694</v>
      </c>
    </row>
    <row r="50" spans="1:21" ht="28.9" customHeight="1">
      <c r="A50" s="155" t="s">
        <v>91</v>
      </c>
      <c r="B50" s="10" t="s">
        <v>92</v>
      </c>
      <c r="C50" s="29" t="s">
        <v>93</v>
      </c>
      <c r="D50" s="10" t="s">
        <v>79</v>
      </c>
      <c r="E50" s="37">
        <v>20</v>
      </c>
      <c r="F50" s="38">
        <f>SUM(E50*2/100)</f>
        <v>0.4</v>
      </c>
      <c r="G50" s="60">
        <v>2730.49</v>
      </c>
      <c r="H50" s="39">
        <f t="shared" si="9"/>
        <v>1.0921959999999999</v>
      </c>
      <c r="I50" s="40">
        <v>0</v>
      </c>
      <c r="J50" s="40">
        <v>0</v>
      </c>
      <c r="K50" s="40">
        <f>F50/2*G50</f>
        <v>546.09799999999996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f>F50/2*G50</f>
        <v>546.09799999999996</v>
      </c>
      <c r="R50" s="40">
        <v>0</v>
      </c>
      <c r="S50" s="40">
        <v>0</v>
      </c>
      <c r="T50" s="40">
        <v>0</v>
      </c>
      <c r="U50" s="40">
        <f t="shared" si="10"/>
        <v>1092.1959999999999</v>
      </c>
    </row>
    <row r="51" spans="1:21">
      <c r="A51" s="155" t="s">
        <v>94</v>
      </c>
      <c r="B51" s="10" t="s">
        <v>95</v>
      </c>
      <c r="C51" s="29" t="s">
        <v>96</v>
      </c>
      <c r="D51" s="10" t="s">
        <v>79</v>
      </c>
      <c r="E51" s="37">
        <v>1</v>
      </c>
      <c r="F51" s="38">
        <v>0.02</v>
      </c>
      <c r="G51" s="60">
        <v>5652.13</v>
      </c>
      <c r="H51" s="39">
        <f t="shared" si="9"/>
        <v>0.11304260000000001</v>
      </c>
      <c r="I51" s="40">
        <v>0</v>
      </c>
      <c r="J51" s="40">
        <f>F51/2*G51</f>
        <v>56.521300000000004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f>F51/2*G51</f>
        <v>56.521300000000004</v>
      </c>
      <c r="R51" s="40">
        <v>0</v>
      </c>
      <c r="S51" s="40">
        <v>0</v>
      </c>
      <c r="T51" s="40">
        <v>0</v>
      </c>
      <c r="U51" s="40">
        <f t="shared" si="10"/>
        <v>113.04260000000001</v>
      </c>
    </row>
    <row r="52" spans="1:21">
      <c r="A52" s="155" t="s">
        <v>159</v>
      </c>
      <c r="B52" s="10" t="s">
        <v>160</v>
      </c>
      <c r="C52" s="29" t="s">
        <v>97</v>
      </c>
      <c r="D52" s="10" t="s">
        <v>179</v>
      </c>
      <c r="E52" s="37">
        <v>70</v>
      </c>
      <c r="F52" s="38">
        <f>E52*3</f>
        <v>210</v>
      </c>
      <c r="G52" s="60">
        <v>141.12</v>
      </c>
      <c r="H52" s="39">
        <f>F52*G52/1000</f>
        <v>29.635200000000001</v>
      </c>
      <c r="I52" s="40">
        <v>0</v>
      </c>
      <c r="J52" s="40">
        <f>E52*G52</f>
        <v>9878.4</v>
      </c>
      <c r="K52" s="40">
        <v>0</v>
      </c>
      <c r="L52" s="40">
        <v>0</v>
      </c>
      <c r="M52" s="40">
        <f>E52*G52</f>
        <v>9878.4</v>
      </c>
      <c r="N52" s="40">
        <v>0</v>
      </c>
      <c r="O52" s="40">
        <v>0</v>
      </c>
      <c r="P52" s="40">
        <v>0</v>
      </c>
      <c r="Q52" s="40">
        <f>E52*G52</f>
        <v>9878.4</v>
      </c>
      <c r="R52" s="40">
        <v>0</v>
      </c>
      <c r="S52" s="40">
        <v>0</v>
      </c>
      <c r="T52" s="40">
        <v>0</v>
      </c>
      <c r="U52" s="40">
        <f t="shared" si="10"/>
        <v>29635.199999999997</v>
      </c>
    </row>
    <row r="53" spans="1:21" ht="13.5" customHeight="1">
      <c r="A53" s="155" t="s">
        <v>98</v>
      </c>
      <c r="B53" s="10" t="s">
        <v>99</v>
      </c>
      <c r="C53" s="29" t="s">
        <v>97</v>
      </c>
      <c r="D53" s="10" t="s">
        <v>179</v>
      </c>
      <c r="E53" s="37">
        <v>140</v>
      </c>
      <c r="F53" s="38">
        <f>SUM(E53)</f>
        <v>140</v>
      </c>
      <c r="G53" s="61">
        <v>65.67</v>
      </c>
      <c r="H53" s="39">
        <f t="shared" si="9"/>
        <v>9.1938000000000013</v>
      </c>
      <c r="I53" s="40">
        <v>0</v>
      </c>
      <c r="J53" s="40">
        <f>E53*G53</f>
        <v>9193.8000000000011</v>
      </c>
      <c r="K53" s="40">
        <v>0</v>
      </c>
      <c r="L53" s="40">
        <v>0</v>
      </c>
      <c r="M53" s="40">
        <f>E53*G53</f>
        <v>9193.8000000000011</v>
      </c>
      <c r="N53" s="40">
        <v>0</v>
      </c>
      <c r="O53" s="40">
        <v>0</v>
      </c>
      <c r="P53" s="40">
        <v>0</v>
      </c>
      <c r="Q53" s="40">
        <f>E53*G53</f>
        <v>9193.8000000000011</v>
      </c>
      <c r="R53" s="40">
        <v>0</v>
      </c>
      <c r="S53" s="40">
        <v>0</v>
      </c>
      <c r="T53" s="40">
        <v>0</v>
      </c>
      <c r="U53" s="40">
        <f t="shared" si="10"/>
        <v>27581.4</v>
      </c>
    </row>
    <row r="54" spans="1:21" s="20" customFormat="1">
      <c r="A54" s="156"/>
      <c r="B54" s="19" t="s">
        <v>35</v>
      </c>
      <c r="C54" s="62"/>
      <c r="D54" s="19"/>
      <c r="E54" s="63"/>
      <c r="F54" s="64"/>
      <c r="G54" s="64"/>
      <c r="H54" s="56">
        <f>SUM(H43:H53)</f>
        <v>55.231718875000006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f>SUM(U43:U53)</f>
        <v>73619.318874999997</v>
      </c>
    </row>
    <row r="55" spans="1:21">
      <c r="A55" s="155"/>
      <c r="B55" s="11" t="s">
        <v>100</v>
      </c>
      <c r="C55" s="29"/>
      <c r="D55" s="10"/>
      <c r="E55" s="37"/>
      <c r="F55" s="38"/>
      <c r="G55" s="38"/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38.25" customHeight="1">
      <c r="A56" s="155" t="s">
        <v>102</v>
      </c>
      <c r="B56" s="10" t="s">
        <v>144</v>
      </c>
      <c r="C56" s="29" t="s">
        <v>14</v>
      </c>
      <c r="D56" s="10" t="s">
        <v>101</v>
      </c>
      <c r="E56" s="37">
        <v>123.43</v>
      </c>
      <c r="F56" s="38">
        <f>SUM(E56*6/100)</f>
        <v>7.4058000000000002</v>
      </c>
      <c r="G56" s="60">
        <v>1547.28</v>
      </c>
      <c r="H56" s="39">
        <f>SUM(F56*G56/1000)</f>
        <v>11.458846224</v>
      </c>
      <c r="I56" s="40">
        <f>F56/6*G56</f>
        <v>1909.8077039999998</v>
      </c>
      <c r="J56" s="40">
        <f>F56/6*G56</f>
        <v>1909.8077039999998</v>
      </c>
      <c r="K56" s="40">
        <f>F56/6*G56</f>
        <v>1909.8077039999998</v>
      </c>
      <c r="L56" s="40">
        <f>F56/6*G56</f>
        <v>1909.8077039999998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f>F56/6*G56</f>
        <v>1909.8077039999998</v>
      </c>
      <c r="T56" s="40">
        <f>F56/6*G56</f>
        <v>1909.8077039999998</v>
      </c>
      <c r="U56" s="40">
        <f>SUM(I56:T56)</f>
        <v>11458.846223999997</v>
      </c>
    </row>
    <row r="57" spans="1:21" ht="12.75" customHeight="1">
      <c r="A57" s="158"/>
      <c r="B57" s="24" t="s">
        <v>103</v>
      </c>
      <c r="C57" s="66"/>
      <c r="D57" s="23"/>
      <c r="E57" s="67"/>
      <c r="F57" s="68"/>
      <c r="G57" s="60"/>
      <c r="H57" s="6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ht="12.75" customHeight="1">
      <c r="A58" s="158" t="s">
        <v>104</v>
      </c>
      <c r="B58" s="23" t="s">
        <v>161</v>
      </c>
      <c r="C58" s="66" t="s">
        <v>30</v>
      </c>
      <c r="D58" s="23" t="s">
        <v>47</v>
      </c>
      <c r="E58" s="67">
        <v>891.4</v>
      </c>
      <c r="F58" s="68">
        <v>8.9</v>
      </c>
      <c r="G58" s="60">
        <v>747.3</v>
      </c>
      <c r="H58" s="69">
        <f>F58*G58/1000</f>
        <v>6.65097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f>SUM(I58:T58)</f>
        <v>0</v>
      </c>
    </row>
    <row r="59" spans="1:21">
      <c r="A59" s="158"/>
      <c r="B59" s="14" t="s">
        <v>106</v>
      </c>
      <c r="C59" s="66"/>
      <c r="D59" s="23"/>
      <c r="E59" s="67"/>
      <c r="F59" s="70"/>
      <c r="G59" s="70"/>
      <c r="H59" s="68" t="s">
        <v>64</v>
      </c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1:21" ht="20.25" customHeight="1">
      <c r="A60" s="71" t="s">
        <v>107</v>
      </c>
      <c r="B60" s="15" t="s">
        <v>108</v>
      </c>
      <c r="C60" s="71" t="s">
        <v>97</v>
      </c>
      <c r="D60" s="8" t="s">
        <v>56</v>
      </c>
      <c r="E60" s="44">
        <v>15</v>
      </c>
      <c r="F60" s="38">
        <v>15</v>
      </c>
      <c r="G60" s="60">
        <v>222.4</v>
      </c>
      <c r="H60" s="141">
        <f t="shared" ref="H60:H73" si="12">SUM(F60*G60/1000)</f>
        <v>3.3359999999999999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f t="shared" ref="U60:U67" si="13">SUM(I60:T60)</f>
        <v>0</v>
      </c>
    </row>
    <row r="61" spans="1:21" ht="12.75" customHeight="1">
      <c r="A61" s="71" t="s">
        <v>109</v>
      </c>
      <c r="B61" s="15" t="s">
        <v>110</v>
      </c>
      <c r="C61" s="71" t="s">
        <v>97</v>
      </c>
      <c r="D61" s="8" t="s">
        <v>56</v>
      </c>
      <c r="E61" s="44">
        <v>5</v>
      </c>
      <c r="F61" s="38">
        <v>5</v>
      </c>
      <c r="G61" s="60">
        <v>76.25</v>
      </c>
      <c r="H61" s="141">
        <f t="shared" si="12"/>
        <v>0.38124999999999998</v>
      </c>
      <c r="I61" s="40">
        <f>G61</f>
        <v>76.25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f>G61*2</f>
        <v>152.5</v>
      </c>
      <c r="S61" s="40">
        <f>G61*2</f>
        <v>152.5</v>
      </c>
      <c r="T61" s="40">
        <f>G61*8</f>
        <v>610</v>
      </c>
      <c r="U61" s="40">
        <f t="shared" si="13"/>
        <v>991.25</v>
      </c>
    </row>
    <row r="62" spans="1:21" s="1" customFormat="1">
      <c r="A62" s="72" t="s">
        <v>111</v>
      </c>
      <c r="B62" s="15" t="s">
        <v>112</v>
      </c>
      <c r="C62" s="72" t="s">
        <v>113</v>
      </c>
      <c r="D62" s="8" t="s">
        <v>47</v>
      </c>
      <c r="E62" s="37">
        <v>12702</v>
      </c>
      <c r="F62" s="61">
        <f>SUM(E62/100)</f>
        <v>127.02</v>
      </c>
      <c r="G62" s="60">
        <v>212.15</v>
      </c>
      <c r="H62" s="141">
        <f t="shared" si="12"/>
        <v>26.947293000000002</v>
      </c>
      <c r="I62" s="59">
        <v>0</v>
      </c>
      <c r="J62" s="59">
        <v>0</v>
      </c>
      <c r="K62" s="59">
        <v>0</v>
      </c>
      <c r="L62" s="59">
        <v>0</v>
      </c>
      <c r="M62" s="59">
        <f>F62*G62</f>
        <v>26947.293000000001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40">
        <f t="shared" si="13"/>
        <v>26947.293000000001</v>
      </c>
    </row>
    <row r="63" spans="1:21" ht="25.5">
      <c r="A63" s="71" t="s">
        <v>114</v>
      </c>
      <c r="B63" s="15" t="s">
        <v>115</v>
      </c>
      <c r="C63" s="71" t="s">
        <v>116</v>
      </c>
      <c r="D63" s="8"/>
      <c r="E63" s="37">
        <v>12702</v>
      </c>
      <c r="F63" s="60">
        <f>SUM(E63/1000)</f>
        <v>12.702</v>
      </c>
      <c r="G63" s="60">
        <v>165.21</v>
      </c>
      <c r="H63" s="141">
        <f t="shared" si="12"/>
        <v>2.0984974200000002</v>
      </c>
      <c r="I63" s="40">
        <v>0</v>
      </c>
      <c r="J63" s="40">
        <v>0</v>
      </c>
      <c r="K63" s="40">
        <v>0</v>
      </c>
      <c r="L63" s="40">
        <v>0</v>
      </c>
      <c r="M63" s="40">
        <f>F63*G63</f>
        <v>2098.4974200000001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f t="shared" si="13"/>
        <v>2098.4974200000001</v>
      </c>
    </row>
    <row r="64" spans="1:21">
      <c r="A64" s="71" t="s">
        <v>117</v>
      </c>
      <c r="B64" s="15" t="s">
        <v>118</v>
      </c>
      <c r="C64" s="71" t="s">
        <v>119</v>
      </c>
      <c r="D64" s="8" t="s">
        <v>47</v>
      </c>
      <c r="E64" s="37">
        <v>2184</v>
      </c>
      <c r="F64" s="60">
        <f>SUM(E64/100)</f>
        <v>21.84</v>
      </c>
      <c r="G64" s="60">
        <v>2074.63</v>
      </c>
      <c r="H64" s="141">
        <f t="shared" si="12"/>
        <v>45.309919200000003</v>
      </c>
      <c r="I64" s="40">
        <v>0</v>
      </c>
      <c r="J64" s="40">
        <v>0</v>
      </c>
      <c r="K64" s="40">
        <v>0</v>
      </c>
      <c r="L64" s="40">
        <v>0</v>
      </c>
      <c r="M64" s="40">
        <f>F64*G64</f>
        <v>45309.919200000004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f t="shared" si="13"/>
        <v>45309.919200000004</v>
      </c>
    </row>
    <row r="65" spans="1:27">
      <c r="A65" s="71"/>
      <c r="B65" s="16" t="s">
        <v>146</v>
      </c>
      <c r="C65" s="71" t="s">
        <v>54</v>
      </c>
      <c r="D65" s="8"/>
      <c r="E65" s="37">
        <v>11.6</v>
      </c>
      <c r="F65" s="60">
        <f>SUM(E65)</f>
        <v>11.6</v>
      </c>
      <c r="G65" s="60">
        <v>42.67</v>
      </c>
      <c r="H65" s="141">
        <f t="shared" si="12"/>
        <v>0.49497199999999997</v>
      </c>
      <c r="I65" s="40">
        <v>0</v>
      </c>
      <c r="J65" s="40">
        <v>0</v>
      </c>
      <c r="K65" s="40">
        <v>0</v>
      </c>
      <c r="L65" s="40">
        <v>0</v>
      </c>
      <c r="M65" s="40">
        <f>F65*G65</f>
        <v>494.97199999999998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f t="shared" si="13"/>
        <v>494.97199999999998</v>
      </c>
    </row>
    <row r="66" spans="1:27" ht="25.5">
      <c r="A66" s="159"/>
      <c r="B66" s="16" t="s">
        <v>147</v>
      </c>
      <c r="C66" s="71" t="s">
        <v>54</v>
      </c>
      <c r="D66" s="8"/>
      <c r="E66" s="37">
        <v>11.6</v>
      </c>
      <c r="F66" s="60">
        <f>SUM(E66)</f>
        <v>11.6</v>
      </c>
      <c r="G66" s="60">
        <v>39.81</v>
      </c>
      <c r="H66" s="141">
        <f t="shared" si="12"/>
        <v>0.46179599999999998</v>
      </c>
      <c r="I66" s="40">
        <v>0</v>
      </c>
      <c r="J66" s="40">
        <v>0</v>
      </c>
      <c r="K66" s="40">
        <v>0</v>
      </c>
      <c r="L66" s="40">
        <v>0</v>
      </c>
      <c r="M66" s="40">
        <f>F66*G66</f>
        <v>461.79599999999999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f t="shared" si="13"/>
        <v>461.79599999999999</v>
      </c>
    </row>
    <row r="67" spans="1:27">
      <c r="A67" s="71" t="s">
        <v>120</v>
      </c>
      <c r="B67" s="8" t="s">
        <v>121</v>
      </c>
      <c r="C67" s="71" t="s">
        <v>122</v>
      </c>
      <c r="D67" s="8" t="s">
        <v>47</v>
      </c>
      <c r="E67" s="44">
        <v>5</v>
      </c>
      <c r="F67" s="38">
        <v>5</v>
      </c>
      <c r="G67" s="60">
        <v>49.88</v>
      </c>
      <c r="H67" s="141">
        <f t="shared" si="12"/>
        <v>0.24940000000000001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f>F67*G67</f>
        <v>249.4</v>
      </c>
      <c r="R67" s="40">
        <v>0</v>
      </c>
      <c r="S67" s="40">
        <v>0</v>
      </c>
      <c r="T67" s="40">
        <v>0</v>
      </c>
      <c r="U67" s="40">
        <f t="shared" si="13"/>
        <v>249.4</v>
      </c>
    </row>
    <row r="68" spans="1:27">
      <c r="A68" s="159"/>
      <c r="B68" s="17" t="s">
        <v>123</v>
      </c>
      <c r="C68" s="71"/>
      <c r="D68" s="8"/>
      <c r="E68" s="44"/>
      <c r="F68" s="60"/>
      <c r="G68" s="60"/>
      <c r="H68" s="141" t="s">
        <v>64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1:27">
      <c r="A69" s="71" t="s">
        <v>124</v>
      </c>
      <c r="B69" s="8" t="s">
        <v>125</v>
      </c>
      <c r="C69" s="71" t="s">
        <v>126</v>
      </c>
      <c r="D69" s="8"/>
      <c r="E69" s="44">
        <v>5</v>
      </c>
      <c r="F69" s="60">
        <v>0.5</v>
      </c>
      <c r="G69" s="60">
        <v>501.62</v>
      </c>
      <c r="H69" s="141">
        <f t="shared" si="12"/>
        <v>0.25080999999999998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f>SUM(I69:T69)</f>
        <v>0</v>
      </c>
    </row>
    <row r="70" spans="1:27">
      <c r="A70" s="71" t="s">
        <v>148</v>
      </c>
      <c r="B70" s="8" t="s">
        <v>149</v>
      </c>
      <c r="C70" s="71" t="s">
        <v>50</v>
      </c>
      <c r="D70" s="8"/>
      <c r="E70" s="44">
        <v>1</v>
      </c>
      <c r="F70" s="74">
        <v>1</v>
      </c>
      <c r="G70" s="60">
        <v>852.99</v>
      </c>
      <c r="H70" s="141">
        <f>F70*G70/1000</f>
        <v>0.85299000000000003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f>SUM(I70:T70)</f>
        <v>0</v>
      </c>
    </row>
    <row r="71" spans="1:27">
      <c r="A71" s="71" t="s">
        <v>127</v>
      </c>
      <c r="B71" s="8" t="s">
        <v>151</v>
      </c>
      <c r="C71" s="71" t="s">
        <v>50</v>
      </c>
      <c r="D71" s="8"/>
      <c r="E71" s="44">
        <v>1</v>
      </c>
      <c r="F71" s="60">
        <v>1</v>
      </c>
      <c r="G71" s="60">
        <v>358.51</v>
      </c>
      <c r="H71" s="141">
        <f>G71*F71/1000</f>
        <v>0.35851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>
        <f>SUM(I71:T71)</f>
        <v>0</v>
      </c>
    </row>
    <row r="72" spans="1:27">
      <c r="A72" s="159"/>
      <c r="B72" s="75" t="s">
        <v>128</v>
      </c>
      <c r="C72" s="71"/>
      <c r="D72" s="8"/>
      <c r="E72" s="44"/>
      <c r="F72" s="60"/>
      <c r="G72" s="60" t="s">
        <v>64</v>
      </c>
      <c r="H72" s="141" t="s">
        <v>64</v>
      </c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1:27" s="1" customFormat="1">
      <c r="A73" s="72" t="s">
        <v>129</v>
      </c>
      <c r="B73" s="76" t="s">
        <v>130</v>
      </c>
      <c r="C73" s="72" t="s">
        <v>119</v>
      </c>
      <c r="D73" s="15"/>
      <c r="E73" s="77"/>
      <c r="F73" s="61">
        <v>1</v>
      </c>
      <c r="G73" s="61">
        <v>2579.44</v>
      </c>
      <c r="H73" s="141">
        <f t="shared" si="12"/>
        <v>2.57944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  <c r="U73" s="40">
        <f>SUM(I73:T73)</f>
        <v>0</v>
      </c>
    </row>
    <row r="74" spans="1:27" s="20" customFormat="1">
      <c r="A74" s="160"/>
      <c r="B74" s="19" t="s">
        <v>35</v>
      </c>
      <c r="C74" s="78"/>
      <c r="D74" s="79"/>
      <c r="E74" s="80"/>
      <c r="F74" s="65"/>
      <c r="G74" s="65"/>
      <c r="H74" s="81">
        <f>SUM(H56:H73)</f>
        <v>101.43069384400002</v>
      </c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>
        <f>SUM(U56:U73)</f>
        <v>88011.973843999993</v>
      </c>
    </row>
    <row r="75" spans="1:27">
      <c r="A75" s="161" t="s">
        <v>190</v>
      </c>
      <c r="B75" s="10" t="s">
        <v>191</v>
      </c>
      <c r="C75" s="83" t="s">
        <v>192</v>
      </c>
      <c r="D75" s="84"/>
      <c r="E75" s="137"/>
      <c r="F75" s="85">
        <f>96/10</f>
        <v>9.6</v>
      </c>
      <c r="G75" s="86">
        <v>9</v>
      </c>
      <c r="H75" s="141">
        <f>G75*F75/1000</f>
        <v>8.6399999999999991E-2</v>
      </c>
      <c r="I75" s="40">
        <v>0</v>
      </c>
      <c r="J75" s="40">
        <v>0</v>
      </c>
      <c r="K75" s="40">
        <v>0</v>
      </c>
      <c r="L75" s="40">
        <v>0</v>
      </c>
      <c r="M75" s="41">
        <v>0</v>
      </c>
      <c r="N75" s="40">
        <f>F75*G75</f>
        <v>86.399999999999991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f>SUM(I75:T75)</f>
        <v>86.399999999999991</v>
      </c>
    </row>
    <row r="76" spans="1:27" ht="12.75" customHeight="1">
      <c r="A76" s="71"/>
      <c r="B76" s="82" t="s">
        <v>131</v>
      </c>
      <c r="C76" s="71" t="s">
        <v>132</v>
      </c>
      <c r="D76" s="87"/>
      <c r="E76" s="60">
        <v>3181</v>
      </c>
      <c r="F76" s="60">
        <f>SUM(E76*12)</f>
        <v>38172</v>
      </c>
      <c r="G76" s="88">
        <v>2.1</v>
      </c>
      <c r="H76" s="141">
        <f>SUM(F76*G76/1000)</f>
        <v>80.161199999999994</v>
      </c>
      <c r="I76" s="40">
        <f>F76/12*G76</f>
        <v>6680.1</v>
      </c>
      <c r="J76" s="40">
        <f>F76/12*G76</f>
        <v>6680.1</v>
      </c>
      <c r="K76" s="40">
        <f>F76/12*G76</f>
        <v>6680.1</v>
      </c>
      <c r="L76" s="40">
        <f>F76/12*G76</f>
        <v>6680.1</v>
      </c>
      <c r="M76" s="40">
        <f>F76/12*G76</f>
        <v>6680.1</v>
      </c>
      <c r="N76" s="40">
        <f>F76/12*G76</f>
        <v>6680.1</v>
      </c>
      <c r="O76" s="40">
        <f>F76/12*G76</f>
        <v>6680.1</v>
      </c>
      <c r="P76" s="40">
        <f>F76/12*G76</f>
        <v>6680.1</v>
      </c>
      <c r="Q76" s="40">
        <f>F76/12*G76</f>
        <v>6680.1</v>
      </c>
      <c r="R76" s="40">
        <f>F76/12*G76</f>
        <v>6680.1</v>
      </c>
      <c r="S76" s="40">
        <f>F76/12*G76</f>
        <v>6680.1</v>
      </c>
      <c r="T76" s="40">
        <f>F76/12*G76</f>
        <v>6680.1</v>
      </c>
      <c r="U76" s="40">
        <f>SUM(I76:T76)</f>
        <v>80161.200000000012</v>
      </c>
      <c r="X76" s="179"/>
      <c r="Y76" s="179"/>
      <c r="Z76" s="179"/>
      <c r="AA76" s="179"/>
    </row>
    <row r="77" spans="1:27" s="18" customFormat="1">
      <c r="A77" s="89"/>
      <c r="B77" s="19" t="s">
        <v>35</v>
      </c>
      <c r="C77" s="90"/>
      <c r="D77" s="91"/>
      <c r="E77" s="92"/>
      <c r="F77" s="51"/>
      <c r="G77" s="93"/>
      <c r="H77" s="52">
        <f>SUM(H75:H76)</f>
        <v>80.247599999999991</v>
      </c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>
        <f>SUM(U75:U76)</f>
        <v>80247.600000000006</v>
      </c>
    </row>
    <row r="78" spans="1:27" ht="33.75" customHeight="1">
      <c r="A78" s="159"/>
      <c r="B78" s="8" t="s">
        <v>133</v>
      </c>
      <c r="C78" s="71"/>
      <c r="D78" s="94"/>
      <c r="E78" s="37">
        <f>E76</f>
        <v>3181</v>
      </c>
      <c r="F78" s="60">
        <f>E78*12</f>
        <v>38172</v>
      </c>
      <c r="G78" s="60">
        <v>1.63</v>
      </c>
      <c r="H78" s="141">
        <f>F78*G78/1000</f>
        <v>62.220359999999992</v>
      </c>
      <c r="I78" s="40">
        <f>F78/12*G78</f>
        <v>5185.03</v>
      </c>
      <c r="J78" s="40">
        <f>F78/12*G78</f>
        <v>5185.03</v>
      </c>
      <c r="K78" s="40">
        <f>F78/12*G78</f>
        <v>5185.03</v>
      </c>
      <c r="L78" s="40">
        <f>F78/12*G78</f>
        <v>5185.03</v>
      </c>
      <c r="M78" s="40">
        <f>F78/12*G78</f>
        <v>5185.03</v>
      </c>
      <c r="N78" s="40">
        <f>F78/12*G78</f>
        <v>5185.03</v>
      </c>
      <c r="O78" s="40">
        <f>F78/12*G78</f>
        <v>5185.03</v>
      </c>
      <c r="P78" s="40">
        <f>F78/12*G78</f>
        <v>5185.03</v>
      </c>
      <c r="Q78" s="40">
        <f>F78/12*G78</f>
        <v>5185.03</v>
      </c>
      <c r="R78" s="40">
        <f>F78/12*G78</f>
        <v>5185.03</v>
      </c>
      <c r="S78" s="40">
        <f>F78/12*G78</f>
        <v>5185.03</v>
      </c>
      <c r="T78" s="40">
        <f>F78/12*G78</f>
        <v>5185.03</v>
      </c>
      <c r="U78" s="40">
        <f>SUM(I78:T78)</f>
        <v>62220.359999999993</v>
      </c>
    </row>
    <row r="79" spans="1:27" s="18" customFormat="1">
      <c r="A79" s="89"/>
      <c r="B79" s="95" t="s">
        <v>134</v>
      </c>
      <c r="C79" s="96"/>
      <c r="D79" s="95"/>
      <c r="E79" s="51"/>
      <c r="F79" s="51"/>
      <c r="G79" s="51"/>
      <c r="H79" s="81">
        <f>H78</f>
        <v>62.220359999999992</v>
      </c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133">
        <f>U78</f>
        <v>62220.359999999993</v>
      </c>
    </row>
    <row r="80" spans="1:27" s="18" customFormat="1">
      <c r="A80" s="89"/>
      <c r="B80" s="95" t="s">
        <v>135</v>
      </c>
      <c r="C80" s="97"/>
      <c r="D80" s="98"/>
      <c r="E80" s="99"/>
      <c r="F80" s="99"/>
      <c r="G80" s="99"/>
      <c r="H80" s="81">
        <f>SUM(H79+H77+H74+H54+H41+H31+H21)</f>
        <v>681.3047164858333</v>
      </c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133">
        <f>SUM(U79+U77+U74+U54+U41+U31+U21)*1.064</f>
        <v>709245.56378092675</v>
      </c>
    </row>
    <row r="81" spans="1:21" s="130" customFormat="1" ht="51" customHeight="1">
      <c r="A81" s="162"/>
      <c r="B81" s="75"/>
      <c r="C81" s="71"/>
      <c r="D81" s="94"/>
      <c r="E81" s="60"/>
      <c r="F81" s="60"/>
      <c r="G81" s="60"/>
      <c r="H81" s="129"/>
      <c r="I81" s="60"/>
      <c r="J81" s="60"/>
      <c r="K81" s="60"/>
      <c r="L81" s="60"/>
      <c r="M81" s="60"/>
      <c r="N81" s="60"/>
      <c r="O81" s="60"/>
      <c r="P81" s="60"/>
      <c r="Q81" s="60"/>
      <c r="R81" s="143"/>
      <c r="S81" s="143"/>
      <c r="T81" s="143"/>
      <c r="U81" s="142" t="s">
        <v>203</v>
      </c>
    </row>
    <row r="82" spans="1:21">
      <c r="A82" s="163"/>
      <c r="B82" s="94" t="s">
        <v>136</v>
      </c>
      <c r="C82" s="71"/>
      <c r="D82" s="94"/>
      <c r="E82" s="60"/>
      <c r="F82" s="60"/>
      <c r="G82" s="60" t="s">
        <v>137</v>
      </c>
      <c r="H82" s="100">
        <f>E78</f>
        <v>3181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1:21" s="18" customFormat="1">
      <c r="A83" s="89"/>
      <c r="B83" s="98" t="s">
        <v>138</v>
      </c>
      <c r="C83" s="97"/>
      <c r="D83" s="98"/>
      <c r="E83" s="99"/>
      <c r="F83" s="99"/>
      <c r="G83" s="99"/>
      <c r="H83" s="101">
        <f>SUM(H80/H82/12*1000)</f>
        <v>17.848284514456495</v>
      </c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134"/>
    </row>
    <row r="84" spans="1:21">
      <c r="A84" s="102"/>
      <c r="B84" s="94"/>
      <c r="C84" s="71"/>
      <c r="D84" s="94"/>
      <c r="E84" s="60"/>
      <c r="F84" s="60"/>
      <c r="G84" s="60"/>
      <c r="H84" s="103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135"/>
    </row>
    <row r="85" spans="1:21">
      <c r="A85" s="159"/>
      <c r="B85" s="75" t="s">
        <v>139</v>
      </c>
      <c r="C85" s="71"/>
      <c r="D85" s="94"/>
      <c r="E85" s="60"/>
      <c r="F85" s="60"/>
      <c r="G85" s="60"/>
      <c r="H85" s="6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1:21" ht="25.5">
      <c r="A86" s="25" t="s">
        <v>181</v>
      </c>
      <c r="B86" s="26" t="s">
        <v>180</v>
      </c>
      <c r="C86" s="27" t="s">
        <v>97</v>
      </c>
      <c r="D86" s="104"/>
      <c r="E86" s="42"/>
      <c r="F86" s="105">
        <v>15</v>
      </c>
      <c r="G86" s="106">
        <v>72.290000000000006</v>
      </c>
      <c r="H86" s="107">
        <f>F86*G86/1000</f>
        <v>1.0843500000000001</v>
      </c>
      <c r="I86" s="108">
        <f>G86*4</f>
        <v>289.16000000000003</v>
      </c>
      <c r="J86" s="108">
        <v>0</v>
      </c>
      <c r="K86" s="108">
        <v>0</v>
      </c>
      <c r="L86" s="108">
        <v>0</v>
      </c>
      <c r="M86" s="108">
        <v>0</v>
      </c>
      <c r="N86" s="108">
        <f>G86*3</f>
        <v>216.87</v>
      </c>
      <c r="O86" s="108">
        <f>G86*2</f>
        <v>144.58000000000001</v>
      </c>
      <c r="P86" s="108">
        <f>G86*2</f>
        <v>144.58000000000001</v>
      </c>
      <c r="Q86" s="108">
        <v>0</v>
      </c>
      <c r="R86" s="108">
        <v>0</v>
      </c>
      <c r="S86" s="108">
        <f>G86</f>
        <v>72.290000000000006</v>
      </c>
      <c r="T86" s="108">
        <f>G86*3</f>
        <v>216.87</v>
      </c>
      <c r="U86" s="108">
        <f t="shared" ref="U86:U91" si="14">SUM(I86:T86)</f>
        <v>1084.3499999999999</v>
      </c>
    </row>
    <row r="87" spans="1:21">
      <c r="A87" s="27" t="s">
        <v>183</v>
      </c>
      <c r="B87" s="26" t="s">
        <v>182</v>
      </c>
      <c r="C87" s="27" t="s">
        <v>97</v>
      </c>
      <c r="D87" s="8"/>
      <c r="E87" s="44"/>
      <c r="F87" s="60">
        <v>3</v>
      </c>
      <c r="G87" s="60">
        <v>531.91999999999996</v>
      </c>
      <c r="H87" s="60">
        <f t="shared" ref="H87:H98" si="15">G87*F87/1000</f>
        <v>1.5957599999999998</v>
      </c>
      <c r="I87" s="108">
        <f>G87</f>
        <v>531.91999999999996</v>
      </c>
      <c r="J87" s="108">
        <v>0</v>
      </c>
      <c r="K87" s="108">
        <v>0</v>
      </c>
      <c r="L87" s="108">
        <f>G87</f>
        <v>531.91999999999996</v>
      </c>
      <c r="M87" s="108">
        <v>0</v>
      </c>
      <c r="N87" s="108">
        <v>0</v>
      </c>
      <c r="O87" s="108">
        <v>0</v>
      </c>
      <c r="P87" s="108">
        <f>G87</f>
        <v>531.91999999999996</v>
      </c>
      <c r="Q87" s="108">
        <v>0</v>
      </c>
      <c r="R87" s="108">
        <v>0</v>
      </c>
      <c r="S87" s="108">
        <v>0</v>
      </c>
      <c r="T87" s="108">
        <v>0</v>
      </c>
      <c r="U87" s="108">
        <f t="shared" si="14"/>
        <v>1595.7599999999998</v>
      </c>
    </row>
    <row r="88" spans="1:21">
      <c r="A88" s="27" t="s">
        <v>184</v>
      </c>
      <c r="B88" s="26" t="s">
        <v>185</v>
      </c>
      <c r="C88" s="27" t="s">
        <v>186</v>
      </c>
      <c r="D88" s="8"/>
      <c r="E88" s="44"/>
      <c r="F88" s="60">
        <v>2</v>
      </c>
      <c r="G88" s="60">
        <v>1372</v>
      </c>
      <c r="H88" s="141">
        <f t="shared" si="15"/>
        <v>2.7440000000000002</v>
      </c>
      <c r="I88" s="108">
        <v>0</v>
      </c>
      <c r="J88" s="108">
        <f>G88*2</f>
        <v>2744</v>
      </c>
      <c r="K88" s="108">
        <v>0</v>
      </c>
      <c r="L88" s="108">
        <v>0</v>
      </c>
      <c r="M88" s="108">
        <v>0</v>
      </c>
      <c r="N88" s="108">
        <v>0</v>
      </c>
      <c r="O88" s="108">
        <v>0</v>
      </c>
      <c r="P88" s="108">
        <v>0</v>
      </c>
      <c r="Q88" s="108">
        <v>0</v>
      </c>
      <c r="R88" s="108">
        <v>0</v>
      </c>
      <c r="S88" s="108">
        <v>0</v>
      </c>
      <c r="T88" s="108">
        <v>0</v>
      </c>
      <c r="U88" s="108">
        <f t="shared" si="14"/>
        <v>2744</v>
      </c>
    </row>
    <row r="89" spans="1:21" ht="25.5">
      <c r="A89" s="27" t="s">
        <v>195</v>
      </c>
      <c r="B89" s="26" t="s">
        <v>193</v>
      </c>
      <c r="C89" s="27" t="s">
        <v>194</v>
      </c>
      <c r="D89" s="8"/>
      <c r="E89" s="44"/>
      <c r="F89" s="60">
        <v>1</v>
      </c>
      <c r="G89" s="60">
        <v>179.12</v>
      </c>
      <c r="H89" s="141">
        <f t="shared" si="15"/>
        <v>0.17912</v>
      </c>
      <c r="I89" s="108">
        <v>0</v>
      </c>
      <c r="J89" s="108">
        <v>0</v>
      </c>
      <c r="K89" s="108">
        <f>G89</f>
        <v>179.12</v>
      </c>
      <c r="L89" s="108">
        <v>0</v>
      </c>
      <c r="M89" s="108">
        <v>0</v>
      </c>
      <c r="N89" s="108">
        <v>0</v>
      </c>
      <c r="O89" s="108">
        <v>0</v>
      </c>
      <c r="P89" s="108">
        <v>0</v>
      </c>
      <c r="Q89" s="108">
        <v>0</v>
      </c>
      <c r="R89" s="108">
        <v>0</v>
      </c>
      <c r="S89" s="108">
        <v>0</v>
      </c>
      <c r="T89" s="108">
        <v>0</v>
      </c>
      <c r="U89" s="108">
        <f t="shared" si="14"/>
        <v>179.12</v>
      </c>
    </row>
    <row r="90" spans="1:21">
      <c r="A90" s="27" t="s">
        <v>196</v>
      </c>
      <c r="B90" s="26" t="s">
        <v>197</v>
      </c>
      <c r="C90" s="27" t="s">
        <v>198</v>
      </c>
      <c r="D90" s="8"/>
      <c r="E90" s="44"/>
      <c r="F90" s="60">
        <v>1</v>
      </c>
      <c r="G90" s="60">
        <v>265.92</v>
      </c>
      <c r="H90" s="141">
        <f t="shared" si="15"/>
        <v>0.26591999999999999</v>
      </c>
      <c r="I90" s="108">
        <v>0</v>
      </c>
      <c r="J90" s="108">
        <v>0</v>
      </c>
      <c r="K90" s="108">
        <f>G90</f>
        <v>265.92</v>
      </c>
      <c r="L90" s="108">
        <v>0</v>
      </c>
      <c r="M90" s="108">
        <v>0</v>
      </c>
      <c r="N90" s="108">
        <v>0</v>
      </c>
      <c r="O90" s="108">
        <v>0</v>
      </c>
      <c r="P90" s="108">
        <v>0</v>
      </c>
      <c r="Q90" s="108">
        <v>0</v>
      </c>
      <c r="R90" s="108">
        <v>0</v>
      </c>
      <c r="S90" s="108">
        <v>0</v>
      </c>
      <c r="T90" s="108">
        <v>0</v>
      </c>
      <c r="U90" s="108">
        <f t="shared" si="14"/>
        <v>265.92</v>
      </c>
    </row>
    <row r="91" spans="1:21" ht="25.5">
      <c r="A91" s="138" t="s">
        <v>199</v>
      </c>
      <c r="B91" s="139" t="s">
        <v>200</v>
      </c>
      <c r="C91" s="140" t="s">
        <v>23</v>
      </c>
      <c r="D91" s="8"/>
      <c r="E91" s="44"/>
      <c r="F91" s="60">
        <v>0.1</v>
      </c>
      <c r="G91" s="60">
        <v>2453.7800000000002</v>
      </c>
      <c r="H91" s="141">
        <f t="shared" si="15"/>
        <v>0.24537800000000004</v>
      </c>
      <c r="I91" s="108">
        <v>0</v>
      </c>
      <c r="J91" s="108">
        <v>0</v>
      </c>
      <c r="K91" s="108">
        <f>G91*0.1</f>
        <v>245.37800000000004</v>
      </c>
      <c r="L91" s="108">
        <v>0</v>
      </c>
      <c r="M91" s="108">
        <v>0</v>
      </c>
      <c r="N91" s="108">
        <v>0</v>
      </c>
      <c r="O91" s="108">
        <v>0</v>
      </c>
      <c r="P91" s="108">
        <v>0</v>
      </c>
      <c r="Q91" s="108">
        <v>0</v>
      </c>
      <c r="R91" s="108">
        <v>0</v>
      </c>
      <c r="S91" s="108">
        <v>0</v>
      </c>
      <c r="T91" s="108">
        <v>0</v>
      </c>
      <c r="U91" s="108">
        <f t="shared" si="14"/>
        <v>245.37800000000004</v>
      </c>
    </row>
    <row r="92" spans="1:21" ht="25.5">
      <c r="A92" s="25" t="s">
        <v>202</v>
      </c>
      <c r="B92" s="26" t="s">
        <v>201</v>
      </c>
      <c r="C92" s="27" t="s">
        <v>97</v>
      </c>
      <c r="D92" s="8"/>
      <c r="E92" s="44"/>
      <c r="F92" s="60">
        <v>1</v>
      </c>
      <c r="G92" s="60">
        <v>1992.08</v>
      </c>
      <c r="H92" s="141">
        <f t="shared" si="15"/>
        <v>1.9920799999999999</v>
      </c>
      <c r="I92" s="108">
        <v>0</v>
      </c>
      <c r="J92" s="108">
        <v>0</v>
      </c>
      <c r="K92" s="108">
        <v>0</v>
      </c>
      <c r="L92" s="108">
        <f>G92</f>
        <v>1992.08</v>
      </c>
      <c r="M92" s="108">
        <v>0</v>
      </c>
      <c r="N92" s="108">
        <v>0</v>
      </c>
      <c r="O92" s="108">
        <v>0</v>
      </c>
      <c r="P92" s="108">
        <v>0</v>
      </c>
      <c r="Q92" s="108">
        <v>0</v>
      </c>
      <c r="R92" s="108">
        <v>0</v>
      </c>
      <c r="S92" s="108">
        <v>0</v>
      </c>
      <c r="T92" s="108">
        <v>0</v>
      </c>
      <c r="U92" s="108">
        <f t="shared" ref="U92:U97" si="16">SUM(I92:T92)</f>
        <v>1992.08</v>
      </c>
    </row>
    <row r="93" spans="1:21" ht="25.5">
      <c r="A93" s="144" t="s">
        <v>184</v>
      </c>
      <c r="B93" s="145" t="s">
        <v>210</v>
      </c>
      <c r="C93" s="146" t="s">
        <v>211</v>
      </c>
      <c r="D93" s="8"/>
      <c r="E93" s="44"/>
      <c r="F93" s="60">
        <v>2</v>
      </c>
      <c r="G93" s="60">
        <v>1678.06</v>
      </c>
      <c r="H93" s="141">
        <f t="shared" si="15"/>
        <v>3.3561199999999998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8">
        <v>0</v>
      </c>
      <c r="P93" s="108">
        <v>0</v>
      </c>
      <c r="Q93" s="108">
        <v>0</v>
      </c>
      <c r="R93" s="108">
        <f>G93</f>
        <v>1678.06</v>
      </c>
      <c r="S93" s="108">
        <f>G93</f>
        <v>1678.06</v>
      </c>
      <c r="T93" s="108">
        <v>0</v>
      </c>
      <c r="U93" s="108">
        <f t="shared" si="16"/>
        <v>3356.12</v>
      </c>
    </row>
    <row r="94" spans="1:21" ht="25.5">
      <c r="A94" s="27" t="s">
        <v>213</v>
      </c>
      <c r="B94" s="26" t="s">
        <v>214</v>
      </c>
      <c r="C94" s="27" t="s">
        <v>212</v>
      </c>
      <c r="D94" s="8"/>
      <c r="E94" s="44"/>
      <c r="F94" s="60">
        <v>1</v>
      </c>
      <c r="G94" s="60">
        <v>169.85</v>
      </c>
      <c r="H94" s="141">
        <f t="shared" si="15"/>
        <v>0.16985</v>
      </c>
      <c r="I94" s="108">
        <v>0</v>
      </c>
      <c r="J94" s="108">
        <v>0</v>
      </c>
      <c r="K94" s="108">
        <v>0</v>
      </c>
      <c r="L94" s="108">
        <v>0</v>
      </c>
      <c r="M94" s="108">
        <v>0</v>
      </c>
      <c r="N94" s="108">
        <v>0</v>
      </c>
      <c r="O94" s="108">
        <v>0</v>
      </c>
      <c r="P94" s="108">
        <v>0</v>
      </c>
      <c r="Q94" s="108">
        <v>0</v>
      </c>
      <c r="R94" s="108">
        <v>0</v>
      </c>
      <c r="S94" s="108">
        <f>G94</f>
        <v>169.85</v>
      </c>
      <c r="T94" s="108">
        <v>0</v>
      </c>
      <c r="U94" s="108">
        <f t="shared" si="16"/>
        <v>169.85</v>
      </c>
    </row>
    <row r="95" spans="1:21" ht="25.5">
      <c r="A95" s="25" t="s">
        <v>217</v>
      </c>
      <c r="B95" s="26" t="s">
        <v>215</v>
      </c>
      <c r="C95" s="27" t="s">
        <v>216</v>
      </c>
      <c r="D95" s="8"/>
      <c r="E95" s="44"/>
      <c r="F95" s="60">
        <v>2</v>
      </c>
      <c r="G95" s="60">
        <v>511.54</v>
      </c>
      <c r="H95" s="141">
        <f t="shared" si="15"/>
        <v>1.02308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08">
        <v>0</v>
      </c>
      <c r="R95" s="108">
        <v>0</v>
      </c>
      <c r="S95" s="108">
        <f>G95</f>
        <v>511.54</v>
      </c>
      <c r="T95" s="108">
        <f>G95</f>
        <v>511.54</v>
      </c>
      <c r="U95" s="108">
        <f t="shared" si="16"/>
        <v>1023.08</v>
      </c>
    </row>
    <row r="96" spans="1:21">
      <c r="A96" s="147" t="s">
        <v>218</v>
      </c>
      <c r="B96" s="148" t="s">
        <v>219</v>
      </c>
      <c r="C96" s="149" t="s">
        <v>220</v>
      </c>
      <c r="D96" s="8"/>
      <c r="E96" s="44"/>
      <c r="F96" s="60">
        <v>1</v>
      </c>
      <c r="G96" s="60">
        <v>16.45</v>
      </c>
      <c r="H96" s="141">
        <f t="shared" si="15"/>
        <v>1.6449999999999999E-2</v>
      </c>
      <c r="I96" s="108">
        <v>0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108">
        <f>G96</f>
        <v>16.45</v>
      </c>
      <c r="U96" s="108">
        <f t="shared" si="16"/>
        <v>16.45</v>
      </c>
    </row>
    <row r="97" spans="1:21" ht="25.5">
      <c r="A97" s="138" t="s">
        <v>221</v>
      </c>
      <c r="B97" s="150" t="s">
        <v>222</v>
      </c>
      <c r="C97" s="25" t="s">
        <v>216</v>
      </c>
      <c r="D97" s="8"/>
      <c r="E97" s="44"/>
      <c r="F97" s="60">
        <v>1</v>
      </c>
      <c r="G97" s="60">
        <v>684.32</v>
      </c>
      <c r="H97" s="141">
        <f t="shared" si="15"/>
        <v>0.68432000000000004</v>
      </c>
      <c r="I97" s="108">
        <v>0</v>
      </c>
      <c r="J97" s="108">
        <v>0</v>
      </c>
      <c r="K97" s="108">
        <v>0</v>
      </c>
      <c r="L97" s="108">
        <v>0</v>
      </c>
      <c r="M97" s="108">
        <v>0</v>
      </c>
      <c r="N97" s="108">
        <v>0</v>
      </c>
      <c r="O97" s="108">
        <f>G97</f>
        <v>684.32</v>
      </c>
      <c r="P97" s="108">
        <v>0</v>
      </c>
      <c r="Q97" s="108">
        <v>0</v>
      </c>
      <c r="R97" s="108">
        <v>0</v>
      </c>
      <c r="S97" s="108">
        <v>0</v>
      </c>
      <c r="T97" s="108">
        <v>0</v>
      </c>
      <c r="U97" s="108">
        <f t="shared" si="16"/>
        <v>684.32</v>
      </c>
    </row>
    <row r="98" spans="1:21" ht="25.5">
      <c r="A98" s="27" t="s">
        <v>225</v>
      </c>
      <c r="B98" s="26" t="s">
        <v>223</v>
      </c>
      <c r="C98" s="27" t="s">
        <v>224</v>
      </c>
      <c r="D98" s="8"/>
      <c r="E98" s="44"/>
      <c r="F98" s="60">
        <v>0.5</v>
      </c>
      <c r="G98" s="60">
        <v>235.74</v>
      </c>
      <c r="H98" s="141">
        <f t="shared" si="15"/>
        <v>0.11787</v>
      </c>
      <c r="I98" s="108">
        <v>0</v>
      </c>
      <c r="J98" s="108">
        <v>0</v>
      </c>
      <c r="K98" s="108">
        <v>0</v>
      </c>
      <c r="L98" s="108">
        <v>0</v>
      </c>
      <c r="M98" s="108">
        <v>0</v>
      </c>
      <c r="N98" s="108">
        <v>0</v>
      </c>
      <c r="O98" s="108">
        <f>G98*0.5</f>
        <v>117.87</v>
      </c>
      <c r="P98" s="108">
        <v>0</v>
      </c>
      <c r="Q98" s="108">
        <v>0</v>
      </c>
      <c r="R98" s="108">
        <v>0</v>
      </c>
      <c r="S98" s="108">
        <v>0</v>
      </c>
      <c r="T98" s="108">
        <v>0</v>
      </c>
      <c r="U98" s="108">
        <f>SUM(I98:T98)</f>
        <v>117.87</v>
      </c>
    </row>
    <row r="99" spans="1:21">
      <c r="A99" s="138"/>
      <c r="B99" s="150"/>
      <c r="C99" s="25"/>
      <c r="D99" s="8"/>
      <c r="E99" s="44"/>
      <c r="F99" s="60"/>
      <c r="G99" s="60"/>
      <c r="H99" s="141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</row>
    <row r="100" spans="1:21" s="18" customFormat="1">
      <c r="A100" s="109"/>
      <c r="B100" s="110" t="s">
        <v>140</v>
      </c>
      <c r="C100" s="109"/>
      <c r="D100" s="109"/>
      <c r="E100" s="99"/>
      <c r="F100" s="99"/>
      <c r="G100" s="99"/>
      <c r="H100" s="52">
        <f>SUM(H86:H99)</f>
        <v>13.474298000000003</v>
      </c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51">
        <f>SUM(U86:U99)</f>
        <v>13474.298000000001</v>
      </c>
    </row>
    <row r="101" spans="1:21">
      <c r="A101" s="102"/>
      <c r="B101" s="111"/>
      <c r="C101" s="112"/>
      <c r="D101" s="112"/>
      <c r="E101" s="60"/>
      <c r="F101" s="60"/>
      <c r="G101" s="60"/>
      <c r="H101" s="113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136"/>
    </row>
    <row r="102" spans="1:21" ht="12" customHeight="1">
      <c r="A102" s="159"/>
      <c r="B102" s="17" t="s">
        <v>141</v>
      </c>
      <c r="C102" s="71"/>
      <c r="D102" s="94"/>
      <c r="E102" s="60"/>
      <c r="F102" s="60"/>
      <c r="G102" s="60"/>
      <c r="H102" s="114">
        <f>H100/E103/12*1000</f>
        <v>0.35298904956512633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136"/>
    </row>
    <row r="103" spans="1:21" s="18" customFormat="1">
      <c r="A103" s="89"/>
      <c r="B103" s="115" t="s">
        <v>142</v>
      </c>
      <c r="C103" s="116"/>
      <c r="D103" s="115"/>
      <c r="E103" s="164">
        <v>3181</v>
      </c>
      <c r="F103" s="117">
        <f>SUM(E103*12)</f>
        <v>38172</v>
      </c>
      <c r="G103" s="118">
        <f>H83+H102</f>
        <v>18.201273564021623</v>
      </c>
      <c r="H103" s="119">
        <f>SUM(F103*G103/1000)</f>
        <v>694.77901448583339</v>
      </c>
      <c r="I103" s="99">
        <f t="shared" ref="I103:R103" si="17">SUM(I11:I102)</f>
        <v>48634.163593550002</v>
      </c>
      <c r="J103" s="99">
        <f t="shared" si="17"/>
        <v>69609.554893550012</v>
      </c>
      <c r="K103" s="99">
        <f t="shared" si="17"/>
        <v>53450.54959355</v>
      </c>
      <c r="L103" s="99">
        <f t="shared" si="17"/>
        <v>52991.660616049994</v>
      </c>
      <c r="M103" s="99">
        <f t="shared" si="17"/>
        <v>135802.19409225558</v>
      </c>
      <c r="N103" s="99">
        <f t="shared" si="17"/>
        <v>40042.909286255555</v>
      </c>
      <c r="O103" s="99">
        <f t="shared" si="17"/>
        <v>38907.340490255556</v>
      </c>
      <c r="P103" s="99">
        <f t="shared" si="17"/>
        <v>38637.070490255552</v>
      </c>
      <c r="Q103" s="99">
        <f t="shared" si="17"/>
        <v>63860.892222755559</v>
      </c>
      <c r="R103" s="99">
        <f t="shared" si="17"/>
        <v>39791.130490255549</v>
      </c>
      <c r="S103" s="99">
        <f>SUM(S11:S102)</f>
        <v>49239.315123549997</v>
      </c>
      <c r="T103" s="99">
        <f>SUM(T11:T102)</f>
        <v>49091.693593550001</v>
      </c>
      <c r="U103" s="51">
        <f>U80+U100</f>
        <v>722719.8617809267</v>
      </c>
    </row>
    <row r="104" spans="1:21">
      <c r="A104" s="73"/>
      <c r="B104" s="73"/>
      <c r="C104" s="73"/>
      <c r="D104" s="73"/>
      <c r="E104" s="120"/>
      <c r="F104" s="120"/>
      <c r="G104" s="120"/>
      <c r="H104" s="120"/>
      <c r="I104" s="120"/>
      <c r="J104" s="120"/>
      <c r="K104" s="120"/>
      <c r="L104" s="120"/>
      <c r="M104" s="73"/>
      <c r="N104" s="120"/>
      <c r="O104" s="73"/>
      <c r="P104" s="73"/>
      <c r="Q104" s="73"/>
      <c r="R104" s="73"/>
      <c r="S104" s="73"/>
      <c r="T104" s="73"/>
      <c r="U104" s="73"/>
    </row>
    <row r="105" spans="1:21">
      <c r="A105" s="73"/>
      <c r="B105" s="73"/>
      <c r="C105" s="73"/>
      <c r="D105" s="73"/>
      <c r="E105" s="120"/>
      <c r="F105" s="120"/>
      <c r="G105" s="120"/>
      <c r="H105" s="120"/>
      <c r="I105" s="120"/>
      <c r="J105" s="121"/>
      <c r="K105" s="122"/>
      <c r="L105" s="121"/>
      <c r="M105" s="120"/>
      <c r="N105" s="73"/>
      <c r="O105" s="73"/>
      <c r="P105" s="73"/>
      <c r="Q105" s="73"/>
      <c r="R105" s="73"/>
      <c r="S105" s="73"/>
      <c r="T105" s="73"/>
      <c r="U105" s="73"/>
    </row>
    <row r="106" spans="1:21" ht="45">
      <c r="A106" s="73"/>
      <c r="B106" s="123" t="s">
        <v>178</v>
      </c>
      <c r="C106" s="165">
        <v>243431.54</v>
      </c>
      <c r="D106" s="166"/>
      <c r="E106" s="166"/>
      <c r="F106" s="167"/>
      <c r="G106" s="120"/>
      <c r="H106" s="120"/>
      <c r="I106" s="120"/>
      <c r="J106" s="121"/>
      <c r="K106" s="122"/>
      <c r="L106" s="121"/>
      <c r="M106" s="120"/>
      <c r="N106" s="73"/>
      <c r="O106" s="73"/>
      <c r="P106" s="73"/>
      <c r="Q106" s="73"/>
      <c r="R106" s="73"/>
      <c r="S106" s="73"/>
      <c r="T106" s="73"/>
      <c r="U106" s="73"/>
    </row>
    <row r="107" spans="1:21" ht="30">
      <c r="A107" s="73"/>
      <c r="B107" s="21" t="s">
        <v>204</v>
      </c>
      <c r="C107" s="169">
        <v>880324.32</v>
      </c>
      <c r="D107" s="170"/>
      <c r="E107" s="170"/>
      <c r="F107" s="171"/>
      <c r="G107" s="120"/>
      <c r="H107" s="120"/>
      <c r="I107" s="120"/>
      <c r="J107" s="121"/>
      <c r="K107" s="122"/>
      <c r="L107" s="121"/>
      <c r="M107" s="120"/>
      <c r="N107" s="73"/>
      <c r="O107" s="73"/>
      <c r="P107" s="73"/>
      <c r="Q107" s="73"/>
      <c r="R107" s="73"/>
      <c r="S107" s="73"/>
      <c r="T107" s="73"/>
      <c r="U107" s="73"/>
    </row>
    <row r="108" spans="1:21" ht="38.25" customHeight="1">
      <c r="A108" s="73"/>
      <c r="B108" s="21" t="s">
        <v>205</v>
      </c>
      <c r="C108" s="169">
        <f>SUM(U103-U100)</f>
        <v>709245.56378092675</v>
      </c>
      <c r="D108" s="170"/>
      <c r="E108" s="170"/>
      <c r="F108" s="171"/>
      <c r="G108" s="120"/>
      <c r="H108" s="120"/>
      <c r="I108" s="120"/>
      <c r="J108" s="121"/>
      <c r="K108" s="122"/>
      <c r="L108" s="121"/>
      <c r="M108" s="120"/>
      <c r="N108" s="73"/>
      <c r="O108" s="73"/>
      <c r="P108" s="73"/>
      <c r="Q108" s="73"/>
      <c r="R108" s="73"/>
      <c r="S108" s="73"/>
      <c r="T108" s="73"/>
      <c r="U108" s="73"/>
    </row>
    <row r="109" spans="1:21" ht="35.25" customHeight="1">
      <c r="A109" s="73"/>
      <c r="B109" s="21" t="s">
        <v>206</v>
      </c>
      <c r="C109" s="169">
        <f>SUM(U100)</f>
        <v>13474.298000000001</v>
      </c>
      <c r="D109" s="170"/>
      <c r="E109" s="170"/>
      <c r="F109" s="171"/>
      <c r="G109" s="120"/>
      <c r="H109" s="120"/>
      <c r="I109" s="120"/>
      <c r="J109" s="121"/>
      <c r="K109" s="122"/>
      <c r="L109" s="121"/>
      <c r="M109" s="120"/>
      <c r="N109" s="73"/>
      <c r="O109" s="73"/>
      <c r="P109" s="73"/>
      <c r="Q109" s="73"/>
      <c r="R109" s="73"/>
      <c r="S109" s="73"/>
      <c r="T109" s="73"/>
      <c r="U109" s="73"/>
    </row>
    <row r="110" spans="1:21" ht="18">
      <c r="A110" s="73"/>
      <c r="B110" s="131" t="s">
        <v>207</v>
      </c>
      <c r="C110" s="165">
        <v>872416.52</v>
      </c>
      <c r="D110" s="166"/>
      <c r="E110" s="166"/>
      <c r="F110" s="167"/>
      <c r="G110" s="73"/>
      <c r="H110" s="124" t="s">
        <v>150</v>
      </c>
      <c r="I110" s="125"/>
      <c r="J110" s="125"/>
      <c r="K110" s="126"/>
      <c r="L110" s="127"/>
      <c r="M110" s="124"/>
      <c r="N110" s="124"/>
      <c r="O110" s="73"/>
      <c r="P110" s="73"/>
      <c r="Q110" s="73"/>
      <c r="R110" s="73"/>
      <c r="S110" s="73"/>
      <c r="T110" s="73"/>
      <c r="U110" s="73"/>
    </row>
    <row r="111" spans="1:21" ht="78.75">
      <c r="A111" s="73"/>
      <c r="B111" s="22" t="s">
        <v>208</v>
      </c>
      <c r="C111" s="172">
        <v>185555.99</v>
      </c>
      <c r="D111" s="173"/>
      <c r="E111" s="173"/>
      <c r="F111" s="174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</row>
    <row r="112" spans="1:21" ht="45">
      <c r="A112" s="73"/>
      <c r="B112" s="128" t="s">
        <v>209</v>
      </c>
      <c r="C112" s="168">
        <f>SUM(U103-C107)+C106</f>
        <v>85827.081780926761</v>
      </c>
      <c r="D112" s="166"/>
      <c r="E112" s="166"/>
      <c r="F112" s="167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</row>
    <row r="114" spans="7:13">
      <c r="J114" s="3"/>
      <c r="K114" s="4"/>
      <c r="L114" s="4"/>
      <c r="M114" s="2"/>
    </row>
    <row r="115" spans="7:13">
      <c r="G115" s="5"/>
      <c r="H115" s="5"/>
    </row>
    <row r="116" spans="7:13">
      <c r="G116" s="6"/>
    </row>
  </sheetData>
  <mergeCells count="12">
    <mergeCell ref="B3:L3"/>
    <mergeCell ref="B4:L4"/>
    <mergeCell ref="B5:L5"/>
    <mergeCell ref="B6:L6"/>
    <mergeCell ref="X76:AA76"/>
    <mergeCell ref="C106:F106"/>
    <mergeCell ref="C112:F112"/>
    <mergeCell ref="C107:F107"/>
    <mergeCell ref="C108:F108"/>
    <mergeCell ref="C109:F109"/>
    <mergeCell ref="C110:F110"/>
    <mergeCell ref="C111:F111"/>
  </mergeCells>
  <pageMargins left="0.70866141732283472" right="0.31496062992125984" top="0.15748031496062992" bottom="0.19685039370078741" header="0.15748031496062992" footer="0.15748031496062992"/>
  <pageSetup paperSize="9" scale="5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2016-06-28T05:22:32Z</cp:lastPrinted>
  <dcterms:created xsi:type="dcterms:W3CDTF">2014-02-05T12:20:20Z</dcterms:created>
  <dcterms:modified xsi:type="dcterms:W3CDTF">2016-08-09T10:29:05Z</dcterms:modified>
</cp:coreProperties>
</file>