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18" r:id="rId1"/>
    <sheet name="02.20" sheetId="19" r:id="rId2"/>
    <sheet name="03.20" sheetId="20" r:id="rId3"/>
    <sheet name="04.20" sheetId="21" r:id="rId4"/>
    <sheet name="05.20" sheetId="22" r:id="rId5"/>
    <sheet name="06.20" sheetId="23" r:id="rId6"/>
    <sheet name="07.20" sheetId="24" r:id="rId7"/>
    <sheet name="08.20" sheetId="25" r:id="rId8"/>
    <sheet name="09.20" sheetId="26" r:id="rId9"/>
    <sheet name="10.20" sheetId="27" r:id="rId10"/>
    <sheet name="11.20" sheetId="28" r:id="rId11"/>
    <sheet name="12.20" sheetId="29" r:id="rId12"/>
  </sheets>
  <definedNames>
    <definedName name="_xlnm._FilterDatabase" localSheetId="0" hidden="1">'01.20'!$I$12:$I$72</definedName>
    <definedName name="_xlnm._FilterDatabase" localSheetId="1" hidden="1">'02.20'!$I$12:$I$72</definedName>
    <definedName name="_xlnm._FilterDatabase" localSheetId="2" hidden="1">'03.20'!$I$12:$I$70</definedName>
    <definedName name="_xlnm._FilterDatabase" localSheetId="3" hidden="1">'04.20'!$I$12:$I$66</definedName>
    <definedName name="_xlnm._FilterDatabase" localSheetId="4" hidden="1">'05.20'!$I$12:$I$69</definedName>
    <definedName name="_xlnm._FilterDatabase" localSheetId="5" hidden="1">'06.20'!$I$12:$I$68</definedName>
    <definedName name="_xlnm._FilterDatabase" localSheetId="6" hidden="1">'07.20'!$I$12:$I$68</definedName>
    <definedName name="_xlnm._FilterDatabase" localSheetId="7" hidden="1">'08.20'!$I$12:$I$68</definedName>
    <definedName name="_xlnm._FilterDatabase" localSheetId="8" hidden="1">'09.20'!$I$12:$I$69</definedName>
    <definedName name="_xlnm._FilterDatabase" localSheetId="9" hidden="1">'10.20'!$I$12:$I$71</definedName>
    <definedName name="_xlnm._FilterDatabase" localSheetId="10" hidden="1">'11.20'!$I$12:$I$73</definedName>
    <definedName name="_xlnm._FilterDatabase" localSheetId="11" hidden="1">'12.20'!$I$12:$I$73</definedName>
    <definedName name="_xlnm.Print_Area" localSheetId="0">'01.20'!$A$1:$I$127</definedName>
    <definedName name="_xlnm.Print_Area" localSheetId="1">'02.20'!$A$1:$I$131</definedName>
    <definedName name="_xlnm.Print_Area" localSheetId="2">'03.20'!$A$1:$I$117</definedName>
    <definedName name="_xlnm.Print_Area" localSheetId="3">'04.20'!$A$1:$I$117</definedName>
    <definedName name="_xlnm.Print_Area" localSheetId="5">'06.20'!$A$1:$I$118</definedName>
    <definedName name="_xlnm.Print_Area" localSheetId="6">'07.20'!$A$1:$I$120</definedName>
    <definedName name="_xlnm.Print_Area" localSheetId="7">'08.20'!$A$1:$I$123</definedName>
    <definedName name="_xlnm.Print_Area" localSheetId="8">'09.20'!$A$1:$I$120</definedName>
    <definedName name="_xlnm.Print_Area" localSheetId="9">'10.20'!$A$1:$I$122</definedName>
    <definedName name="_xlnm.Print_Area" localSheetId="10">'11.20'!$A$1:$I$117</definedName>
    <definedName name="_xlnm.Print_Area" localSheetId="11">'12.20'!$A$1:$I$119</definedName>
  </definedNames>
  <calcPr calcId="124519"/>
</workbook>
</file>

<file path=xl/calcChain.xml><?xml version="1.0" encoding="utf-8"?>
<calcChain xmlns="http://schemas.openxmlformats.org/spreadsheetml/2006/main">
  <c r="I89" i="29"/>
  <c r="I96"/>
  <c r="I94"/>
  <c r="I92"/>
  <c r="I91"/>
  <c r="I67"/>
  <c r="I45"/>
  <c r="I39"/>
  <c r="I87" i="28"/>
  <c r="I94"/>
  <c r="I92"/>
  <c r="I91"/>
  <c r="I89"/>
  <c r="I45"/>
  <c r="I99" i="27"/>
  <c r="I98"/>
  <c r="I88" l="1"/>
  <c r="I96"/>
  <c r="I95"/>
  <c r="I94"/>
  <c r="I91"/>
  <c r="I90"/>
  <c r="I65"/>
  <c r="I84" i="24"/>
  <c r="I62"/>
  <c r="I85" i="26"/>
  <c r="I97"/>
  <c r="I95"/>
  <c r="I94"/>
  <c r="I93"/>
  <c r="I92"/>
  <c r="I90"/>
  <c r="I89"/>
  <c r="I87"/>
  <c r="I63"/>
  <c r="I100" i="25"/>
  <c r="I99"/>
  <c r="I84"/>
  <c r="I97"/>
  <c r="I96"/>
  <c r="I95"/>
  <c r="I94"/>
  <c r="F94"/>
  <c r="I91"/>
  <c r="I90"/>
  <c r="I89"/>
  <c r="I88"/>
  <c r="I87"/>
  <c r="I86"/>
  <c r="E83"/>
  <c r="F83" s="1"/>
  <c r="F82"/>
  <c r="H82" s="1"/>
  <c r="F78"/>
  <c r="I78" s="1"/>
  <c r="F77"/>
  <c r="I77" s="1"/>
  <c r="F71"/>
  <c r="I71" s="1"/>
  <c r="I62"/>
  <c r="I32"/>
  <c r="F31"/>
  <c r="I31" s="1"/>
  <c r="F30"/>
  <c r="H30" s="1"/>
  <c r="F29"/>
  <c r="I29" s="1"/>
  <c r="F26"/>
  <c r="H26" s="1"/>
  <c r="F25"/>
  <c r="I25" s="1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7" i="24"/>
  <c r="I95"/>
  <c r="I94"/>
  <c r="I88"/>
  <c r="I85" i="22"/>
  <c r="I74"/>
  <c r="H22" i="25" l="1"/>
  <c r="H83"/>
  <c r="I83"/>
  <c r="I82"/>
  <c r="H29"/>
  <c r="I30"/>
  <c r="H31"/>
  <c r="H17"/>
  <c r="H20"/>
  <c r="H25"/>
  <c r="I18"/>
  <c r="H18"/>
  <c r="I16"/>
  <c r="I19"/>
  <c r="I21"/>
  <c r="I23"/>
  <c r="I26"/>
  <c r="I95" i="23"/>
  <c r="I94"/>
  <c r="I93" i="24" l="1"/>
  <c r="I90"/>
  <c r="I89"/>
  <c r="I87"/>
  <c r="I86"/>
  <c r="E83"/>
  <c r="F83" s="1"/>
  <c r="F82"/>
  <c r="H82" s="1"/>
  <c r="F78"/>
  <c r="I78" s="1"/>
  <c r="F77"/>
  <c r="I77" s="1"/>
  <c r="F71"/>
  <c r="I71" s="1"/>
  <c r="F68"/>
  <c r="F67"/>
  <c r="F66"/>
  <c r="F65"/>
  <c r="F64"/>
  <c r="I32"/>
  <c r="F31"/>
  <c r="I31" s="1"/>
  <c r="F30"/>
  <c r="H30" s="1"/>
  <c r="F29"/>
  <c r="I29" s="1"/>
  <c r="F26"/>
  <c r="H26" s="1"/>
  <c r="F25"/>
  <c r="I25" s="1"/>
  <c r="I24"/>
  <c r="H24"/>
  <c r="F23"/>
  <c r="I23" s="1"/>
  <c r="F22"/>
  <c r="I22" s="1"/>
  <c r="F21"/>
  <c r="I21" s="1"/>
  <c r="F20"/>
  <c r="I20" s="1"/>
  <c r="F19"/>
  <c r="I19" s="1"/>
  <c r="E18"/>
  <c r="F18" s="1"/>
  <c r="I18" s="1"/>
  <c r="F17"/>
  <c r="H17" s="1"/>
  <c r="F16"/>
  <c r="I16" s="1"/>
  <c r="F22" i="23"/>
  <c r="I19"/>
  <c r="F19"/>
  <c r="I92"/>
  <c r="I91"/>
  <c r="I90"/>
  <c r="I88"/>
  <c r="I87"/>
  <c r="I86"/>
  <c r="E83"/>
  <c r="F83" s="1"/>
  <c r="F82"/>
  <c r="H82" s="1"/>
  <c r="F78"/>
  <c r="I78" s="1"/>
  <c r="F77"/>
  <c r="I77" s="1"/>
  <c r="F71"/>
  <c r="I71" s="1"/>
  <c r="I32"/>
  <c r="F31"/>
  <c r="I31" s="1"/>
  <c r="F30"/>
  <c r="H30" s="1"/>
  <c r="F29"/>
  <c r="I29" s="1"/>
  <c r="F25"/>
  <c r="I25" s="1"/>
  <c r="F26"/>
  <c r="H26" s="1"/>
  <c r="I24"/>
  <c r="H24"/>
  <c r="F23"/>
  <c r="I23" s="1"/>
  <c r="H22"/>
  <c r="F21"/>
  <c r="I21" s="1"/>
  <c r="F20"/>
  <c r="H20" s="1"/>
  <c r="E18"/>
  <c r="F18" s="1"/>
  <c r="H18" s="1"/>
  <c r="F17"/>
  <c r="H17" s="1"/>
  <c r="F16"/>
  <c r="I16" s="1"/>
  <c r="H29" i="24" l="1"/>
  <c r="H83"/>
  <c r="I83"/>
  <c r="I82"/>
  <c r="I30"/>
  <c r="H31"/>
  <c r="H19"/>
  <c r="H23"/>
  <c r="H16"/>
  <c r="H21"/>
  <c r="I17"/>
  <c r="H18"/>
  <c r="H20"/>
  <c r="H22"/>
  <c r="H25"/>
  <c r="I26"/>
  <c r="H29" i="23"/>
  <c r="H31"/>
  <c r="H83"/>
  <c r="I83"/>
  <c r="I82"/>
  <c r="I30"/>
  <c r="H19"/>
  <c r="H16"/>
  <c r="H21"/>
  <c r="H23"/>
  <c r="H25"/>
  <c r="I17"/>
  <c r="I18"/>
  <c r="I20"/>
  <c r="I22"/>
  <c r="I84" s="1"/>
  <c r="I26"/>
  <c r="I89" i="22" l="1"/>
  <c r="I91" i="21" l="1"/>
  <c r="F45" i="22" l="1"/>
  <c r="F32"/>
  <c r="F31"/>
  <c r="F30"/>
  <c r="I18"/>
  <c r="I87"/>
  <c r="E84"/>
  <c r="F84" s="1"/>
  <c r="F83"/>
  <c r="H83" s="1"/>
  <c r="F79"/>
  <c r="I79" s="1"/>
  <c r="F78"/>
  <c r="I78" s="1"/>
  <c r="F72"/>
  <c r="I72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87" i="20"/>
  <c r="H21" i="22" l="1"/>
  <c r="H16"/>
  <c r="H84"/>
  <c r="I84"/>
  <c r="I83"/>
  <c r="H26"/>
  <c r="H23"/>
  <c r="H19"/>
  <c r="I17"/>
  <c r="I20"/>
  <c r="I22"/>
  <c r="I24"/>
  <c r="I27"/>
  <c r="I88" i="21"/>
  <c r="I87"/>
  <c r="I86"/>
  <c r="E83"/>
  <c r="F83" s="1"/>
  <c r="F82"/>
  <c r="H82" s="1"/>
  <c r="F76"/>
  <c r="I76" s="1"/>
  <c r="F75"/>
  <c r="I75" s="1"/>
  <c r="F69"/>
  <c r="I69" s="1"/>
  <c r="F44"/>
  <c r="I44" s="1"/>
  <c r="I43"/>
  <c r="H43"/>
  <c r="F42"/>
  <c r="H42" s="1"/>
  <c r="F41"/>
  <c r="H41" s="1"/>
  <c r="F40"/>
  <c r="I40" s="1"/>
  <c r="F39"/>
  <c r="H39" s="1"/>
  <c r="I38"/>
  <c r="F27"/>
  <c r="H27" s="1"/>
  <c r="F26"/>
  <c r="I26" s="1"/>
  <c r="I25"/>
  <c r="H25"/>
  <c r="F24"/>
  <c r="I24" s="1"/>
  <c r="F23"/>
  <c r="I23" s="1"/>
  <c r="F22"/>
  <c r="I22" s="1"/>
  <c r="F21"/>
  <c r="I21" s="1"/>
  <c r="F20"/>
  <c r="I20" s="1"/>
  <c r="F19"/>
  <c r="I19" s="1"/>
  <c r="E18"/>
  <c r="F18" s="1"/>
  <c r="F17"/>
  <c r="I17" s="1"/>
  <c r="F16"/>
  <c r="I16" s="1"/>
  <c r="I94" i="20"/>
  <c r="I86"/>
  <c r="I84"/>
  <c r="I92"/>
  <c r="I91"/>
  <c r="I88"/>
  <c r="E83"/>
  <c r="F83" s="1"/>
  <c r="F82"/>
  <c r="H82" s="1"/>
  <c r="F78"/>
  <c r="I78" s="1"/>
  <c r="F77"/>
  <c r="I77" s="1"/>
  <c r="F73"/>
  <c r="I73" s="1"/>
  <c r="F54"/>
  <c r="I54" s="1"/>
  <c r="I43"/>
  <c r="H43"/>
  <c r="F42"/>
  <c r="H42" s="1"/>
  <c r="F41"/>
  <c r="I41" s="1"/>
  <c r="F40"/>
  <c r="H40" s="1"/>
  <c r="F39"/>
  <c r="I39" s="1"/>
  <c r="I38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92" i="18"/>
  <c r="I90" i="19"/>
  <c r="I92" i="21" l="1"/>
  <c r="H22"/>
  <c r="H17"/>
  <c r="H20"/>
  <c r="H24"/>
  <c r="H40"/>
  <c r="H83"/>
  <c r="I83"/>
  <c r="I82"/>
  <c r="I42"/>
  <c r="I39"/>
  <c r="I41"/>
  <c r="H18"/>
  <c r="I18"/>
  <c r="H16"/>
  <c r="H19"/>
  <c r="H21"/>
  <c r="H23"/>
  <c r="H26"/>
  <c r="I27"/>
  <c r="H83" i="20"/>
  <c r="I83"/>
  <c r="I82"/>
  <c r="H19"/>
  <c r="H23"/>
  <c r="H16"/>
  <c r="H21"/>
  <c r="H26"/>
  <c r="H39"/>
  <c r="I40"/>
  <c r="H41"/>
  <c r="I42"/>
  <c r="I17"/>
  <c r="I24"/>
  <c r="I27"/>
  <c r="I18"/>
  <c r="I20"/>
  <c r="I22"/>
  <c r="I88" i="19"/>
  <c r="I66"/>
  <c r="I108"/>
  <c r="I105"/>
  <c r="I104"/>
  <c r="I103"/>
  <c r="I102"/>
  <c r="I101"/>
  <c r="I100"/>
  <c r="I99"/>
  <c r="I98"/>
  <c r="I97"/>
  <c r="I96"/>
  <c r="I95"/>
  <c r="I94"/>
  <c r="I93"/>
  <c r="I92"/>
  <c r="I91"/>
  <c r="E87"/>
  <c r="F87" s="1"/>
  <c r="F86"/>
  <c r="H86" s="1"/>
  <c r="F82"/>
  <c r="I82" s="1"/>
  <c r="F81"/>
  <c r="I81" s="1"/>
  <c r="F75"/>
  <c r="I75" s="1"/>
  <c r="I60"/>
  <c r="F60"/>
  <c r="I59"/>
  <c r="F59"/>
  <c r="F51"/>
  <c r="H51" s="1"/>
  <c r="F44"/>
  <c r="I44" s="1"/>
  <c r="I43"/>
  <c r="F42"/>
  <c r="I42" s="1"/>
  <c r="I38"/>
  <c r="F41"/>
  <c r="H41" s="1"/>
  <c r="H40"/>
  <c r="F40"/>
  <c r="I40" s="1"/>
  <c r="F39"/>
  <c r="H39" s="1"/>
  <c r="H38"/>
  <c r="F27"/>
  <c r="H27" s="1"/>
  <c r="F26"/>
  <c r="I26" s="1"/>
  <c r="I25"/>
  <c r="H25"/>
  <c r="F24"/>
  <c r="H24" s="1"/>
  <c r="F23"/>
  <c r="I23" s="1"/>
  <c r="F22"/>
  <c r="H22" s="1"/>
  <c r="H21"/>
  <c r="F21"/>
  <c r="I21" s="1"/>
  <c r="F20"/>
  <c r="H20" s="1"/>
  <c r="F19"/>
  <c r="I19" s="1"/>
  <c r="E18"/>
  <c r="F18" s="1"/>
  <c r="H18" s="1"/>
  <c r="F17"/>
  <c r="H17" s="1"/>
  <c r="H16"/>
  <c r="F16"/>
  <c r="I16" s="1"/>
  <c r="H19" l="1"/>
  <c r="H23"/>
  <c r="H87"/>
  <c r="I87"/>
  <c r="I86"/>
  <c r="I51"/>
  <c r="I39"/>
  <c r="I41"/>
  <c r="H26"/>
  <c r="I17"/>
  <c r="I18"/>
  <c r="I20"/>
  <c r="I22"/>
  <c r="I24"/>
  <c r="I27"/>
  <c r="I93" i="18" l="1"/>
  <c r="I88"/>
  <c r="I66" l="1"/>
  <c r="I104"/>
  <c r="I102"/>
  <c r="I101"/>
  <c r="I100"/>
  <c r="I99"/>
  <c r="I98"/>
  <c r="I97"/>
  <c r="I96"/>
  <c r="I95"/>
  <c r="I94"/>
  <c r="I91"/>
  <c r="I90"/>
  <c r="E87"/>
  <c r="F87" s="1"/>
  <c r="F86"/>
  <c r="H86" s="1"/>
  <c r="F82"/>
  <c r="I82" s="1"/>
  <c r="F81"/>
  <c r="I81" s="1"/>
  <c r="F75"/>
  <c r="I75" s="1"/>
  <c r="F51"/>
  <c r="H51" s="1"/>
  <c r="F45"/>
  <c r="I45" s="1"/>
  <c r="I44"/>
  <c r="F43"/>
  <c r="I43" s="1"/>
  <c r="F42"/>
  <c r="H42" s="1"/>
  <c r="I39"/>
  <c r="F41"/>
  <c r="H41" s="1"/>
  <c r="F40"/>
  <c r="I40" s="1"/>
  <c r="H39"/>
  <c r="F27"/>
  <c r="H27" s="1"/>
  <c r="F26"/>
  <c r="I26" s="1"/>
  <c r="I25"/>
  <c r="H25"/>
  <c r="H24"/>
  <c r="F24"/>
  <c r="I24" s="1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E88" i="29"/>
  <c r="F88" s="1"/>
  <c r="F87"/>
  <c r="H87" s="1"/>
  <c r="F83"/>
  <c r="I83" s="1"/>
  <c r="F82"/>
  <c r="I82" s="1"/>
  <c r="F76"/>
  <c r="I76" s="1"/>
  <c r="F61"/>
  <c r="H61" s="1"/>
  <c r="F46"/>
  <c r="I46" s="1"/>
  <c r="F44"/>
  <c r="I44" s="1"/>
  <c r="F43"/>
  <c r="H43" s="1"/>
  <c r="I42"/>
  <c r="H42"/>
  <c r="F41"/>
  <c r="I41" s="1"/>
  <c r="F40"/>
  <c r="H40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67" i="28"/>
  <c r="E86"/>
  <c r="F86" s="1"/>
  <c r="F85"/>
  <c r="H85" s="1"/>
  <c r="F81"/>
  <c r="I81" s="1"/>
  <c r="F80"/>
  <c r="I80" s="1"/>
  <c r="F76"/>
  <c r="I76" s="1"/>
  <c r="F60"/>
  <c r="F59"/>
  <c r="F46"/>
  <c r="I46" s="1"/>
  <c r="F44"/>
  <c r="I44" s="1"/>
  <c r="F43"/>
  <c r="I43" s="1"/>
  <c r="F41"/>
  <c r="F40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44" i="27"/>
  <c r="F44"/>
  <c r="H40" i="18" l="1"/>
  <c r="H17"/>
  <c r="H87"/>
  <c r="I87"/>
  <c r="I86"/>
  <c r="I51"/>
  <c r="I42"/>
  <c r="H43"/>
  <c r="I41"/>
  <c r="H18"/>
  <c r="I18"/>
  <c r="H16"/>
  <c r="H19"/>
  <c r="I20"/>
  <c r="H21"/>
  <c r="I22"/>
  <c r="H23"/>
  <c r="H26"/>
  <c r="I27"/>
  <c r="H88" i="29"/>
  <c r="I88"/>
  <c r="I87"/>
  <c r="I61"/>
  <c r="H44"/>
  <c r="I40"/>
  <c r="H41"/>
  <c r="I43"/>
  <c r="H18"/>
  <c r="I18"/>
  <c r="H16"/>
  <c r="I17"/>
  <c r="H19"/>
  <c r="I20"/>
  <c r="H21"/>
  <c r="I22"/>
  <c r="H23"/>
  <c r="I24"/>
  <c r="H26"/>
  <c r="I27"/>
  <c r="H16" i="28"/>
  <c r="H86"/>
  <c r="I86"/>
  <c r="I85"/>
  <c r="H18"/>
  <c r="I18"/>
  <c r="H21"/>
  <c r="H19"/>
  <c r="H23"/>
  <c r="H26"/>
  <c r="I17"/>
  <c r="I27"/>
  <c r="I20"/>
  <c r="I22"/>
  <c r="I24"/>
  <c r="E87" i="27" l="1"/>
  <c r="F87" s="1"/>
  <c r="F86"/>
  <c r="H86" s="1"/>
  <c r="F84"/>
  <c r="I84" s="1"/>
  <c r="F83"/>
  <c r="I83" s="1"/>
  <c r="F81"/>
  <c r="I81" s="1"/>
  <c r="F65"/>
  <c r="I33"/>
  <c r="F32"/>
  <c r="I32" s="1"/>
  <c r="F31"/>
  <c r="H31" s="1"/>
  <c r="F30"/>
  <c r="I30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F16"/>
  <c r="I16" s="1"/>
  <c r="H17" l="1"/>
  <c r="I17"/>
  <c r="H21"/>
  <c r="H30"/>
  <c r="H87"/>
  <c r="I87"/>
  <c r="I86"/>
  <c r="I31"/>
  <c r="H32"/>
  <c r="H18"/>
  <c r="I18"/>
  <c r="H16"/>
  <c r="H19"/>
  <c r="I20"/>
  <c r="I22"/>
  <c r="H23"/>
  <c r="I24"/>
  <c r="H26"/>
  <c r="I27"/>
  <c r="F17" i="26" l="1"/>
  <c r="F16"/>
  <c r="E18"/>
  <c r="F18" s="1"/>
  <c r="I18" s="1"/>
  <c r="E84"/>
  <c r="F84" s="1"/>
  <c r="F83"/>
  <c r="F77"/>
  <c r="I77" s="1"/>
  <c r="F76"/>
  <c r="I76" s="1"/>
  <c r="F81"/>
  <c r="I81" s="1"/>
  <c r="F70"/>
  <c r="F69"/>
  <c r="F68"/>
  <c r="F67"/>
  <c r="F66"/>
  <c r="F65"/>
  <c r="F64"/>
  <c r="F63"/>
  <c r="F52"/>
  <c r="F50"/>
  <c r="F49"/>
  <c r="F48"/>
  <c r="F47"/>
  <c r="F46"/>
  <c r="F45"/>
  <c r="F44"/>
  <c r="F32"/>
  <c r="F31"/>
  <c r="F30"/>
  <c r="F27"/>
  <c r="F21"/>
  <c r="F20"/>
  <c r="I34" i="23" l="1"/>
  <c r="I62"/>
  <c r="I63" i="22" l="1"/>
  <c r="I64" i="20"/>
  <c r="I59" i="18"/>
  <c r="I53" i="21" l="1"/>
  <c r="I57" i="20"/>
  <c r="I60" i="22" l="1"/>
  <c r="I47" i="21"/>
  <c r="I46"/>
  <c r="F47"/>
  <c r="F46"/>
  <c r="I57"/>
  <c r="I80"/>
  <c r="F61" i="20"/>
  <c r="I59"/>
  <c r="H94" i="18"/>
  <c r="H93"/>
  <c r="H106" i="19" l="1"/>
  <c r="H103"/>
  <c r="H105"/>
  <c r="H104"/>
  <c r="F63"/>
  <c r="H100" i="18"/>
  <c r="H99"/>
  <c r="H98"/>
  <c r="H97"/>
  <c r="H95"/>
  <c r="H92"/>
  <c r="H96"/>
  <c r="H91"/>
  <c r="H90"/>
  <c r="F63"/>
  <c r="H63" s="1"/>
  <c r="H85" i="29" l="1"/>
  <c r="H81"/>
  <c r="F80"/>
  <c r="H80" s="1"/>
  <c r="I78"/>
  <c r="H78"/>
  <c r="I74"/>
  <c r="F74"/>
  <c r="H74" s="1"/>
  <c r="F73"/>
  <c r="H73" s="1"/>
  <c r="F72"/>
  <c r="I72" s="1"/>
  <c r="F71"/>
  <c r="H71" s="1"/>
  <c r="F70"/>
  <c r="I70" s="1"/>
  <c r="F69"/>
  <c r="H69" s="1"/>
  <c r="H68"/>
  <c r="H67"/>
  <c r="H65"/>
  <c r="I64"/>
  <c r="H62"/>
  <c r="F60"/>
  <c r="H60" s="1"/>
  <c r="F59"/>
  <c r="H59" s="1"/>
  <c r="I56"/>
  <c r="F56"/>
  <c r="H56" s="1"/>
  <c r="I55"/>
  <c r="H55"/>
  <c r="F54"/>
  <c r="H54" s="1"/>
  <c r="F53"/>
  <c r="I53" s="1"/>
  <c r="F52"/>
  <c r="H52" s="1"/>
  <c r="F51"/>
  <c r="I51" s="1"/>
  <c r="F50"/>
  <c r="H50" s="1"/>
  <c r="F49"/>
  <c r="I49" s="1"/>
  <c r="F48"/>
  <c r="H48" s="1"/>
  <c r="H39"/>
  <c r="H37"/>
  <c r="H36"/>
  <c r="I35"/>
  <c r="H35"/>
  <c r="I34"/>
  <c r="F33"/>
  <c r="I33" s="1"/>
  <c r="F32"/>
  <c r="I32" s="1"/>
  <c r="F31"/>
  <c r="I31" s="1"/>
  <c r="F28"/>
  <c r="I28" s="1"/>
  <c r="I67" i="28"/>
  <c r="H83"/>
  <c r="I78"/>
  <c r="H78"/>
  <c r="I74"/>
  <c r="F74"/>
  <c r="H74" s="1"/>
  <c r="F73"/>
  <c r="I73" s="1"/>
  <c r="F72"/>
  <c r="H72" s="1"/>
  <c r="F71"/>
  <c r="I71" s="1"/>
  <c r="F70"/>
  <c r="H70" s="1"/>
  <c r="F69"/>
  <c r="I69" s="1"/>
  <c r="H68"/>
  <c r="H67"/>
  <c r="H65"/>
  <c r="H64"/>
  <c r="H61"/>
  <c r="H60"/>
  <c r="I59"/>
  <c r="I56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H44"/>
  <c r="H43"/>
  <c r="I42"/>
  <c r="H41"/>
  <c r="I40"/>
  <c r="I39"/>
  <c r="H39"/>
  <c r="H37"/>
  <c r="H36"/>
  <c r="I35"/>
  <c r="H35"/>
  <c r="I34"/>
  <c r="F33"/>
  <c r="I33" s="1"/>
  <c r="F32"/>
  <c r="H32" s="1"/>
  <c r="F31"/>
  <c r="I31" s="1"/>
  <c r="F28"/>
  <c r="H28" s="1"/>
  <c r="H69" l="1"/>
  <c r="H73"/>
  <c r="H52"/>
  <c r="H33" i="29"/>
  <c r="H31"/>
  <c r="H28"/>
  <c r="H32"/>
  <c r="I48"/>
  <c r="H49"/>
  <c r="I50"/>
  <c r="H51"/>
  <c r="I52"/>
  <c r="H53"/>
  <c r="I54"/>
  <c r="I60"/>
  <c r="H64"/>
  <c r="I69"/>
  <c r="H70"/>
  <c r="I71"/>
  <c r="H72"/>
  <c r="I73"/>
  <c r="H48" i="28"/>
  <c r="H71"/>
  <c r="H59"/>
  <c r="H50"/>
  <c r="H54"/>
  <c r="H33"/>
  <c r="H31"/>
  <c r="H42"/>
  <c r="H40"/>
  <c r="I32"/>
  <c r="I41"/>
  <c r="I60"/>
  <c r="I70"/>
  <c r="I72"/>
  <c r="I28"/>
  <c r="I49"/>
  <c r="I51"/>
  <c r="I53"/>
  <c r="I64"/>
  <c r="I96" l="1"/>
  <c r="I98" i="29"/>
  <c r="H90" i="27" l="1"/>
  <c r="H79"/>
  <c r="H77"/>
  <c r="F76"/>
  <c r="H76" s="1"/>
  <c r="I74"/>
  <c r="H74"/>
  <c r="I72"/>
  <c r="F72"/>
  <c r="H72" s="1"/>
  <c r="F71"/>
  <c r="I71" s="1"/>
  <c r="F70"/>
  <c r="H70" s="1"/>
  <c r="F69"/>
  <c r="I69" s="1"/>
  <c r="F68"/>
  <c r="H68" s="1"/>
  <c r="F67"/>
  <c r="I67" s="1"/>
  <c r="H66"/>
  <c r="H65"/>
  <c r="H63"/>
  <c r="H62"/>
  <c r="H60"/>
  <c r="F59"/>
  <c r="H59" s="1"/>
  <c r="F58"/>
  <c r="I58" s="1"/>
  <c r="F57"/>
  <c r="H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3"/>
  <c r="H43"/>
  <c r="F42"/>
  <c r="H42" s="1"/>
  <c r="F41"/>
  <c r="I41" s="1"/>
  <c r="F40"/>
  <c r="H40" s="1"/>
  <c r="F39"/>
  <c r="I39" s="1"/>
  <c r="I38"/>
  <c r="H38"/>
  <c r="H36"/>
  <c r="H35"/>
  <c r="I34"/>
  <c r="H34"/>
  <c r="H39" l="1"/>
  <c r="I40"/>
  <c r="H41"/>
  <c r="I42"/>
  <c r="H46"/>
  <c r="I47"/>
  <c r="H48"/>
  <c r="I49"/>
  <c r="H50"/>
  <c r="I51"/>
  <c r="H52"/>
  <c r="H58"/>
  <c r="I59"/>
  <c r="I62"/>
  <c r="H67"/>
  <c r="I68"/>
  <c r="H69"/>
  <c r="I70"/>
  <c r="H71"/>
  <c r="H87" i="26"/>
  <c r="I70"/>
  <c r="H84"/>
  <c r="I83"/>
  <c r="H79"/>
  <c r="H75"/>
  <c r="F74"/>
  <c r="H74" s="1"/>
  <c r="I72"/>
  <c r="H72"/>
  <c r="H70"/>
  <c r="H69"/>
  <c r="I68"/>
  <c r="H67"/>
  <c r="I66"/>
  <c r="H65"/>
  <c r="H64"/>
  <c r="H63"/>
  <c r="H61"/>
  <c r="I60"/>
  <c r="H58"/>
  <c r="F57"/>
  <c r="I57" s="1"/>
  <c r="F56"/>
  <c r="H56" s="1"/>
  <c r="F55"/>
  <c r="H55" s="1"/>
  <c r="I52"/>
  <c r="H52"/>
  <c r="I51"/>
  <c r="H51"/>
  <c r="H50"/>
  <c r="I49"/>
  <c r="H48"/>
  <c r="I47"/>
  <c r="H46"/>
  <c r="I45"/>
  <c r="H44"/>
  <c r="I42"/>
  <c r="H42"/>
  <c r="F41"/>
  <c r="I41" s="1"/>
  <c r="F40"/>
  <c r="H40" s="1"/>
  <c r="F39"/>
  <c r="I39" s="1"/>
  <c r="F38"/>
  <c r="H38" s="1"/>
  <c r="I37"/>
  <c r="H37"/>
  <c r="H35"/>
  <c r="H34"/>
  <c r="I33"/>
  <c r="H32"/>
  <c r="I31"/>
  <c r="H30"/>
  <c r="H27"/>
  <c r="F26"/>
  <c r="I26" s="1"/>
  <c r="I25"/>
  <c r="H25"/>
  <c r="F24"/>
  <c r="H24" s="1"/>
  <c r="F23"/>
  <c r="I23" s="1"/>
  <c r="F22"/>
  <c r="H22" s="1"/>
  <c r="I21"/>
  <c r="H20"/>
  <c r="F19"/>
  <c r="I19" s="1"/>
  <c r="H17"/>
  <c r="I16"/>
  <c r="H86" i="25"/>
  <c r="H80"/>
  <c r="H76"/>
  <c r="F75"/>
  <c r="H75" s="1"/>
  <c r="I73"/>
  <c r="H73"/>
  <c r="F69"/>
  <c r="H69" s="1"/>
  <c r="F68"/>
  <c r="H68" s="1"/>
  <c r="F67"/>
  <c r="I67" s="1"/>
  <c r="F66"/>
  <c r="H66" s="1"/>
  <c r="F65"/>
  <c r="I65" s="1"/>
  <c r="F64"/>
  <c r="H64" s="1"/>
  <c r="H63"/>
  <c r="H62"/>
  <c r="H60"/>
  <c r="I59"/>
  <c r="H57"/>
  <c r="F56"/>
  <c r="I56" s="1"/>
  <c r="F55"/>
  <c r="H55" s="1"/>
  <c r="F54"/>
  <c r="H54" s="1"/>
  <c r="I51"/>
  <c r="F51"/>
  <c r="H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86" i="24"/>
  <c r="I73"/>
  <c r="H80"/>
  <c r="H76"/>
  <c r="F75"/>
  <c r="H75" s="1"/>
  <c r="H73"/>
  <c r="F69"/>
  <c r="H69" s="1"/>
  <c r="I68"/>
  <c r="H67"/>
  <c r="I66"/>
  <c r="H65"/>
  <c r="I64"/>
  <c r="H63"/>
  <c r="H62"/>
  <c r="H60"/>
  <c r="H59"/>
  <c r="H57"/>
  <c r="F56"/>
  <c r="H56" s="1"/>
  <c r="F55"/>
  <c r="I55" s="1"/>
  <c r="F54"/>
  <c r="H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F38"/>
  <c r="H38" s="1"/>
  <c r="F37"/>
  <c r="I37" s="1"/>
  <c r="I36"/>
  <c r="H36"/>
  <c r="H34"/>
  <c r="H33"/>
  <c r="H86" i="23"/>
  <c r="H80"/>
  <c r="H76"/>
  <c r="F75"/>
  <c r="H75" s="1"/>
  <c r="H73"/>
  <c r="F69"/>
  <c r="F68"/>
  <c r="I68" s="1"/>
  <c r="F67"/>
  <c r="H67" s="1"/>
  <c r="F66"/>
  <c r="I66" s="1"/>
  <c r="F65"/>
  <c r="H65" s="1"/>
  <c r="F64"/>
  <c r="I64" s="1"/>
  <c r="H63"/>
  <c r="H62"/>
  <c r="H60"/>
  <c r="H59"/>
  <c r="H57"/>
  <c r="F56"/>
  <c r="H56" s="1"/>
  <c r="F55"/>
  <c r="I55" s="1"/>
  <c r="F54"/>
  <c r="H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F38"/>
  <c r="H38" s="1"/>
  <c r="F37"/>
  <c r="I37" s="1"/>
  <c r="I36"/>
  <c r="H36"/>
  <c r="H34"/>
  <c r="H33"/>
  <c r="H87" i="22"/>
  <c r="I33"/>
  <c r="H81"/>
  <c r="H77"/>
  <c r="F76"/>
  <c r="H76" s="1"/>
  <c r="H74"/>
  <c r="F70"/>
  <c r="H70" s="1"/>
  <c r="F69"/>
  <c r="H69" s="1"/>
  <c r="F68"/>
  <c r="H68" s="1"/>
  <c r="F67"/>
  <c r="H67" s="1"/>
  <c r="F66"/>
  <c r="H66" s="1"/>
  <c r="F65"/>
  <c r="H65" s="1"/>
  <c r="H64"/>
  <c r="H63"/>
  <c r="H61"/>
  <c r="F60"/>
  <c r="H58"/>
  <c r="F57"/>
  <c r="I57" s="1"/>
  <c r="F56"/>
  <c r="H56" s="1"/>
  <c r="F55"/>
  <c r="H55" s="1"/>
  <c r="I52"/>
  <c r="F52"/>
  <c r="H52" s="1"/>
  <c r="I51"/>
  <c r="H51"/>
  <c r="F50"/>
  <c r="H50" s="1"/>
  <c r="F49"/>
  <c r="I49" s="1"/>
  <c r="F48"/>
  <c r="H48" s="1"/>
  <c r="F47"/>
  <c r="H47" s="1"/>
  <c r="F46"/>
  <c r="H46" s="1"/>
  <c r="H45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2"/>
  <c r="H31"/>
  <c r="H30"/>
  <c r="H69" i="23" l="1"/>
  <c r="I69"/>
  <c r="H57" i="22"/>
  <c r="I101" i="27"/>
  <c r="H66" i="23"/>
  <c r="H18" i="26"/>
  <c r="H16"/>
  <c r="I17"/>
  <c r="H19"/>
  <c r="I20"/>
  <c r="H21"/>
  <c r="I22"/>
  <c r="H23"/>
  <c r="I24"/>
  <c r="H26"/>
  <c r="I27"/>
  <c r="I30"/>
  <c r="H31"/>
  <c r="I32"/>
  <c r="I38"/>
  <c r="H39"/>
  <c r="I40"/>
  <c r="H41"/>
  <c r="I44"/>
  <c r="H45"/>
  <c r="I46"/>
  <c r="H47"/>
  <c r="I48"/>
  <c r="H49"/>
  <c r="I50"/>
  <c r="I56"/>
  <c r="H57"/>
  <c r="H60"/>
  <c r="I65"/>
  <c r="H66"/>
  <c r="I67"/>
  <c r="H68"/>
  <c r="I69"/>
  <c r="H83"/>
  <c r="I84"/>
  <c r="I37" i="25"/>
  <c r="H38"/>
  <c r="I39"/>
  <c r="H40"/>
  <c r="I43"/>
  <c r="H44"/>
  <c r="I45"/>
  <c r="H46"/>
  <c r="I47"/>
  <c r="H48"/>
  <c r="I49"/>
  <c r="I55"/>
  <c r="H56"/>
  <c r="H59"/>
  <c r="I64"/>
  <c r="H65"/>
  <c r="I66"/>
  <c r="H67"/>
  <c r="I68"/>
  <c r="H37" i="24"/>
  <c r="I38"/>
  <c r="H39"/>
  <c r="I40"/>
  <c r="H43"/>
  <c r="I44"/>
  <c r="H45"/>
  <c r="I46"/>
  <c r="H47"/>
  <c r="I48"/>
  <c r="H49"/>
  <c r="H55"/>
  <c r="I56"/>
  <c r="I59"/>
  <c r="H64"/>
  <c r="I65"/>
  <c r="H66"/>
  <c r="I67"/>
  <c r="H68"/>
  <c r="H64" i="23"/>
  <c r="H68"/>
  <c r="H37"/>
  <c r="I38"/>
  <c r="H39"/>
  <c r="I40"/>
  <c r="H43"/>
  <c r="I44"/>
  <c r="H45"/>
  <c r="I46"/>
  <c r="H47"/>
  <c r="I48"/>
  <c r="H49"/>
  <c r="H55"/>
  <c r="I56"/>
  <c r="I59"/>
  <c r="I65"/>
  <c r="I67"/>
  <c r="I30" i="22"/>
  <c r="I32"/>
  <c r="I46"/>
  <c r="I44"/>
  <c r="I69"/>
  <c r="I67"/>
  <c r="I31"/>
  <c r="I47"/>
  <c r="I45"/>
  <c r="I65"/>
  <c r="I68"/>
  <c r="I66"/>
  <c r="H60"/>
  <c r="H49"/>
  <c r="H41"/>
  <c r="H39"/>
  <c r="I38"/>
  <c r="I40"/>
  <c r="I48"/>
  <c r="I50"/>
  <c r="I56"/>
  <c r="I99" i="26" l="1"/>
  <c r="I97" i="23"/>
  <c r="I91" i="22"/>
  <c r="I99" i="24"/>
  <c r="I102" i="25"/>
  <c r="H86" i="21" l="1"/>
  <c r="H78"/>
  <c r="H74"/>
  <c r="F73"/>
  <c r="H73" s="1"/>
  <c r="H71"/>
  <c r="F67"/>
  <c r="H67" s="1"/>
  <c r="F66"/>
  <c r="H66" s="1"/>
  <c r="F65"/>
  <c r="H65" s="1"/>
  <c r="F64"/>
  <c r="H64" s="1"/>
  <c r="F63"/>
  <c r="H63" s="1"/>
  <c r="F62"/>
  <c r="H62" s="1"/>
  <c r="H61"/>
  <c r="I60"/>
  <c r="H60"/>
  <c r="H58"/>
  <c r="F57"/>
  <c r="H55"/>
  <c r="F54"/>
  <c r="I54" s="1"/>
  <c r="F53"/>
  <c r="H53" s="1"/>
  <c r="F52"/>
  <c r="H52" s="1"/>
  <c r="I49"/>
  <c r="I84" s="1"/>
  <c r="F49"/>
  <c r="H49" s="1"/>
  <c r="I48"/>
  <c r="H48"/>
  <c r="H38"/>
  <c r="H36"/>
  <c r="H35"/>
  <c r="H34"/>
  <c r="F32"/>
  <c r="H32" s="1"/>
  <c r="F31"/>
  <c r="H31" s="1"/>
  <c r="F30"/>
  <c r="H30" s="1"/>
  <c r="I52" i="20"/>
  <c r="H80"/>
  <c r="H76"/>
  <c r="F75"/>
  <c r="H75" s="1"/>
  <c r="F71"/>
  <c r="H71" s="1"/>
  <c r="F70"/>
  <c r="H70" s="1"/>
  <c r="F69"/>
  <c r="H69" s="1"/>
  <c r="F68"/>
  <c r="H68" s="1"/>
  <c r="F67"/>
  <c r="H67" s="1"/>
  <c r="F66"/>
  <c r="H66" s="1"/>
  <c r="H65"/>
  <c r="H64"/>
  <c r="H62"/>
  <c r="H61"/>
  <c r="H59"/>
  <c r="F58"/>
  <c r="H58" s="1"/>
  <c r="F57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38"/>
  <c r="H36"/>
  <c r="H35"/>
  <c r="H34"/>
  <c r="F32"/>
  <c r="H32" s="1"/>
  <c r="F31"/>
  <c r="H31" s="1"/>
  <c r="F30"/>
  <c r="H30" s="1"/>
  <c r="H90" i="19"/>
  <c r="H84"/>
  <c r="H80"/>
  <c r="F79"/>
  <c r="H79" s="1"/>
  <c r="H77"/>
  <c r="F73"/>
  <c r="H73" s="1"/>
  <c r="F72"/>
  <c r="H72" s="1"/>
  <c r="F71"/>
  <c r="H71" s="1"/>
  <c r="F70"/>
  <c r="H70" s="1"/>
  <c r="F69"/>
  <c r="H69" s="1"/>
  <c r="F68"/>
  <c r="H68" s="1"/>
  <c r="H67"/>
  <c r="H66"/>
  <c r="H64"/>
  <c r="H63"/>
  <c r="H61"/>
  <c r="H60"/>
  <c r="F58"/>
  <c r="H58" s="1"/>
  <c r="I55"/>
  <c r="F55"/>
  <c r="H55" s="1"/>
  <c r="H54"/>
  <c r="F53"/>
  <c r="H53" s="1"/>
  <c r="F52"/>
  <c r="H52" s="1"/>
  <c r="F50"/>
  <c r="H50" s="1"/>
  <c r="F49"/>
  <c r="H49" s="1"/>
  <c r="F48"/>
  <c r="H48" s="1"/>
  <c r="F47"/>
  <c r="H47" s="1"/>
  <c r="H43"/>
  <c r="H36"/>
  <c r="H35"/>
  <c r="H34"/>
  <c r="F32"/>
  <c r="H32" s="1"/>
  <c r="F31"/>
  <c r="H31" s="1"/>
  <c r="F30"/>
  <c r="H30" s="1"/>
  <c r="H77" i="18"/>
  <c r="H84"/>
  <c r="H80"/>
  <c r="F79"/>
  <c r="H79" s="1"/>
  <c r="F73"/>
  <c r="H73" s="1"/>
  <c r="F72"/>
  <c r="H72" s="1"/>
  <c r="F71"/>
  <c r="H71" s="1"/>
  <c r="F70"/>
  <c r="H70" s="1"/>
  <c r="F69"/>
  <c r="H69" s="1"/>
  <c r="F68"/>
  <c r="H68" s="1"/>
  <c r="H67"/>
  <c r="H66"/>
  <c r="H64"/>
  <c r="I63"/>
  <c r="H61"/>
  <c r="F60"/>
  <c r="I60" s="1"/>
  <c r="F59"/>
  <c r="H59" s="1"/>
  <c r="F58"/>
  <c r="H58" s="1"/>
  <c r="I55"/>
  <c r="F55"/>
  <c r="H55" s="1"/>
  <c r="H54"/>
  <c r="F53"/>
  <c r="H53" s="1"/>
  <c r="F52"/>
  <c r="H52" s="1"/>
  <c r="F50"/>
  <c r="H50" s="1"/>
  <c r="F49"/>
  <c r="H49" s="1"/>
  <c r="F48"/>
  <c r="H48" s="1"/>
  <c r="F47"/>
  <c r="H47" s="1"/>
  <c r="H37"/>
  <c r="H36"/>
  <c r="H35"/>
  <c r="F33"/>
  <c r="H33" s="1"/>
  <c r="F32"/>
  <c r="H32" s="1"/>
  <c r="F31"/>
  <c r="H31" s="1"/>
  <c r="F28"/>
  <c r="H28" s="1"/>
  <c r="H54" i="21" l="1"/>
  <c r="H57"/>
  <c r="I49" i="20"/>
  <c r="H57"/>
  <c r="I58"/>
  <c r="I61"/>
  <c r="H42" i="19"/>
  <c r="H59"/>
  <c r="I63"/>
  <c r="H60" i="18"/>
  <c r="I28"/>
  <c r="I106" l="1"/>
  <c r="I94" i="21"/>
  <c r="I110" i="19"/>
  <c r="I96" i="20"/>
</calcChain>
</file>

<file path=xl/sharedStrings.xml><?xml version="1.0" encoding="utf-8"?>
<sst xmlns="http://schemas.openxmlformats.org/spreadsheetml/2006/main" count="2828" uniqueCount="361">
  <si>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</si>
  <si>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</si>
  <si>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</si>
  <si>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</si>
  <si>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</si>
  <si>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</si>
  <si>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</si>
  <si>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</si>
  <si>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</si>
  <si>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</si>
  <si>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</si>
  <si>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</si>
  <si>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</si>
  <si>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</si>
  <si>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</si>
  <si>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</si>
  <si>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</si>
  <si>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</si>
  <si>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</si>
  <si>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</si>
  <si>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</si>
  <si>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</si>
  <si>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</si>
  <si>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</si>
  <si>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</si>
  <si>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</si>
  <si>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</si>
  <si>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</si>
  <si>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</si>
  <si>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</si>
  <si>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</si>
  <si>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</si>
  <si>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</si>
  <si>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</si>
  <si>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</si>
  <si>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</si>
  <si>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</si>
  <si>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</si>
  <si>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</si>
  <si>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</si>
  <si>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</si>
  <si>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</si>
  <si>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</si>
  <si>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</si>
  <si>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</si>
  <si>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</si>
  <si>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</si>
  <si>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</si>
  <si>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</si>
  <si>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</si>
  <si>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</si>
  <si>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</si>
  <si>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</si>
  <si>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</si>
  <si>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</si>
  <si>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</si>
  <si>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</si>
  <si>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</si>
  <si>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</si>
  <si>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</si>
  <si>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</si>
  <si>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</si>
  <si>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</si>
  <si>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</si>
  <si>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</si>
  <si>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</si>
  <si>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</si>
  <si>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</si>
  <si>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</si>
  <si>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</si>
  <si>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</si>
  <si>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</si>
  <si>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плавкой вставки в электрощите</t>
  </si>
  <si>
    <t>Вентканалы, дымоходы</t>
  </si>
  <si>
    <t>100м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</si>
  <si>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</si>
  <si>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</si>
  <si>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</si>
  <si>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</si>
  <si>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</si>
  <si>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</si>
  <si>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 xml:space="preserve">II. Уборка земельного участка 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</si>
  <si>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</si>
  <si>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</si>
  <si>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</si>
  <si>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</si>
  <si>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1 шт</t>
  </si>
  <si>
    <t>Влажное подметание лестничных клеток 2-5 этажа</t>
  </si>
  <si>
    <t>Мытье лестничных  площадок и маршей 1-5 этаж.</t>
  </si>
  <si>
    <t>Очистка водостоков от наледи</t>
  </si>
  <si>
    <t>Дератизация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</si>
  <si>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</si>
  <si>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</si>
  <si>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</si>
  <si>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</si>
  <si>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</si>
  <si>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</si>
  <si>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1 соединение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</si>
  <si>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</si>
  <si>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</si>
  <si>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</si>
  <si>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</si>
  <si>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</si>
  <si>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</si>
  <si>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</si>
  <si>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</si>
  <si>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78 раз за сезон</t>
  </si>
  <si>
    <t>Уборка контейнерной площадки (16 кв.м.)</t>
  </si>
  <si>
    <t>50 раз за сезон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</si>
  <si>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</si>
  <si>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</si>
  <si>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</si>
  <si>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</si>
  <si>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шт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</si>
  <si>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</si>
  <si>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</si>
  <si>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</si>
  <si>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</si>
  <si>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</si>
  <si>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</si>
  <si>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</si>
  <si>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№4а по ул.Нефтяников пгт.Ярега
</t>
  </si>
  <si>
    <t>Влажная протирка шкафов для щитов и слаботочн. устройств</t>
  </si>
  <si>
    <t xml:space="preserve">1 раз в месяц   </t>
  </si>
  <si>
    <t>Очистка урн от мусора</t>
  </si>
  <si>
    <t>26 раз в сезон</t>
  </si>
  <si>
    <t>Подметание территории с усовершенствованным покрытием асф.: крыльца, контейнерн пл., проезд, тротуар</t>
  </si>
  <si>
    <t>12 раз за сезон</t>
  </si>
  <si>
    <t>Осмотр электросетей, арматуры и электооборудования на лестничных клетках</t>
  </si>
  <si>
    <t>5 раз в год</t>
  </si>
  <si>
    <t>Очистка кровли от мусора</t>
  </si>
  <si>
    <t>Очистка края кровли от слежавшегося снега со сбрасыванием сосулек (козырьки)</t>
  </si>
  <si>
    <t xml:space="preserve">6 раз за сезон </t>
  </si>
  <si>
    <t>8 раз в год</t>
  </si>
  <si>
    <t xml:space="preserve"> </t>
  </si>
  <si>
    <t>АКТ №1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</si>
  <si>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</si>
  <si>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</si>
  <si>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</si>
  <si>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 xml:space="preserve"> - Уборка контейнерной площадки (16 кв.м.)</t>
  </si>
  <si>
    <t>Спуск воды после промывки СО в канализацию</t>
  </si>
  <si>
    <t>Итого месячные затраты</t>
  </si>
  <si>
    <t>АКТ №2</t>
  </si>
  <si>
    <t>АКТ №3</t>
  </si>
  <si>
    <t>АКТ №4</t>
  </si>
  <si>
    <t>АКТ №5</t>
  </si>
  <si>
    <t>1 место</t>
  </si>
  <si>
    <t>АКТ №6</t>
  </si>
  <si>
    <t xml:space="preserve">Уплотнение сгонов с применением льняной пряди или асбестового шнура (без разборки сгонов) </t>
  </si>
  <si>
    <t>АКТ №7</t>
  </si>
  <si>
    <t>АКТ №8</t>
  </si>
  <si>
    <t>III. Содержание общего имущества МКД</t>
  </si>
  <si>
    <t>IV. Прочие услуги</t>
  </si>
  <si>
    <t>АКТ №9</t>
  </si>
  <si>
    <t>АКТ №10</t>
  </si>
  <si>
    <t>АКТ №11</t>
  </si>
  <si>
    <t>АКТ №12</t>
  </si>
  <si>
    <r>
      <t>1. Исполнителем  предъявлены  к  приемке  следующие  оказанные  на  основании  Договора  на  содержание  и  ремонт  многоквартирного  дома  №</t>
    </r>
    <r>
      <rPr>
        <u/>
        <sz val="12"/>
        <rFont val="Times New Roman"/>
        <family val="1"/>
        <charset val="204"/>
      </rPr>
      <t xml:space="preserve">  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д.4а</t>
    </r>
  </si>
  <si>
    <t>Установка хомута диаметром до 50 мм</t>
  </si>
  <si>
    <t>Очистка канализационной сети внутренней</t>
  </si>
  <si>
    <t xml:space="preserve">Отопление </t>
  </si>
  <si>
    <t>час</t>
  </si>
  <si>
    <t>Водоотлив из подвала электрическими (механическими) насосами (100 м3 воды)</t>
  </si>
  <si>
    <t>10 м3</t>
  </si>
  <si>
    <t>ООО «Движение»</t>
  </si>
  <si>
    <t>213м2</t>
  </si>
  <si>
    <t>60м2</t>
  </si>
  <si>
    <t>м</t>
  </si>
  <si>
    <t>10шт</t>
  </si>
  <si>
    <t>Отвод 50-90</t>
  </si>
  <si>
    <t>Смена внутренних трубопроводов на полипропиленовые трубы PN 25 Dу 25</t>
  </si>
  <si>
    <t>Смена внутренних трубопроводов на полипропиленовые трубы PN 25 Dу 20</t>
  </si>
  <si>
    <t>Смена внутренних трубопроводов на полипропиленовые трубы PN 20 Dу 20</t>
  </si>
  <si>
    <t>руб</t>
  </si>
  <si>
    <t>Организация и содержание мест накопления ТКО</t>
  </si>
  <si>
    <t>13 раз</t>
  </si>
  <si>
    <t>8 раз</t>
  </si>
  <si>
    <t>2 раза</t>
  </si>
  <si>
    <t>1 раз</t>
  </si>
  <si>
    <t xml:space="preserve">1 раз </t>
  </si>
  <si>
    <t xml:space="preserve">1 раз  </t>
  </si>
  <si>
    <t>25 раз</t>
  </si>
  <si>
    <t>21 раз</t>
  </si>
  <si>
    <t>3 раза</t>
  </si>
  <si>
    <t>4 раза</t>
  </si>
  <si>
    <t>1 м-час</t>
  </si>
  <si>
    <r>
      <t xml:space="preserve">    Собственники помещений в многоквартирном доме, расположенном по адресу: пгт.Ярега, ул.Нефтяников, д.4а,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19.08.2019г. стороны, и ООО «Движение»,  именуемое в дальнейшем "Исполнитель",  в лице генерального директора Куканова Юрия Леонидовича, действующего на основании Устава,  с другой стороны,  совместно именуемые "Стороны",  составили настоящий Акт о нижеследующем:</t>
    </r>
  </si>
  <si>
    <t>по мере необходимости</t>
  </si>
  <si>
    <t>Водоснабжение и канализация</t>
  </si>
  <si>
    <t>Техническое обслуживание внутренних сетей  водопровода и канализации</t>
  </si>
  <si>
    <t>руб/м2 в мес.</t>
  </si>
  <si>
    <t>Снятие показаний с общедомовых приборов учета воды и эл.энергии</t>
  </si>
  <si>
    <t>Обслуживание общедомового прибора учета тепловой энергии</t>
  </si>
  <si>
    <t>Работы по ведению технической и отчетной документации, сбору и начислению платежей</t>
  </si>
  <si>
    <t>Осмотр электросетей, армазуры и электрооборудования на лестничных клетках</t>
  </si>
  <si>
    <t>Ремонт и регулировка доводчика (без стоимости доводчика)</t>
  </si>
  <si>
    <t>1шт.</t>
  </si>
  <si>
    <t>Установка насоса в подвале для откачки воды</t>
  </si>
  <si>
    <t>подвал</t>
  </si>
  <si>
    <t xml:space="preserve">Смена сгонов у трубопроводов диаметром до 20 мм </t>
  </si>
  <si>
    <t>1 сгон</t>
  </si>
  <si>
    <t>Очистка вручнуб от снега и наледи люков водопроводных и канализационных колодкев</t>
  </si>
  <si>
    <t>Вывоз снега с придомовой территории</t>
  </si>
  <si>
    <t>1 м3</t>
  </si>
  <si>
    <t>Очистка вручну от снега и наледи люков водопроводных и канализационных колодкев</t>
  </si>
  <si>
    <t>5 раз</t>
  </si>
  <si>
    <t>Работа автовышки</t>
  </si>
  <si>
    <t>маш/час</t>
  </si>
  <si>
    <t>10 м2</t>
  </si>
  <si>
    <t xml:space="preserve">Осмотр водопроводов, канализации, отопления </t>
  </si>
  <si>
    <t>Осмотр кровли рулонной</t>
  </si>
  <si>
    <t>Переход чугун-пластик 50</t>
  </si>
  <si>
    <t>Манжета 50</t>
  </si>
  <si>
    <t>Патрубок компенсационный 50</t>
  </si>
  <si>
    <t>за период с 01.01.2020 г. по 31.01.2020 г.</t>
  </si>
  <si>
    <t>Смена арматуры - вентилей и клапанов обратных муфтовых диаметром до 32 мм</t>
  </si>
  <si>
    <t>Смена внутренних трубопроводов на полипропиленовые трубы PN 20 Dу 25</t>
  </si>
  <si>
    <t>Смена полипропиленовых канализационных труб ПП Dу 50*1000</t>
  </si>
  <si>
    <t xml:space="preserve"> Ревизия 50</t>
  </si>
  <si>
    <t xml:space="preserve"> Тройник 50 х 90</t>
  </si>
  <si>
    <t>кв.6</t>
  </si>
  <si>
    <t>кв.7, 3 шт</t>
  </si>
  <si>
    <t>16 м ( с 3-го по 5-й этаж)</t>
  </si>
  <si>
    <t>4 м (с 3-го по 5-й этаж)</t>
  </si>
  <si>
    <t>ГВС подвал 4 шт, на кв.74</t>
  </si>
  <si>
    <t>кв.68, кв 40,кв 57</t>
  </si>
  <si>
    <t>за период с 01.02.2020 г. по 28.02.2020 г.</t>
  </si>
  <si>
    <t>10,18,21 февраля</t>
  </si>
  <si>
    <t>19 февраля</t>
  </si>
  <si>
    <t>Смена полипропиленовых канализационных труб ПП Dу 100*1000</t>
  </si>
  <si>
    <t>Смена полиэтиленовых канализационных труб диаметром до 50 мм (без стоимости креплений)</t>
  </si>
  <si>
    <t xml:space="preserve"> Ревизия 100</t>
  </si>
  <si>
    <t>Переход чугун-пластик 100</t>
  </si>
  <si>
    <t>Манжета 100</t>
  </si>
  <si>
    <t>Отвод 100-90</t>
  </si>
  <si>
    <t>Тройник 50-50-50</t>
  </si>
  <si>
    <t>Крестовина 100*100*50</t>
  </si>
  <si>
    <t>Муфта 110</t>
  </si>
  <si>
    <t>Смена ламп накаливания ( без материалов)</t>
  </si>
  <si>
    <t>Герметизация стыков трубопроводов</t>
  </si>
  <si>
    <t>кв.47</t>
  </si>
  <si>
    <t>кв.36</t>
  </si>
  <si>
    <t>1 м кв.103 подача к п/с</t>
  </si>
  <si>
    <t>кв.28</t>
  </si>
  <si>
    <t>3 м ГВС кв.28</t>
  </si>
  <si>
    <t>ГВС 2 м до 5 эт; 2 м ХВС кв.28</t>
  </si>
  <si>
    <t>за период с 01.03.2020 г. по 31.03.2020 г.</t>
  </si>
  <si>
    <t>13 марта</t>
  </si>
  <si>
    <t>25 марта</t>
  </si>
  <si>
    <t>ГВС с кв.11 до кв.8</t>
  </si>
  <si>
    <t>100шт</t>
  </si>
  <si>
    <t>за период с 01.04.2020 г. по 30.04.2020 г.</t>
  </si>
  <si>
    <t>14 апреля</t>
  </si>
  <si>
    <t>кв.58</t>
  </si>
  <si>
    <t>кв.11 ГВС-2шт.; кв.53 - ГВС</t>
  </si>
  <si>
    <t>ГВС кв.№11, п/с кв.17</t>
  </si>
  <si>
    <t>за период с 01.05.2020 г. по 31.05.2020 г.</t>
  </si>
  <si>
    <t>ГВС кв.50</t>
  </si>
  <si>
    <t>Ремонт ограждения конт. площадки</t>
  </si>
  <si>
    <t>за период с 01.06.2020 г. по 30.06.2020 г.</t>
  </si>
  <si>
    <t xml:space="preserve">1 раз      </t>
  </si>
  <si>
    <t>Вскрыли шахту для работ ВДИС</t>
  </si>
  <si>
    <t>Устройство деревянного настила на 3-2 ступени крыльца</t>
  </si>
  <si>
    <t>Доска 40мм*4 м</t>
  </si>
  <si>
    <t>кв.66</t>
  </si>
  <si>
    <t>ГВС подвал</t>
  </si>
  <si>
    <t>ГВС с 66 до 63 кв; ХВС 1 м с 66кв.до 33 кв.</t>
  </si>
  <si>
    <t>ГВС кв.97-1 шт.; п/с кв 57 -1 шт.</t>
  </si>
  <si>
    <t>под.№8</t>
  </si>
  <si>
    <t>за период с 01.07.2020 г. по 31.07.2020 г.</t>
  </si>
  <si>
    <t>Смена внутренних трубопроводов  диаметром до 25 мм (без стоимости материалов))</t>
  </si>
  <si>
    <t>Укрепление ступеней крыльца</t>
  </si>
  <si>
    <t>под.№3</t>
  </si>
  <si>
    <t>ГВС кв.48</t>
  </si>
  <si>
    <t>2 м ХВС в перекрытии кв.22-25; 3 м ГВС с4 по 3 эт.</t>
  </si>
  <si>
    <t>ХВС в 22/25 кв</t>
  </si>
  <si>
    <t>кв.37</t>
  </si>
  <si>
    <t>Смена санитарных приборов - гибких подводок ( без материалов)</t>
  </si>
  <si>
    <t>14 м ГВС с 4 по 3 эт.; 4 м ГВС кв.47/50</t>
  </si>
  <si>
    <t>3 шт. ХВС подвал; 1 шт. ГВС подвал</t>
  </si>
  <si>
    <t>Смена арматуры - вентилей и клапанов обратных муфтовых диаметром до 20 мм ( без матеиалов)</t>
  </si>
  <si>
    <t>с/о кв.28-1 шт</t>
  </si>
  <si>
    <t>за период с 01.08.2020 г. по 31.08.2020 г.</t>
  </si>
  <si>
    <t>Смена полипропиленовых канализационных труб ПП Dу 100*2000</t>
  </si>
  <si>
    <t>Патрубок компенсационный 100</t>
  </si>
  <si>
    <t>Отвод 100-45</t>
  </si>
  <si>
    <t>Устройство деревянного настила на ступени крыльца</t>
  </si>
  <si>
    <t>Ремонт петель электрощитовой</t>
  </si>
  <si>
    <t>Материалы ( по заявлению)</t>
  </si>
  <si>
    <t>2 м от ревизии до чердака</t>
  </si>
  <si>
    <t>2 м кв.27</t>
  </si>
  <si>
    <t>под.№6</t>
  </si>
  <si>
    <t>4 шт</t>
  </si>
  <si>
    <t>под.№2</t>
  </si>
  <si>
    <t>1 шт. ХВС подвал</t>
  </si>
  <si>
    <t>за период с 01.09.2020 г. по 30.09.2020 г.</t>
  </si>
  <si>
    <t>14 раз</t>
  </si>
  <si>
    <t>Собрали фановую трубу</t>
  </si>
  <si>
    <t>Очистка примыканий козырька лоджии от мха</t>
  </si>
  <si>
    <t xml:space="preserve">Смена внутренних трубопроводов из стальных труб диаметром до 40 мм </t>
  </si>
  <si>
    <t>Сварочные работы</t>
  </si>
  <si>
    <t>кв.46</t>
  </si>
  <si>
    <t>фановая труба над.кв.78</t>
  </si>
  <si>
    <t>2 м с/о подвал</t>
  </si>
  <si>
    <t>2 часа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</si>
  <si>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</si>
  <si>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ул.Нефтяников, д.4а,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19.08.2019г. стороны, и ООО «Движение»,  именуемое в дальнейшем "Исполнитель",  в лице генерального директора Кочановой Ирины Леонидовны, действующего на основании Устава,  с другой стороны,  совместно именуемые "Стороны",  составили настоящий Акт о нижеследующем:</t>
    </r>
  </si>
  <si>
    <t>12 раз</t>
  </si>
  <si>
    <t>7 раз</t>
  </si>
  <si>
    <t>8 раза</t>
  </si>
  <si>
    <t>Регулировка таймера освещения</t>
  </si>
  <si>
    <t>Настройка тепловычислителя</t>
  </si>
  <si>
    <t>кв.21</t>
  </si>
  <si>
    <t>с/  подвал 1 шт</t>
  </si>
  <si>
    <t>генеральный директор Кочанова И.Л.</t>
  </si>
  <si>
    <t>Ремонт крылец(1,2,3,4,5,6,7,8 под)</t>
  </si>
  <si>
    <t>руб.</t>
  </si>
  <si>
    <t>за период с 01.11.2020 г. по 30.11.2020 г.</t>
  </si>
  <si>
    <t>Замена манжеты</t>
  </si>
  <si>
    <t>Смена плавкой вставки</t>
  </si>
  <si>
    <t>кв.38</t>
  </si>
  <si>
    <t>кв.20</t>
  </si>
  <si>
    <t>за период с 01.12.2020 г. по 31.12.2020 г.</t>
  </si>
  <si>
    <t>0,8 ч ( 18 и 21 дек.)</t>
  </si>
  <si>
    <t>Укрепление оконных и дверных приборов - петель</t>
  </si>
  <si>
    <t>1 шт. ГВС кв.13;1 шт. ГВС кв.79</t>
  </si>
  <si>
    <t>под.№2 в эл. Щит</t>
  </si>
  <si>
    <t>1 шт. ГВС подвал</t>
  </si>
  <si>
    <t>2. Всего за период с 01.01.2020 по 31.01.2020 выполнено работ (оказано услуг) на общую сумму: 141198,07 руб.</t>
  </si>
  <si>
    <t>(сто сорок одна тысяча сто девяносто восемь рублей 07 копеек)</t>
  </si>
  <si>
    <t>2. Всего за период с 01.02.2020 по 29.02.2020 выполнено работ (оказано услуг) на общую сумму: 119637,59 руб.</t>
  </si>
  <si>
    <t>( сто девятнадцать тысяч шестьсот тридцать семь рублей 59 копеек)</t>
  </si>
  <si>
    <t>11 м</t>
  </si>
  <si>
    <t>Сборка канализационной трубы</t>
  </si>
  <si>
    <t>2. Всего за период с 01.03.2020 по 31.03.2020 выполнено работ (оказано услуг) на общую сумму: 99401,15 руб.</t>
  </si>
  <si>
    <t>(девяносто девять тысяч четыреста один рубль 15 копеек)</t>
  </si>
  <si>
    <t>2. Всего за период с 01.04.2020 по 30.04.2020 выполнено работ (оказано услуг) на общую сумму: 115941,33 руб.</t>
  </si>
  <si>
    <t>(сто пятнадцать тысяч девятьсот сорок один рубль 33 копейки)</t>
  </si>
  <si>
    <t>6 м</t>
  </si>
  <si>
    <t>2. Всего за период с 01.05.2020 по 31.05.2020 выполнено работ (оказано услуг) на общую сумму: 131120,80 руб.</t>
  </si>
  <si>
    <t>(сто тридцать одна тысяча сто двадцать рублей 80 копеек)</t>
  </si>
  <si>
    <t>10м</t>
  </si>
  <si>
    <t>2. Всего за период с 01.06.2020 по 30.06.2020 выполнено работ (оказано услуг) на общую сумму: 122427,25 руб.</t>
  </si>
  <si>
    <t>(сто двадцать две тысячи четыреста двадцать семь рублей 25 копеек)</t>
  </si>
  <si>
    <t>10 м</t>
  </si>
  <si>
    <t>2. Всего за период с 01.07.2020 по 31.07.2020 выполнено работ (оказано услуг) на общую сумму: 277095,53 руб.</t>
  </si>
  <si>
    <t>(двести семьдесят семь тысяч девяносто пять рублей 53 копейки)</t>
  </si>
  <si>
    <t>2. Всего за период с 01.08.2020 по 31.08.2020 выполнено работ (оказано услуг) на общую сумму: 128068,29 руб.</t>
  </si>
  <si>
    <t>(сто двадцать восемь тысяч шестьдесят восемь рублей 29 копеек)</t>
  </si>
  <si>
    <t>24 м</t>
  </si>
  <si>
    <t>2. Всего за период с 01.09.2020 по 30.09.2020 выполнено работ (оказано услуг) на общую сумму: 126911,72 руб.</t>
  </si>
  <si>
    <t>(сто двадцать шесть тысяч девятьсот одиннадцать рублей 72 копейки)</t>
  </si>
  <si>
    <t>3 м</t>
  </si>
  <si>
    <t>2. Всего за период с 01.10.2020 по 31.10.2020 выполнено работ (оказано услуг) на общую сумму: 347237,94 руб.</t>
  </si>
  <si>
    <t>( триста сорок семь тысяч двести тридцать семь рублей 94 копейки)</t>
  </si>
  <si>
    <t>4 м</t>
  </si>
  <si>
    <t>2. Всего за период с 01.11.2020 по 30.11.2020 выполнено работ (оказано услуг) на общую сумму: 114134,99 руб.</t>
  </si>
  <si>
    <t>(сто четырнадцать тысяч сто тридцать четыре рубля 99 копеек)</t>
  </si>
  <si>
    <t>26 м</t>
  </si>
  <si>
    <t>2. Всего за период с 01.12.2020 по 31.12.2020 выполнено работ (оказано услуг) на общую сумму: 102372,37 руб.</t>
  </si>
  <si>
    <t>(сто две тысячи триста семьдесят два рубля 37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</si>
</sst>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9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1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4" fontId="17" fillId="2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4" fontId="11" fillId="0" borderId="21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1" fontId="11" fillId="2" borderId="20" xfId="0" applyNumberFormat="1" applyFont="1" applyFill="1" applyBorder="1" applyAlignment="1">
      <alignment horizontal="left" vertical="center" wrapText="1"/>
    </xf>
    <xf numFmtId="4" fontId="11" fillId="2" borderId="20" xfId="0" applyNumberFormat="1" applyFont="1" applyFill="1" applyBorder="1" applyAlignment="1">
      <alignment horizontal="center" vertical="center"/>
    </xf>
    <xf numFmtId="4" fontId="13" fillId="2" borderId="20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/>
    </xf>
    <xf numFmtId="4" fontId="11" fillId="2" borderId="19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wrapText="1"/>
    </xf>
    <xf numFmtId="4" fontId="19" fillId="3" borderId="3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left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7"/>
  <sheetViews>
    <sheetView topLeftCell="A94" workbookViewId="0">
      <selection activeCell="B108" sqref="B108:G108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9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135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214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31">
        <v>43861</v>
      </c>
      <c r="J6" s="2"/>
      <c r="K6" s="2"/>
      <c r="L6" s="2"/>
      <c r="M6" s="2"/>
    </row>
    <row r="7" spans="1:13" ht="15.75" customHeight="1">
      <c r="B7" s="66"/>
      <c r="C7" s="66"/>
      <c r="D7" s="66"/>
      <c r="E7" s="66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186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175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7" si="0">SUM(F16*G16/1000)</f>
        <v>62.943028199999993</v>
      </c>
      <c r="I16" s="13">
        <f>F16/12*G16</f>
        <v>5245.2523499999998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176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F17/12*G17</f>
        <v>13987.339599999998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177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F18/18*1*G18</f>
        <v>5803.9207499999993</v>
      </c>
      <c r="J18" s="23"/>
      <c r="K18" s="8"/>
      <c r="L18" s="8"/>
      <c r="M18" s="8"/>
    </row>
    <row r="19" spans="1:13" ht="15.75" hidden="1" customHeight="1">
      <c r="A19" s="30"/>
      <c r="B19" s="76" t="s">
        <v>99</v>
      </c>
      <c r="C19" s="65" t="s">
        <v>100</v>
      </c>
      <c r="D19" s="76" t="s">
        <v>101</v>
      </c>
      <c r="E19" s="77">
        <v>38.4</v>
      </c>
      <c r="F19" s="78">
        <f>SUM(E19/10)</f>
        <v>3.84</v>
      </c>
      <c r="G19" s="78">
        <v>170.16</v>
      </c>
      <c r="H19" s="79">
        <f t="shared" si="0"/>
        <v>0.65341439999999995</v>
      </c>
      <c r="I19" s="13">
        <f>F19/2*G19</f>
        <v>326.7072</v>
      </c>
      <c r="J19" s="23"/>
      <c r="K19" s="8"/>
      <c r="L19" s="8"/>
      <c r="M19" s="8"/>
    </row>
    <row r="20" spans="1:13" ht="15.75" customHeight="1">
      <c r="A20" s="30">
        <v>4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5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hidden="1" customHeight="1">
      <c r="A22" s="30"/>
      <c r="B22" s="76" t="s">
        <v>102</v>
      </c>
      <c r="C22" s="65" t="s">
        <v>52</v>
      </c>
      <c r="D22" s="76" t="s">
        <v>101</v>
      </c>
      <c r="E22" s="77">
        <v>822.72</v>
      </c>
      <c r="F22" s="78">
        <f>SUM(E22/100)</f>
        <v>8.2271999999999998</v>
      </c>
      <c r="G22" s="78">
        <v>269.26</v>
      </c>
      <c r="H22" s="79">
        <f t="shared" si="0"/>
        <v>2.2152558719999997</v>
      </c>
      <c r="I22" s="13">
        <f>F22*G22</f>
        <v>2215.2558719999997</v>
      </c>
      <c r="J22" s="23"/>
      <c r="K22" s="8"/>
      <c r="L22" s="8"/>
      <c r="M22" s="8"/>
    </row>
    <row r="23" spans="1:13" ht="15.75" hidden="1" customHeight="1">
      <c r="A23" s="30"/>
      <c r="B23" s="76" t="s">
        <v>103</v>
      </c>
      <c r="C23" s="65" t="s">
        <v>52</v>
      </c>
      <c r="D23" s="76" t="s">
        <v>101</v>
      </c>
      <c r="E23" s="80">
        <v>96.6</v>
      </c>
      <c r="F23" s="78">
        <f>SUM(E23/100)</f>
        <v>0.96599999999999997</v>
      </c>
      <c r="G23" s="78">
        <v>44.29</v>
      </c>
      <c r="H23" s="79">
        <f t="shared" si="0"/>
        <v>4.2784139999999998E-2</v>
      </c>
      <c r="I23" s="13">
        <f>F23*G23</f>
        <v>42.784140000000001</v>
      </c>
      <c r="J23" s="23"/>
      <c r="K23" s="8"/>
      <c r="L23" s="8"/>
      <c r="M23" s="8"/>
    </row>
    <row r="24" spans="1:13" ht="15.75" hidden="1" customHeight="1">
      <c r="A24" s="30">
        <v>6</v>
      </c>
      <c r="B24" s="76" t="s">
        <v>95</v>
      </c>
      <c r="C24" s="65" t="s">
        <v>52</v>
      </c>
      <c r="D24" s="76" t="s">
        <v>30</v>
      </c>
      <c r="E24" s="81">
        <v>32</v>
      </c>
      <c r="F24" s="78">
        <f>32*12/1000</f>
        <v>0.38400000000000001</v>
      </c>
      <c r="G24" s="78">
        <v>389.42</v>
      </c>
      <c r="H24" s="79">
        <f>G24*F24/100</f>
        <v>1.4953728000000002</v>
      </c>
      <c r="I24" s="13">
        <f>F24/12*G24</f>
        <v>12.461440000000001</v>
      </c>
      <c r="J24" s="23"/>
      <c r="K24" s="8"/>
      <c r="L24" s="8"/>
      <c r="M24" s="8"/>
    </row>
    <row r="25" spans="1:13" ht="15.75" hidden="1" customHeight="1">
      <c r="A25" s="45">
        <v>6</v>
      </c>
      <c r="B25" s="76" t="s">
        <v>122</v>
      </c>
      <c r="C25" s="65" t="s">
        <v>52</v>
      </c>
      <c r="D25" s="76" t="s">
        <v>53</v>
      </c>
      <c r="E25" s="82">
        <v>38</v>
      </c>
      <c r="F25" s="78">
        <v>0.38</v>
      </c>
      <c r="G25" s="78">
        <v>216.12</v>
      </c>
      <c r="H25" s="79">
        <f>G25*F25/1000</f>
        <v>8.2125600000000007E-2</v>
      </c>
      <c r="I25" s="13">
        <f>F25*G25</f>
        <v>82.125600000000006</v>
      </c>
      <c r="J25" s="23"/>
      <c r="K25" s="8"/>
      <c r="L25" s="8"/>
      <c r="M25" s="8"/>
    </row>
    <row r="26" spans="1:13" ht="15.75" hidden="1" customHeight="1">
      <c r="A26" s="45">
        <v>7</v>
      </c>
      <c r="B26" s="76" t="s">
        <v>96</v>
      </c>
      <c r="C26" s="65" t="s">
        <v>52</v>
      </c>
      <c r="D26" s="76" t="s">
        <v>123</v>
      </c>
      <c r="E26" s="77">
        <v>17</v>
      </c>
      <c r="F26" s="78">
        <f>SUM(E26*12/100)</f>
        <v>2.04</v>
      </c>
      <c r="G26" s="78">
        <v>520.79999999999995</v>
      </c>
      <c r="H26" s="79">
        <f t="shared" si="0"/>
        <v>1.062432</v>
      </c>
      <c r="I26" s="13">
        <f>F26/12*G26</f>
        <v>88.536000000000001</v>
      </c>
      <c r="J26" s="23"/>
      <c r="K26" s="8"/>
      <c r="L26" s="8"/>
      <c r="M26" s="8"/>
    </row>
    <row r="27" spans="1:13" ht="15.75" customHeight="1">
      <c r="A27" s="45">
        <v>6</v>
      </c>
      <c r="B27" s="34" t="s">
        <v>174</v>
      </c>
      <c r="C27" s="44" t="s">
        <v>33</v>
      </c>
      <c r="D27" s="34" t="s">
        <v>182</v>
      </c>
      <c r="E27" s="125">
        <v>0.2</v>
      </c>
      <c r="F27" s="33">
        <f>E27*258</f>
        <v>51.6</v>
      </c>
      <c r="G27" s="33">
        <v>289.5</v>
      </c>
      <c r="H27" s="79">
        <f t="shared" si="0"/>
        <v>14.9382</v>
      </c>
      <c r="I27" s="13">
        <f>F27/12*G27</f>
        <v>1244.8499999999999</v>
      </c>
      <c r="J27" s="23"/>
      <c r="K27" s="8"/>
      <c r="L27" s="8"/>
      <c r="M27" s="8"/>
    </row>
    <row r="28" spans="1:13" ht="15.75" hidden="1" customHeight="1">
      <c r="A28" s="45">
        <v>9</v>
      </c>
      <c r="B28" s="83" t="s">
        <v>23</v>
      </c>
      <c r="C28" s="65" t="s">
        <v>24</v>
      </c>
      <c r="D28" s="83"/>
      <c r="E28" s="77">
        <v>5926.8</v>
      </c>
      <c r="F28" s="78">
        <f>SUM(E28*12)</f>
        <v>71121.600000000006</v>
      </c>
      <c r="G28" s="78">
        <v>4.53</v>
      </c>
      <c r="H28" s="79">
        <f t="shared" ref="H28" si="1">SUM(F28*G28/1000)</f>
        <v>322.18084800000008</v>
      </c>
      <c r="I28" s="13">
        <f>F28/12*G28</f>
        <v>26848.404000000002</v>
      </c>
      <c r="J28" s="23"/>
      <c r="K28" s="8"/>
      <c r="L28" s="8"/>
      <c r="M28" s="8"/>
    </row>
    <row r="29" spans="1:13" ht="15.75" customHeight="1">
      <c r="A29" s="184" t="s">
        <v>81</v>
      </c>
      <c r="B29" s="184"/>
      <c r="C29" s="184"/>
      <c r="D29" s="184"/>
      <c r="E29" s="184"/>
      <c r="F29" s="184"/>
      <c r="G29" s="184"/>
      <c r="H29" s="184"/>
      <c r="I29" s="184"/>
      <c r="J29" s="23"/>
      <c r="K29" s="8"/>
      <c r="L29" s="8"/>
      <c r="M29" s="8"/>
    </row>
    <row r="30" spans="1:13" ht="15.75" hidden="1" customHeight="1">
      <c r="A30" s="45"/>
      <c r="B30" s="55" t="s">
        <v>28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2</v>
      </c>
      <c r="B31" s="76" t="s">
        <v>104</v>
      </c>
      <c r="C31" s="65" t="s">
        <v>105</v>
      </c>
      <c r="D31" s="76" t="s">
        <v>125</v>
      </c>
      <c r="E31" s="78">
        <v>2732.4</v>
      </c>
      <c r="F31" s="78">
        <f>SUM(E31*26/1000)</f>
        <v>71.042400000000015</v>
      </c>
      <c r="G31" s="78">
        <v>155.88999999999999</v>
      </c>
      <c r="H31" s="79">
        <f t="shared" ref="H31:H33" si="2">SUM(F31*G31/1000)</f>
        <v>11.074799736000001</v>
      </c>
      <c r="I31" s="13">
        <v>0</v>
      </c>
      <c r="J31" s="23"/>
      <c r="K31" s="8"/>
      <c r="L31" s="8"/>
      <c r="M31" s="8"/>
    </row>
    <row r="32" spans="1:13" ht="31.5" hidden="1" customHeight="1">
      <c r="A32" s="45">
        <v>3</v>
      </c>
      <c r="B32" s="76" t="s">
        <v>126</v>
      </c>
      <c r="C32" s="65" t="s">
        <v>105</v>
      </c>
      <c r="D32" s="76" t="s">
        <v>106</v>
      </c>
      <c r="E32" s="78">
        <v>547.85</v>
      </c>
      <c r="F32" s="78">
        <f>SUM(E32*78/1000)</f>
        <v>42.732300000000002</v>
      </c>
      <c r="G32" s="78">
        <v>258.63</v>
      </c>
      <c r="H32" s="79">
        <f t="shared" si="2"/>
        <v>11.051854749</v>
      </c>
      <c r="I32" s="13">
        <v>0</v>
      </c>
      <c r="J32" s="23"/>
      <c r="K32" s="8"/>
      <c r="L32" s="8"/>
      <c r="M32" s="8"/>
    </row>
    <row r="33" spans="1:14" ht="15.75" hidden="1" customHeight="1">
      <c r="A33" s="45">
        <v>4</v>
      </c>
      <c r="B33" s="76" t="s">
        <v>27</v>
      </c>
      <c r="C33" s="65" t="s">
        <v>105</v>
      </c>
      <c r="D33" s="76" t="s">
        <v>53</v>
      </c>
      <c r="E33" s="78">
        <v>2732.4</v>
      </c>
      <c r="F33" s="78">
        <f>SUM(E33/1000)</f>
        <v>2.7324000000000002</v>
      </c>
      <c r="G33" s="78">
        <v>3020.33</v>
      </c>
      <c r="H33" s="79">
        <f t="shared" si="2"/>
        <v>8.2527496920000001</v>
      </c>
      <c r="I33" s="13">
        <v>0</v>
      </c>
      <c r="J33" s="23"/>
      <c r="K33" s="8"/>
      <c r="L33" s="8"/>
      <c r="M33" s="8"/>
    </row>
    <row r="34" spans="1:14" ht="15.75" hidden="1" customHeight="1">
      <c r="A34" s="45"/>
      <c r="B34" s="76" t="s">
        <v>124</v>
      </c>
      <c r="C34" s="65" t="s">
        <v>39</v>
      </c>
      <c r="D34" s="76" t="s">
        <v>62</v>
      </c>
      <c r="E34" s="78">
        <v>8</v>
      </c>
      <c r="F34" s="78">
        <v>12.4</v>
      </c>
      <c r="G34" s="78">
        <v>1302.02</v>
      </c>
      <c r="H34" s="79">
        <v>16.145</v>
      </c>
      <c r="I34" s="13">
        <v>0</v>
      </c>
      <c r="J34" s="23"/>
      <c r="K34" s="8"/>
      <c r="L34" s="8"/>
      <c r="M34" s="8"/>
    </row>
    <row r="35" spans="1:14" ht="15.75" hidden="1" customHeight="1">
      <c r="A35" s="45">
        <v>5</v>
      </c>
      <c r="B35" s="76" t="s">
        <v>139</v>
      </c>
      <c r="C35" s="65" t="s">
        <v>31</v>
      </c>
      <c r="D35" s="76" t="s">
        <v>62</v>
      </c>
      <c r="E35" s="84">
        <v>1</v>
      </c>
      <c r="F35" s="78">
        <v>155</v>
      </c>
      <c r="G35" s="78">
        <v>56.69</v>
      </c>
      <c r="H35" s="79">
        <f>SUM(G35*155/1000)</f>
        <v>8.7869499999999992</v>
      </c>
      <c r="I35" s="13">
        <v>0</v>
      </c>
      <c r="J35" s="23"/>
      <c r="K35" s="8"/>
      <c r="L35" s="8"/>
      <c r="M35" s="8"/>
    </row>
    <row r="36" spans="1:14" ht="15.75" hidden="1" customHeight="1">
      <c r="A36" s="45">
        <v>4</v>
      </c>
      <c r="B36" s="76" t="s">
        <v>63</v>
      </c>
      <c r="C36" s="65" t="s">
        <v>33</v>
      </c>
      <c r="D36" s="76" t="s">
        <v>65</v>
      </c>
      <c r="E36" s="77"/>
      <c r="F36" s="78">
        <v>2</v>
      </c>
      <c r="G36" s="78">
        <v>191.32</v>
      </c>
      <c r="H36" s="79">
        <f t="shared" ref="H36:H37" si="3">SUM(F36*G36/1000)</f>
        <v>0.38263999999999998</v>
      </c>
      <c r="I36" s="13">
        <v>0</v>
      </c>
      <c r="J36" s="23"/>
      <c r="K36" s="8"/>
    </row>
    <row r="37" spans="1:14" ht="15.75" hidden="1" customHeight="1">
      <c r="A37" s="30">
        <v>8</v>
      </c>
      <c r="B37" s="76" t="s">
        <v>64</v>
      </c>
      <c r="C37" s="65" t="s">
        <v>32</v>
      </c>
      <c r="D37" s="76" t="s">
        <v>65</v>
      </c>
      <c r="E37" s="77"/>
      <c r="F37" s="78">
        <v>3</v>
      </c>
      <c r="G37" s="78">
        <v>1136.32</v>
      </c>
      <c r="H37" s="79">
        <f t="shared" si="3"/>
        <v>3.40896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" customHeight="1">
      <c r="A39" s="35">
        <v>7</v>
      </c>
      <c r="B39" s="76" t="s">
        <v>26</v>
      </c>
      <c r="C39" s="65" t="s">
        <v>32</v>
      </c>
      <c r="D39" s="76"/>
      <c r="E39" s="77"/>
      <c r="F39" s="78">
        <v>15</v>
      </c>
      <c r="G39" s="33">
        <v>1855</v>
      </c>
      <c r="H39" s="79">
        <f>SUM(F39*G39/1000)</f>
        <v>27.824999999999999</v>
      </c>
      <c r="I39" s="13">
        <f>G39*1</f>
        <v>1855</v>
      </c>
      <c r="J39" s="24"/>
    </row>
    <row r="40" spans="1:14" ht="15.75" customHeight="1">
      <c r="A40" s="35">
        <v>8</v>
      </c>
      <c r="B40" s="152" t="s">
        <v>66</v>
      </c>
      <c r="C40" s="153" t="s">
        <v>29</v>
      </c>
      <c r="D40" s="152" t="s">
        <v>205</v>
      </c>
      <c r="E40" s="155">
        <v>214.34</v>
      </c>
      <c r="F40" s="155">
        <f>SUM(E40*30/1000)</f>
        <v>6.4302000000000001</v>
      </c>
      <c r="G40" s="155">
        <v>3014.36</v>
      </c>
      <c r="H40" s="79">
        <f t="shared" ref="H40:H43" si="4">SUM(F40*G40/1000)</f>
        <v>19.382937672000001</v>
      </c>
      <c r="I40" s="13">
        <f t="shared" ref="I40:I41" si="5">F40/6*G40</f>
        <v>3230.4896120000003</v>
      </c>
      <c r="J40" s="24"/>
    </row>
    <row r="41" spans="1:14" ht="15.75" customHeight="1">
      <c r="A41" s="35">
        <v>9</v>
      </c>
      <c r="B41" s="34" t="s">
        <v>67</v>
      </c>
      <c r="C41" s="44" t="s">
        <v>29</v>
      </c>
      <c r="D41" s="34" t="s">
        <v>181</v>
      </c>
      <c r="E41" s="33">
        <v>214.34</v>
      </c>
      <c r="F41" s="155">
        <f>SUM(E41*155/1000)</f>
        <v>33.222699999999996</v>
      </c>
      <c r="G41" s="33">
        <v>502.82</v>
      </c>
      <c r="H41" s="79">
        <f t="shared" si="4"/>
        <v>16.705038013999999</v>
      </c>
      <c r="I41" s="13">
        <f t="shared" si="5"/>
        <v>2784.173002333333</v>
      </c>
      <c r="J41" s="24"/>
    </row>
    <row r="42" spans="1:14" ht="31.5" customHeight="1">
      <c r="A42" s="35">
        <v>10</v>
      </c>
      <c r="B42" s="34" t="s">
        <v>79</v>
      </c>
      <c r="C42" s="44" t="s">
        <v>105</v>
      </c>
      <c r="D42" s="34" t="s">
        <v>205</v>
      </c>
      <c r="E42" s="33">
        <v>86.04</v>
      </c>
      <c r="F42" s="155">
        <f>SUM(E42*30/1000)</f>
        <v>2.5812000000000004</v>
      </c>
      <c r="G42" s="33">
        <v>8319.2999999999993</v>
      </c>
      <c r="H42" s="79">
        <f t="shared" si="4"/>
        <v>21.473777160000001</v>
      </c>
      <c r="I42" s="13">
        <f>F42/6*G42</f>
        <v>3578.9628600000005</v>
      </c>
      <c r="J42" s="24"/>
    </row>
    <row r="43" spans="1:14" ht="15.75" hidden="1" customHeight="1">
      <c r="A43" s="35">
        <v>11</v>
      </c>
      <c r="B43" s="34" t="s">
        <v>110</v>
      </c>
      <c r="C43" s="44" t="s">
        <v>105</v>
      </c>
      <c r="D43" s="34" t="s">
        <v>205</v>
      </c>
      <c r="E43" s="33">
        <v>214.34</v>
      </c>
      <c r="F43" s="155">
        <f>SUM(E43*30/1000)</f>
        <v>6.4302000000000001</v>
      </c>
      <c r="G43" s="33">
        <v>614.55999999999995</v>
      </c>
      <c r="H43" s="79">
        <f t="shared" si="4"/>
        <v>3.9517437119999999</v>
      </c>
      <c r="I43" s="13">
        <f>F43/7.5*G43</f>
        <v>526.89916159999996</v>
      </c>
      <c r="J43" s="24"/>
    </row>
    <row r="44" spans="1:14" ht="15.75" hidden="1" customHeight="1">
      <c r="A44" s="35">
        <v>12</v>
      </c>
      <c r="B44" s="152" t="s">
        <v>69</v>
      </c>
      <c r="C44" s="153" t="s">
        <v>33</v>
      </c>
      <c r="D44" s="152"/>
      <c r="E44" s="154"/>
      <c r="F44" s="155">
        <v>0.9</v>
      </c>
      <c r="G44" s="155">
        <v>800</v>
      </c>
      <c r="H44" s="150"/>
      <c r="I44" s="151">
        <f>G44*F44/7.5</f>
        <v>96</v>
      </c>
      <c r="J44" s="24"/>
      <c r="L44" s="20"/>
      <c r="M44" s="21"/>
      <c r="N44" s="22"/>
    </row>
    <row r="45" spans="1:14" ht="33" customHeight="1">
      <c r="A45" s="149">
        <v>11</v>
      </c>
      <c r="B45" s="152" t="s">
        <v>204</v>
      </c>
      <c r="C45" s="153" t="s">
        <v>105</v>
      </c>
      <c r="D45" s="152" t="s">
        <v>177</v>
      </c>
      <c r="E45" s="154">
        <v>1.2</v>
      </c>
      <c r="F45" s="155">
        <f>E45*12/1000</f>
        <v>1.4399999999999998E-2</v>
      </c>
      <c r="G45" s="155">
        <v>19757.060000000001</v>
      </c>
      <c r="H45" s="150"/>
      <c r="I45" s="151">
        <f>G45*F45/6</f>
        <v>47.416944000000001</v>
      </c>
      <c r="J45" s="24"/>
      <c r="L45" s="20"/>
      <c r="M45" s="21"/>
      <c r="N45" s="22"/>
    </row>
    <row r="46" spans="1:14" ht="15.75" customHeight="1">
      <c r="A46" s="185" t="s">
        <v>136</v>
      </c>
      <c r="B46" s="186"/>
      <c r="C46" s="186"/>
      <c r="D46" s="186"/>
      <c r="E46" s="186"/>
      <c r="F46" s="186"/>
      <c r="G46" s="186"/>
      <c r="H46" s="186"/>
      <c r="I46" s="187"/>
      <c r="J46" s="24"/>
      <c r="L46" s="20"/>
      <c r="M46" s="21"/>
      <c r="N46" s="22"/>
    </row>
    <row r="47" spans="1:14" ht="15.75" hidden="1" customHeight="1">
      <c r="A47" s="45">
        <v>15</v>
      </c>
      <c r="B47" s="76" t="s">
        <v>111</v>
      </c>
      <c r="C47" s="65" t="s">
        <v>105</v>
      </c>
      <c r="D47" s="76" t="s">
        <v>41</v>
      </c>
      <c r="E47" s="77">
        <v>1640.4</v>
      </c>
      <c r="F47" s="78">
        <f>SUM(E47*2/1000)</f>
        <v>3.2808000000000002</v>
      </c>
      <c r="G47" s="13">
        <v>849.49</v>
      </c>
      <c r="H47" s="79">
        <f t="shared" ref="H47:H55" si="6">SUM(F47*G47/1000)</f>
        <v>2.7870067920000001</v>
      </c>
      <c r="I47" s="13">
        <v>0</v>
      </c>
      <c r="J47" s="24"/>
      <c r="L47" s="20"/>
      <c r="M47" s="21"/>
      <c r="N47" s="22"/>
    </row>
    <row r="48" spans="1:14" ht="15.75" hidden="1" customHeight="1">
      <c r="A48" s="45"/>
      <c r="B48" s="76" t="s">
        <v>34</v>
      </c>
      <c r="C48" s="65" t="s">
        <v>105</v>
      </c>
      <c r="D48" s="76" t="s">
        <v>41</v>
      </c>
      <c r="E48" s="77">
        <v>918.25</v>
      </c>
      <c r="F48" s="78">
        <f>SUM(E48*2/1000)</f>
        <v>1.8365</v>
      </c>
      <c r="G48" s="13">
        <v>579.48</v>
      </c>
      <c r="H48" s="79">
        <f t="shared" si="6"/>
        <v>1.06421502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16</v>
      </c>
      <c r="B49" s="76" t="s">
        <v>35</v>
      </c>
      <c r="C49" s="65" t="s">
        <v>105</v>
      </c>
      <c r="D49" s="76" t="s">
        <v>41</v>
      </c>
      <c r="E49" s="77">
        <v>5592.26</v>
      </c>
      <c r="F49" s="78">
        <f>SUM(E49*2/1000)</f>
        <v>11.184520000000001</v>
      </c>
      <c r="G49" s="13">
        <v>579.48</v>
      </c>
      <c r="H49" s="79">
        <f t="shared" si="6"/>
        <v>6.4812056496000006</v>
      </c>
      <c r="I49" s="13">
        <v>0</v>
      </c>
      <c r="J49" s="24"/>
      <c r="L49" s="20"/>
      <c r="M49" s="21"/>
      <c r="N49" s="22"/>
    </row>
    <row r="50" spans="1:14" ht="15.75" hidden="1" customHeight="1">
      <c r="A50" s="45">
        <v>17</v>
      </c>
      <c r="B50" s="76" t="s">
        <v>36</v>
      </c>
      <c r="C50" s="65" t="s">
        <v>105</v>
      </c>
      <c r="D50" s="76" t="s">
        <v>41</v>
      </c>
      <c r="E50" s="77">
        <v>2817.65</v>
      </c>
      <c r="F50" s="78">
        <f>SUM(E50*2/1000)</f>
        <v>5.6353</v>
      </c>
      <c r="G50" s="13">
        <v>606.77</v>
      </c>
      <c r="H50" s="79">
        <f t="shared" si="6"/>
        <v>3.4193309809999999</v>
      </c>
      <c r="I50" s="13">
        <v>0</v>
      </c>
      <c r="J50" s="24"/>
      <c r="L50" s="20"/>
      <c r="M50" s="21"/>
      <c r="N50" s="22"/>
    </row>
    <row r="51" spans="1:14" ht="15.75" customHeight="1">
      <c r="A51" s="45">
        <v>12</v>
      </c>
      <c r="B51" s="76" t="s">
        <v>55</v>
      </c>
      <c r="C51" s="65" t="s">
        <v>105</v>
      </c>
      <c r="D51" s="76" t="s">
        <v>178</v>
      </c>
      <c r="E51" s="77">
        <v>3280.8</v>
      </c>
      <c r="F51" s="78">
        <f>SUM(E51*5/1000)</f>
        <v>16.404</v>
      </c>
      <c r="G51" s="120">
        <v>1739.68</v>
      </c>
      <c r="H51" s="79">
        <f t="shared" ref="H51" si="7">SUM(F51*G51/1000)</f>
        <v>28.53771072</v>
      </c>
      <c r="I51" s="13">
        <f>F51/5*G51</f>
        <v>5707.5421440000009</v>
      </c>
      <c r="J51" s="24"/>
      <c r="L51" s="20"/>
      <c r="M51" s="21"/>
      <c r="N51" s="22"/>
    </row>
    <row r="52" spans="1:14" ht="31.5" hidden="1" customHeight="1">
      <c r="A52" s="45">
        <v>13</v>
      </c>
      <c r="B52" s="76" t="s">
        <v>112</v>
      </c>
      <c r="C52" s="65" t="s">
        <v>105</v>
      </c>
      <c r="D52" s="76" t="s">
        <v>41</v>
      </c>
      <c r="E52" s="77">
        <v>3280.8</v>
      </c>
      <c r="F52" s="78">
        <f>SUM(E52*2/1000)</f>
        <v>6.5616000000000003</v>
      </c>
      <c r="G52" s="13">
        <v>1213.55</v>
      </c>
      <c r="H52" s="79">
        <f t="shared" si="6"/>
        <v>7.9628296799999996</v>
      </c>
      <c r="I52" s="13">
        <v>0</v>
      </c>
      <c r="J52" s="24"/>
      <c r="L52" s="20"/>
      <c r="M52" s="21"/>
      <c r="N52" s="22"/>
    </row>
    <row r="53" spans="1:14" ht="31.5" hidden="1" customHeight="1">
      <c r="A53" s="45">
        <v>14</v>
      </c>
      <c r="B53" s="76" t="s">
        <v>128</v>
      </c>
      <c r="C53" s="65" t="s">
        <v>37</v>
      </c>
      <c r="D53" s="76" t="s">
        <v>41</v>
      </c>
      <c r="E53" s="77">
        <v>40</v>
      </c>
      <c r="F53" s="78">
        <f>SUM(E53*2/100)</f>
        <v>0.8</v>
      </c>
      <c r="G53" s="13">
        <v>2730.49</v>
      </c>
      <c r="H53" s="79">
        <f t="shared" si="6"/>
        <v>2.1843919999999999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15</v>
      </c>
      <c r="B54" s="76" t="s">
        <v>38</v>
      </c>
      <c r="C54" s="65" t="s">
        <v>39</v>
      </c>
      <c r="D54" s="76" t="s">
        <v>41</v>
      </c>
      <c r="E54" s="77">
        <v>1</v>
      </c>
      <c r="F54" s="78">
        <v>0.02</v>
      </c>
      <c r="G54" s="13">
        <v>5652.13</v>
      </c>
      <c r="H54" s="79">
        <f t="shared" si="6"/>
        <v>0.11304260000000001</v>
      </c>
      <c r="I54" s="13">
        <v>0</v>
      </c>
      <c r="J54" s="24"/>
      <c r="L54" s="20"/>
      <c r="M54" s="21"/>
      <c r="N54" s="22"/>
    </row>
    <row r="55" spans="1:14" ht="15.75" hidden="1" customHeight="1">
      <c r="A55" s="45">
        <v>15</v>
      </c>
      <c r="B55" s="76" t="s">
        <v>40</v>
      </c>
      <c r="C55" s="65" t="s">
        <v>113</v>
      </c>
      <c r="D55" s="126">
        <v>43476</v>
      </c>
      <c r="E55" s="77">
        <v>238</v>
      </c>
      <c r="F55" s="78">
        <f>SUM(E55)*3</f>
        <v>714</v>
      </c>
      <c r="G55" s="13">
        <v>65.67</v>
      </c>
      <c r="H55" s="79">
        <f t="shared" si="6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85" t="s">
        <v>137</v>
      </c>
      <c r="B56" s="186"/>
      <c r="C56" s="186"/>
      <c r="D56" s="186"/>
      <c r="E56" s="186"/>
      <c r="F56" s="186"/>
      <c r="G56" s="186"/>
      <c r="H56" s="186"/>
      <c r="I56" s="187"/>
      <c r="J56" s="24"/>
      <c r="L56" s="20"/>
      <c r="M56" s="21"/>
      <c r="N56" s="22"/>
    </row>
    <row r="57" spans="1:14" ht="15.75" hidden="1" customHeight="1">
      <c r="A57" s="58"/>
      <c r="B57" s="52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15.75" hidden="1" customHeight="1">
      <c r="A58" s="45">
        <v>15</v>
      </c>
      <c r="B58" s="76" t="s">
        <v>130</v>
      </c>
      <c r="C58" s="65" t="s">
        <v>98</v>
      </c>
      <c r="D58" s="76" t="s">
        <v>53</v>
      </c>
      <c r="E58" s="85">
        <v>1640.4</v>
      </c>
      <c r="F58" s="13">
        <f>E58/100</f>
        <v>16.404</v>
      </c>
      <c r="G58" s="78">
        <v>472.59</v>
      </c>
      <c r="H58" s="79">
        <f>SUM(F58*G58/1000)</f>
        <v>7.7523663599999999</v>
      </c>
      <c r="I58" s="13">
        <v>0</v>
      </c>
      <c r="J58" s="24"/>
      <c r="L58" s="20"/>
      <c r="M58" s="21"/>
      <c r="N58" s="22"/>
    </row>
    <row r="59" spans="1:14" ht="31.5" hidden="1" customHeight="1">
      <c r="A59" s="45">
        <v>16</v>
      </c>
      <c r="B59" s="76" t="s">
        <v>131</v>
      </c>
      <c r="C59" s="65" t="s">
        <v>98</v>
      </c>
      <c r="D59" s="76" t="s">
        <v>165</v>
      </c>
      <c r="E59" s="77">
        <v>164.04</v>
      </c>
      <c r="F59" s="13">
        <f>E59*6/100</f>
        <v>9.8423999999999996</v>
      </c>
      <c r="G59" s="86">
        <v>1547.28</v>
      </c>
      <c r="H59" s="79">
        <f>F59*G59/1000</f>
        <v>15.228948671999998</v>
      </c>
      <c r="I59" s="13">
        <f>G59*1.283</f>
        <v>1985.1602399999999</v>
      </c>
      <c r="J59" s="24"/>
      <c r="L59" s="20"/>
      <c r="M59" s="21"/>
      <c r="N59" s="22"/>
    </row>
    <row r="60" spans="1:14" ht="15.75" hidden="1" customHeight="1">
      <c r="A60" s="45">
        <v>17</v>
      </c>
      <c r="B60" s="87" t="s">
        <v>89</v>
      </c>
      <c r="C60" s="88" t="s">
        <v>98</v>
      </c>
      <c r="D60" s="87" t="s">
        <v>178</v>
      </c>
      <c r="E60" s="89">
        <v>8</v>
      </c>
      <c r="F60" s="90">
        <f>E60*8/100</f>
        <v>0.64</v>
      </c>
      <c r="G60" s="86">
        <v>1547.28</v>
      </c>
      <c r="H60" s="91">
        <f>F60*G60/1000</f>
        <v>0.99025920000000001</v>
      </c>
      <c r="I60" s="13">
        <f>F60/6*G60</f>
        <v>165.04320000000001</v>
      </c>
      <c r="J60" s="24"/>
      <c r="L60" s="20"/>
      <c r="M60" s="21"/>
      <c r="N60" s="22"/>
    </row>
    <row r="61" spans="1:14" ht="15.75" hidden="1" customHeight="1">
      <c r="A61" s="45"/>
      <c r="B61" s="87" t="s">
        <v>93</v>
      </c>
      <c r="C61" s="88" t="s">
        <v>94</v>
      </c>
      <c r="D61" s="87" t="s">
        <v>41</v>
      </c>
      <c r="E61" s="89">
        <v>8</v>
      </c>
      <c r="F61" s="90">
        <v>16</v>
      </c>
      <c r="G61" s="92">
        <v>180.78</v>
      </c>
      <c r="H61" s="91">
        <f>F61*G61/1000</f>
        <v>2.8924799999999999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71" t="s">
        <v>43</v>
      </c>
      <c r="C62" s="71"/>
      <c r="D62" s="71"/>
      <c r="E62" s="71"/>
      <c r="F62" s="71"/>
      <c r="G62" s="71"/>
      <c r="H62" s="71"/>
      <c r="I62" s="37"/>
      <c r="J62" s="24"/>
      <c r="L62" s="20"/>
      <c r="M62" s="21"/>
      <c r="N62" s="22"/>
    </row>
    <row r="63" spans="1:14" ht="15.75" customHeight="1">
      <c r="A63" s="45">
        <v>13</v>
      </c>
      <c r="B63" s="62" t="s">
        <v>90</v>
      </c>
      <c r="C63" s="57" t="s">
        <v>25</v>
      </c>
      <c r="D63" s="62" t="s">
        <v>178</v>
      </c>
      <c r="E63" s="108">
        <v>200</v>
      </c>
      <c r="F63" s="109">
        <f>E63*12</f>
        <v>2400</v>
      </c>
      <c r="G63" s="64">
        <v>1.4</v>
      </c>
      <c r="H63" s="110">
        <f>G63*F63</f>
        <v>3360</v>
      </c>
      <c r="I63" s="13">
        <f>F63/12*G63</f>
        <v>280</v>
      </c>
      <c r="J63" s="24"/>
      <c r="L63" s="20"/>
      <c r="M63" s="21"/>
      <c r="N63" s="22"/>
    </row>
    <row r="64" spans="1:14" ht="15.75" hidden="1" customHeight="1">
      <c r="A64" s="45"/>
      <c r="B64" s="87" t="s">
        <v>44</v>
      </c>
      <c r="C64" s="88" t="s">
        <v>25</v>
      </c>
      <c r="D64" s="87" t="s">
        <v>53</v>
      </c>
      <c r="E64" s="89">
        <v>1640.4</v>
      </c>
      <c r="F64" s="90">
        <v>16.404</v>
      </c>
      <c r="G64" s="94">
        <v>739.61</v>
      </c>
      <c r="H64" s="91">
        <f>G64*F64/1000</f>
        <v>12.132562439999999</v>
      </c>
      <c r="I64" s="13">
        <v>0</v>
      </c>
      <c r="J64" s="24"/>
      <c r="L64" s="20"/>
      <c r="M64" s="21"/>
      <c r="N64" s="22"/>
    </row>
    <row r="65" spans="1:22" ht="15.75" customHeight="1">
      <c r="A65" s="45"/>
      <c r="B65" s="71" t="s">
        <v>45</v>
      </c>
      <c r="C65" s="17"/>
      <c r="D65" s="41"/>
      <c r="E65" s="41"/>
      <c r="F65" s="16"/>
      <c r="G65" s="30"/>
      <c r="H65" s="30"/>
      <c r="I65" s="19"/>
      <c r="J65" s="24"/>
      <c r="L65" s="20"/>
      <c r="M65" s="21"/>
      <c r="N65" s="22"/>
    </row>
    <row r="66" spans="1:22" ht="15.75" customHeight="1">
      <c r="A66" s="45">
        <v>14</v>
      </c>
      <c r="B66" s="15" t="s">
        <v>46</v>
      </c>
      <c r="C66" s="17" t="s">
        <v>113</v>
      </c>
      <c r="D66" s="15" t="s">
        <v>178</v>
      </c>
      <c r="E66" s="19">
        <v>40</v>
      </c>
      <c r="F66" s="78">
        <v>40</v>
      </c>
      <c r="G66" s="120">
        <v>318.82</v>
      </c>
      <c r="H66" s="73">
        <f t="shared" ref="H66:H73" si="8">SUM(F66*G66/1000)</f>
        <v>12.752799999999999</v>
      </c>
      <c r="I66" s="13">
        <f>G66*5</f>
        <v>1594.1</v>
      </c>
      <c r="J66" s="24"/>
      <c r="L66" s="20"/>
      <c r="M66" s="21"/>
      <c r="N66" s="22"/>
    </row>
    <row r="67" spans="1:22" ht="15.75" hidden="1" customHeight="1">
      <c r="A67" s="30">
        <v>29</v>
      </c>
      <c r="B67" s="15" t="s">
        <v>47</v>
      </c>
      <c r="C67" s="17" t="s">
        <v>113</v>
      </c>
      <c r="D67" s="15" t="s">
        <v>65</v>
      </c>
      <c r="E67" s="19">
        <v>15</v>
      </c>
      <c r="F67" s="78">
        <v>15</v>
      </c>
      <c r="G67" s="13">
        <v>76.25</v>
      </c>
      <c r="H67" s="73">
        <f t="shared" si="8"/>
        <v>1.14375</v>
      </c>
      <c r="I67" s="13">
        <v>0</v>
      </c>
      <c r="J67" s="24"/>
      <c r="L67" s="20"/>
      <c r="M67" s="21"/>
      <c r="N67" s="22"/>
    </row>
    <row r="68" spans="1:22" ht="15.75" hidden="1" customHeight="1">
      <c r="A68" s="30">
        <v>8</v>
      </c>
      <c r="B68" s="15" t="s">
        <v>48</v>
      </c>
      <c r="C68" s="17" t="s">
        <v>114</v>
      </c>
      <c r="D68" s="15" t="s">
        <v>53</v>
      </c>
      <c r="E68" s="77">
        <v>24648</v>
      </c>
      <c r="F68" s="13">
        <f>SUM(E68/100)</f>
        <v>246.48</v>
      </c>
      <c r="G68" s="13">
        <v>212.15</v>
      </c>
      <c r="H68" s="73">
        <f t="shared" si="8"/>
        <v>52.290731999999998</v>
      </c>
      <c r="I68" s="13">
        <v>0</v>
      </c>
      <c r="J68" s="24"/>
      <c r="L68" s="20"/>
      <c r="M68" s="21"/>
      <c r="N68" s="22"/>
    </row>
    <row r="69" spans="1:22" ht="15.75" hidden="1" customHeight="1">
      <c r="A69" s="30">
        <v>9</v>
      </c>
      <c r="B69" s="15" t="s">
        <v>49</v>
      </c>
      <c r="C69" s="17" t="s">
        <v>115</v>
      </c>
      <c r="D69" s="15"/>
      <c r="E69" s="77">
        <v>24648</v>
      </c>
      <c r="F69" s="13">
        <f>SUM(E69/1000)</f>
        <v>24.648</v>
      </c>
      <c r="G69" s="13">
        <v>165.21</v>
      </c>
      <c r="H69" s="73">
        <f t="shared" si="8"/>
        <v>4.0720960800000006</v>
      </c>
      <c r="I69" s="13">
        <v>0</v>
      </c>
      <c r="J69" s="24"/>
      <c r="L69" s="20"/>
      <c r="M69" s="21"/>
      <c r="N69" s="22"/>
    </row>
    <row r="70" spans="1:22" ht="15.75" hidden="1" customHeight="1">
      <c r="A70" s="30">
        <v>10</v>
      </c>
      <c r="B70" s="15" t="s">
        <v>50</v>
      </c>
      <c r="C70" s="17" t="s">
        <v>74</v>
      </c>
      <c r="D70" s="15" t="s">
        <v>53</v>
      </c>
      <c r="E70" s="77">
        <v>2730</v>
      </c>
      <c r="F70" s="13">
        <f>SUM(E70/100)</f>
        <v>27.3</v>
      </c>
      <c r="G70" s="13">
        <v>2074.63</v>
      </c>
      <c r="H70" s="73">
        <f t="shared" si="8"/>
        <v>56.637399000000002</v>
      </c>
      <c r="I70" s="13">
        <v>0</v>
      </c>
      <c r="J70" s="24"/>
      <c r="L70" s="20"/>
    </row>
    <row r="71" spans="1:22" ht="15.75" hidden="1" customHeight="1">
      <c r="A71" s="30">
        <v>11</v>
      </c>
      <c r="B71" s="95" t="s">
        <v>116</v>
      </c>
      <c r="C71" s="17" t="s">
        <v>33</v>
      </c>
      <c r="D71" s="15"/>
      <c r="E71" s="77">
        <v>20.28</v>
      </c>
      <c r="F71" s="13">
        <f>SUM(E71)</f>
        <v>20.28</v>
      </c>
      <c r="G71" s="13">
        <v>45.32</v>
      </c>
      <c r="H71" s="73">
        <f t="shared" si="8"/>
        <v>0.91908960000000006</v>
      </c>
      <c r="I71" s="13">
        <v>0</v>
      </c>
    </row>
    <row r="72" spans="1:22" ht="15.75" hidden="1" customHeight="1">
      <c r="A72" s="30">
        <v>12</v>
      </c>
      <c r="B72" s="95" t="s">
        <v>140</v>
      </c>
      <c r="C72" s="17" t="s">
        <v>33</v>
      </c>
      <c r="D72" s="15"/>
      <c r="E72" s="77">
        <v>20.28</v>
      </c>
      <c r="F72" s="13">
        <f>SUM(E72)</f>
        <v>20.28</v>
      </c>
      <c r="G72" s="13">
        <v>42.28</v>
      </c>
      <c r="H72" s="73">
        <f t="shared" si="8"/>
        <v>0.85743840000000016</v>
      </c>
      <c r="I72" s="13">
        <v>0</v>
      </c>
    </row>
    <row r="73" spans="1:22" ht="15.75" hidden="1" customHeight="1">
      <c r="A73" s="30">
        <v>13</v>
      </c>
      <c r="B73" s="15" t="s">
        <v>56</v>
      </c>
      <c r="C73" s="17" t="s">
        <v>57</v>
      </c>
      <c r="D73" s="15" t="s">
        <v>53</v>
      </c>
      <c r="E73" s="19">
        <v>12</v>
      </c>
      <c r="F73" s="78">
        <f>SUM(E73)</f>
        <v>12</v>
      </c>
      <c r="G73" s="13">
        <v>49.88</v>
      </c>
      <c r="H73" s="73">
        <f t="shared" si="8"/>
        <v>0.59856000000000009</v>
      </c>
      <c r="I73" s="13">
        <v>0</v>
      </c>
    </row>
    <row r="74" spans="1:22" ht="15.75" customHeight="1">
      <c r="A74" s="30"/>
      <c r="B74" s="135" t="s">
        <v>188</v>
      </c>
      <c r="C74" s="42"/>
      <c r="D74" s="41"/>
      <c r="E74" s="18"/>
      <c r="F74" s="136"/>
      <c r="G74" s="38"/>
      <c r="H74" s="73"/>
      <c r="I74" s="13"/>
    </row>
    <row r="75" spans="1:22" ht="34.5" customHeight="1">
      <c r="A75" s="30">
        <v>15</v>
      </c>
      <c r="B75" s="41" t="s">
        <v>189</v>
      </c>
      <c r="C75" s="45" t="s">
        <v>190</v>
      </c>
      <c r="D75" s="41"/>
      <c r="E75" s="18">
        <v>5926.8</v>
      </c>
      <c r="F75" s="38">
        <f>E75*12</f>
        <v>71121.600000000006</v>
      </c>
      <c r="G75" s="38">
        <v>2.4900000000000002</v>
      </c>
      <c r="H75" s="13"/>
      <c r="I75" s="13">
        <f>G75*F75/12</f>
        <v>14757.732000000004</v>
      </c>
    </row>
    <row r="76" spans="1:22" ht="15.75" hidden="1" customHeight="1">
      <c r="A76" s="58"/>
      <c r="B76" s="71" t="s">
        <v>117</v>
      </c>
      <c r="C76" s="71"/>
      <c r="D76" s="71"/>
      <c r="E76" s="71"/>
      <c r="F76" s="71"/>
      <c r="G76" s="71"/>
      <c r="H76" s="71"/>
      <c r="I76" s="1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9"/>
    </row>
    <row r="77" spans="1:22" ht="15.75" hidden="1" customHeight="1">
      <c r="A77" s="30">
        <v>36</v>
      </c>
      <c r="B77" s="76" t="s">
        <v>118</v>
      </c>
      <c r="C77" s="17"/>
      <c r="D77" s="15"/>
      <c r="E77" s="74"/>
      <c r="F77" s="13">
        <v>1</v>
      </c>
      <c r="G77" s="13">
        <v>27356</v>
      </c>
      <c r="H77" s="73">
        <f>G77*F77/1000</f>
        <v>27.356000000000002</v>
      </c>
      <c r="I77" s="13">
        <v>0</v>
      </c>
      <c r="J77" s="26"/>
      <c r="K77" s="26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2" ht="15.75" customHeight="1">
      <c r="A78" s="30"/>
      <c r="B78" s="53" t="s">
        <v>71</v>
      </c>
      <c r="C78" s="53"/>
      <c r="D78" s="53"/>
      <c r="E78" s="53"/>
      <c r="F78" s="19"/>
      <c r="G78" s="30"/>
      <c r="H78" s="30"/>
      <c r="I78" s="19"/>
      <c r="J78" s="3"/>
      <c r="K78" s="3"/>
      <c r="L78" s="3"/>
      <c r="M78" s="3"/>
      <c r="N78" s="3"/>
      <c r="O78" s="3"/>
      <c r="P78" s="3"/>
      <c r="Q78" s="3"/>
      <c r="S78" s="3"/>
      <c r="T78" s="3"/>
      <c r="U78" s="3"/>
    </row>
    <row r="79" spans="1:22" ht="15.75" hidden="1" customHeight="1">
      <c r="A79" s="30"/>
      <c r="B79" s="15" t="s">
        <v>83</v>
      </c>
      <c r="C79" s="17" t="s">
        <v>31</v>
      </c>
      <c r="D79" s="15"/>
      <c r="E79" s="19">
        <v>2</v>
      </c>
      <c r="F79" s="78">
        <f>SUM(E79)</f>
        <v>2</v>
      </c>
      <c r="G79" s="13">
        <v>358.51</v>
      </c>
      <c r="H79" s="73">
        <f>SUM(F79*G79/1000)</f>
        <v>0.71701999999999999</v>
      </c>
      <c r="I79" s="13">
        <v>0</v>
      </c>
      <c r="J79" s="5"/>
      <c r="K79" s="5"/>
      <c r="L79" s="5"/>
      <c r="M79" s="5"/>
      <c r="N79" s="5"/>
      <c r="O79" s="5"/>
      <c r="P79" s="5"/>
      <c r="Q79" s="5"/>
      <c r="R79" s="178"/>
      <c r="S79" s="178"/>
      <c r="T79" s="178"/>
      <c r="U79" s="178"/>
    </row>
    <row r="80" spans="1:22" ht="15.75" hidden="1" customHeight="1">
      <c r="A80" s="30"/>
      <c r="B80" s="15" t="s">
        <v>72</v>
      </c>
      <c r="C80" s="17" t="s">
        <v>31</v>
      </c>
      <c r="D80" s="15"/>
      <c r="E80" s="19">
        <v>1</v>
      </c>
      <c r="F80" s="13">
        <v>1</v>
      </c>
      <c r="G80" s="13">
        <v>852.99</v>
      </c>
      <c r="H80" s="73">
        <f>F80*G80/1000</f>
        <v>0.85299000000000003</v>
      </c>
      <c r="I80" s="13">
        <v>0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 ht="33.75" customHeight="1">
      <c r="A81" s="30">
        <v>16</v>
      </c>
      <c r="B81" s="41" t="s">
        <v>191</v>
      </c>
      <c r="C81" s="42" t="s">
        <v>113</v>
      </c>
      <c r="D81" s="41" t="s">
        <v>179</v>
      </c>
      <c r="E81" s="18">
        <v>2</v>
      </c>
      <c r="F81" s="38">
        <f>E81*12</f>
        <v>24</v>
      </c>
      <c r="G81" s="38">
        <v>404</v>
      </c>
      <c r="H81" s="73"/>
      <c r="I81" s="13">
        <f>G81*F81/12</f>
        <v>808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customHeight="1">
      <c r="A82" s="30">
        <v>17</v>
      </c>
      <c r="B82" s="41" t="s">
        <v>192</v>
      </c>
      <c r="C82" s="42" t="s">
        <v>113</v>
      </c>
      <c r="D82" s="41" t="s">
        <v>179</v>
      </c>
      <c r="E82" s="18">
        <v>1</v>
      </c>
      <c r="F82" s="38">
        <f>E82*12</f>
        <v>12</v>
      </c>
      <c r="G82" s="38">
        <v>1759</v>
      </c>
      <c r="H82" s="73"/>
      <c r="I82" s="13">
        <f>G82*F82/12</f>
        <v>1759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5.75" hidden="1" customHeight="1">
      <c r="A83" s="30"/>
      <c r="B83" s="54" t="s">
        <v>73</v>
      </c>
      <c r="C83" s="42"/>
      <c r="D83" s="30"/>
      <c r="E83" s="30"/>
      <c r="F83" s="19"/>
      <c r="G83" s="38" t="s">
        <v>134</v>
      </c>
      <c r="H83" s="38"/>
      <c r="I83" s="19"/>
    </row>
    <row r="84" spans="1:21" ht="15.75" hidden="1" customHeight="1">
      <c r="A84" s="30">
        <v>39</v>
      </c>
      <c r="B84" s="56" t="s">
        <v>119</v>
      </c>
      <c r="C84" s="17" t="s">
        <v>74</v>
      </c>
      <c r="D84" s="15"/>
      <c r="E84" s="19"/>
      <c r="F84" s="13">
        <v>1.35</v>
      </c>
      <c r="G84" s="13">
        <v>2759.44</v>
      </c>
      <c r="H84" s="73">
        <f>SUM(F84*G84/1000)</f>
        <v>3.725244</v>
      </c>
      <c r="I84" s="13">
        <v>0</v>
      </c>
    </row>
    <row r="85" spans="1:21" ht="15.75" customHeight="1">
      <c r="A85" s="169" t="s">
        <v>138</v>
      </c>
      <c r="B85" s="170"/>
      <c r="C85" s="170"/>
      <c r="D85" s="170"/>
      <c r="E85" s="170"/>
      <c r="F85" s="170"/>
      <c r="G85" s="170"/>
      <c r="H85" s="170"/>
      <c r="I85" s="171"/>
    </row>
    <row r="86" spans="1:21" ht="15.75" customHeight="1">
      <c r="A86" s="30">
        <v>18</v>
      </c>
      <c r="B86" s="41" t="s">
        <v>120</v>
      </c>
      <c r="C86" s="42" t="s">
        <v>54</v>
      </c>
      <c r="D86" s="146"/>
      <c r="E86" s="38">
        <v>5926.8</v>
      </c>
      <c r="F86" s="38">
        <f>SUM(E86*12)</f>
        <v>71121.600000000006</v>
      </c>
      <c r="G86" s="142">
        <v>3.38</v>
      </c>
      <c r="H86" s="13">
        <f>SUM(F86*G86/1000)</f>
        <v>240.391008</v>
      </c>
      <c r="I86" s="13">
        <f>F86/12*G86</f>
        <v>20032.583999999999</v>
      </c>
    </row>
    <row r="87" spans="1:21" ht="31.5" customHeight="1">
      <c r="A87" s="30">
        <v>19</v>
      </c>
      <c r="B87" s="143" t="s">
        <v>193</v>
      </c>
      <c r="C87" s="137"/>
      <c r="D87" s="144"/>
      <c r="E87" s="145">
        <f>E86</f>
        <v>5926.8</v>
      </c>
      <c r="F87" s="139">
        <f>E87*12</f>
        <v>71121.600000000006</v>
      </c>
      <c r="G87" s="139">
        <v>3.05</v>
      </c>
      <c r="H87" s="130">
        <f>F87*G87/1000</f>
        <v>216.92088000000001</v>
      </c>
      <c r="I87" s="131">
        <f>F87/12*G87</f>
        <v>18076.739999999998</v>
      </c>
    </row>
    <row r="88" spans="1:21" ht="15.75" customHeight="1">
      <c r="A88" s="58"/>
      <c r="B88" s="43" t="s">
        <v>76</v>
      </c>
      <c r="C88" s="45"/>
      <c r="D88" s="16"/>
      <c r="E88" s="16"/>
      <c r="F88" s="16"/>
      <c r="G88" s="19"/>
      <c r="H88" s="19"/>
      <c r="I88" s="32">
        <f>I87+I86+I82+I81+I75+I66+I63+I51+I45+I42+I41+I40+I39+I27+I21+I20+I18+I17+I16</f>
        <v>101003.64641033333</v>
      </c>
    </row>
    <row r="89" spans="1:21" ht="15.75" customHeight="1">
      <c r="A89" s="172" t="s">
        <v>59</v>
      </c>
      <c r="B89" s="173"/>
      <c r="C89" s="173"/>
      <c r="D89" s="173"/>
      <c r="E89" s="173"/>
      <c r="F89" s="173"/>
      <c r="G89" s="173"/>
      <c r="H89" s="173"/>
      <c r="I89" s="174"/>
    </row>
    <row r="90" spans="1:21" ht="32.25" customHeight="1">
      <c r="A90" s="30">
        <v>20</v>
      </c>
      <c r="B90" s="97" t="s">
        <v>84</v>
      </c>
      <c r="C90" s="98" t="s">
        <v>86</v>
      </c>
      <c r="D90" s="41" t="s">
        <v>224</v>
      </c>
      <c r="E90" s="38"/>
      <c r="F90" s="38">
        <v>1</v>
      </c>
      <c r="G90" s="38">
        <v>670.51</v>
      </c>
      <c r="H90" s="73">
        <f t="shared" ref="H90" si="9">G90*F90/1000</f>
        <v>0.67050999999999994</v>
      </c>
      <c r="I90" s="111">
        <f>G90*1</f>
        <v>670.51</v>
      </c>
    </row>
    <row r="91" spans="1:21" ht="32.25" customHeight="1">
      <c r="A91" s="30">
        <v>21</v>
      </c>
      <c r="B91" s="97" t="s">
        <v>215</v>
      </c>
      <c r="C91" s="98" t="s">
        <v>86</v>
      </c>
      <c r="D91" s="63"/>
      <c r="E91" s="38"/>
      <c r="F91" s="38">
        <v>5</v>
      </c>
      <c r="G91" s="38">
        <v>913.43</v>
      </c>
      <c r="H91" s="73">
        <f>G91*F91/1000</f>
        <v>4.5671499999999998</v>
      </c>
      <c r="I91" s="111">
        <f>G91*5</f>
        <v>4567.1499999999996</v>
      </c>
    </row>
    <row r="92" spans="1:21" ht="14.25" customHeight="1">
      <c r="A92" s="30">
        <v>22</v>
      </c>
      <c r="B92" s="97" t="s">
        <v>78</v>
      </c>
      <c r="C92" s="98" t="s">
        <v>113</v>
      </c>
      <c r="D92" s="63"/>
      <c r="E92" s="38"/>
      <c r="F92" s="38">
        <v>2</v>
      </c>
      <c r="G92" s="38">
        <v>215.85</v>
      </c>
      <c r="H92" s="73">
        <f t="shared" ref="H92:H100" si="10">G92*F92/1000</f>
        <v>0.43169999999999997</v>
      </c>
      <c r="I92" s="111">
        <f>G92*3</f>
        <v>647.54999999999995</v>
      </c>
    </row>
    <row r="93" spans="1:21" ht="34.5" customHeight="1">
      <c r="A93" s="30">
        <v>23</v>
      </c>
      <c r="B93" s="97" t="s">
        <v>158</v>
      </c>
      <c r="C93" s="98" t="s">
        <v>80</v>
      </c>
      <c r="D93" s="63" t="s">
        <v>225</v>
      </c>
      <c r="E93" s="38"/>
      <c r="F93" s="38">
        <v>4</v>
      </c>
      <c r="G93" s="38">
        <v>222.63</v>
      </c>
      <c r="H93" s="73">
        <f>G93*F93/1000</f>
        <v>0.89051999999999998</v>
      </c>
      <c r="I93" s="13">
        <f>G93*6</f>
        <v>1335.78</v>
      </c>
    </row>
    <row r="94" spans="1:21" ht="27.75" customHeight="1">
      <c r="A94" s="30">
        <v>24</v>
      </c>
      <c r="B94" s="97" t="s">
        <v>170</v>
      </c>
      <c r="C94" s="98" t="s">
        <v>167</v>
      </c>
      <c r="D94" s="41" t="s">
        <v>222</v>
      </c>
      <c r="E94" s="38"/>
      <c r="F94" s="38">
        <v>16</v>
      </c>
      <c r="G94" s="38">
        <v>1523.6</v>
      </c>
      <c r="H94" s="73">
        <f>G94*F94/1000</f>
        <v>24.377599999999997</v>
      </c>
      <c r="I94" s="13">
        <f>G94*16</f>
        <v>24377.599999999999</v>
      </c>
    </row>
    <row r="95" spans="1:21" ht="27.75" customHeight="1">
      <c r="A95" s="30">
        <v>25</v>
      </c>
      <c r="B95" s="97" t="s">
        <v>216</v>
      </c>
      <c r="C95" s="98" t="s">
        <v>167</v>
      </c>
      <c r="D95" s="41" t="s">
        <v>223</v>
      </c>
      <c r="E95" s="38"/>
      <c r="F95" s="38">
        <v>4</v>
      </c>
      <c r="G95" s="38">
        <v>1446.64</v>
      </c>
      <c r="H95" s="73">
        <f t="shared" si="10"/>
        <v>5.7865600000000006</v>
      </c>
      <c r="I95" s="13">
        <f>G95*4</f>
        <v>5786.56</v>
      </c>
    </row>
    <row r="96" spans="1:21" ht="32.25" customHeight="1">
      <c r="A96" s="30">
        <v>26</v>
      </c>
      <c r="B96" s="97" t="s">
        <v>217</v>
      </c>
      <c r="C96" s="98" t="s">
        <v>113</v>
      </c>
      <c r="D96" s="63" t="s">
        <v>221</v>
      </c>
      <c r="E96" s="38"/>
      <c r="F96" s="38">
        <v>3</v>
      </c>
      <c r="G96" s="38">
        <v>764.83</v>
      </c>
      <c r="H96" s="73">
        <f>G96*F96/1000</f>
        <v>2.2944900000000001</v>
      </c>
      <c r="I96" s="111">
        <f>G96*3</f>
        <v>2294.4900000000002</v>
      </c>
    </row>
    <row r="97" spans="1:9" ht="15.75" customHeight="1">
      <c r="A97" s="30">
        <v>27</v>
      </c>
      <c r="B97" s="159" t="s">
        <v>218</v>
      </c>
      <c r="C97" s="98" t="s">
        <v>113</v>
      </c>
      <c r="D97" s="63"/>
      <c r="E97" s="38"/>
      <c r="F97" s="38">
        <v>1</v>
      </c>
      <c r="G97" s="38">
        <v>63</v>
      </c>
      <c r="H97" s="73">
        <f t="shared" si="10"/>
        <v>6.3E-2</v>
      </c>
      <c r="I97" s="13">
        <f t="shared" ref="I97:I102" si="11">G97*1</f>
        <v>63</v>
      </c>
    </row>
    <row r="98" spans="1:9" ht="18.75" customHeight="1">
      <c r="A98" s="30">
        <v>28</v>
      </c>
      <c r="B98" s="159" t="s">
        <v>219</v>
      </c>
      <c r="C98" s="98" t="s">
        <v>113</v>
      </c>
      <c r="D98" s="63"/>
      <c r="E98" s="38"/>
      <c r="F98" s="38">
        <v>1</v>
      </c>
      <c r="G98" s="38">
        <v>43</v>
      </c>
      <c r="H98" s="73">
        <f t="shared" si="10"/>
        <v>4.2999999999999997E-2</v>
      </c>
      <c r="I98" s="111">
        <f t="shared" si="11"/>
        <v>43</v>
      </c>
    </row>
    <row r="99" spans="1:9" ht="21" customHeight="1">
      <c r="A99" s="30">
        <v>29</v>
      </c>
      <c r="B99" s="159" t="s">
        <v>211</v>
      </c>
      <c r="C99" s="98" t="s">
        <v>113</v>
      </c>
      <c r="D99" s="63"/>
      <c r="E99" s="38"/>
      <c r="F99" s="38">
        <v>1</v>
      </c>
      <c r="G99" s="38">
        <v>86</v>
      </c>
      <c r="H99" s="73">
        <f t="shared" si="10"/>
        <v>8.5999999999999993E-2</v>
      </c>
      <c r="I99" s="13">
        <f t="shared" si="11"/>
        <v>86</v>
      </c>
    </row>
    <row r="100" spans="1:9" ht="22.5" customHeight="1">
      <c r="A100" s="30">
        <v>30</v>
      </c>
      <c r="B100" s="159" t="s">
        <v>212</v>
      </c>
      <c r="C100" s="98" t="s">
        <v>113</v>
      </c>
      <c r="D100" s="63"/>
      <c r="E100" s="38"/>
      <c r="F100" s="38">
        <v>1</v>
      </c>
      <c r="G100" s="38">
        <v>39</v>
      </c>
      <c r="H100" s="73">
        <f t="shared" si="10"/>
        <v>3.9E-2</v>
      </c>
      <c r="I100" s="13">
        <f t="shared" si="11"/>
        <v>39</v>
      </c>
    </row>
    <row r="101" spans="1:9" ht="17.25" customHeight="1">
      <c r="A101" s="30">
        <v>31</v>
      </c>
      <c r="B101" s="159" t="s">
        <v>213</v>
      </c>
      <c r="C101" s="98" t="s">
        <v>113</v>
      </c>
      <c r="D101" s="63"/>
      <c r="E101" s="38"/>
      <c r="F101" s="38">
        <v>1</v>
      </c>
      <c r="G101" s="38">
        <v>49</v>
      </c>
      <c r="H101" s="73"/>
      <c r="I101" s="13">
        <f t="shared" si="11"/>
        <v>49</v>
      </c>
    </row>
    <row r="102" spans="1:9" ht="17.25" customHeight="1">
      <c r="A102" s="30">
        <v>32</v>
      </c>
      <c r="B102" s="97" t="s">
        <v>199</v>
      </c>
      <c r="C102" s="98" t="s">
        <v>200</v>
      </c>
      <c r="D102" s="63" t="s">
        <v>220</v>
      </c>
      <c r="E102" s="38"/>
      <c r="F102" s="38">
        <v>1</v>
      </c>
      <c r="G102" s="38">
        <v>234.78</v>
      </c>
      <c r="H102" s="73"/>
      <c r="I102" s="13">
        <f t="shared" si="11"/>
        <v>234.78</v>
      </c>
    </row>
    <row r="103" spans="1:9" ht="17.25" customHeight="1">
      <c r="A103" s="30">
        <v>33</v>
      </c>
      <c r="B103" s="97" t="s">
        <v>209</v>
      </c>
      <c r="C103" s="98" t="s">
        <v>39</v>
      </c>
      <c r="D103" s="63" t="s">
        <v>178</v>
      </c>
      <c r="E103" s="38"/>
      <c r="F103" s="160">
        <v>0.01</v>
      </c>
      <c r="G103" s="38">
        <v>27139.18</v>
      </c>
      <c r="H103" s="73"/>
      <c r="I103" s="13">
        <v>0</v>
      </c>
    </row>
    <row r="104" spans="1:9" ht="15.75" customHeight="1">
      <c r="A104" s="30"/>
      <c r="B104" s="50" t="s">
        <v>51</v>
      </c>
      <c r="C104" s="46"/>
      <c r="D104" s="59"/>
      <c r="E104" s="59"/>
      <c r="F104" s="46">
        <v>1</v>
      </c>
      <c r="G104" s="46"/>
      <c r="H104" s="46"/>
      <c r="I104" s="32">
        <f>SUM(I90:I103)</f>
        <v>40194.419999999991</v>
      </c>
    </row>
    <row r="105" spans="1:9" ht="15.75" customHeight="1">
      <c r="A105" s="30"/>
      <c r="B105" s="56" t="s">
        <v>75</v>
      </c>
      <c r="C105" s="16"/>
      <c r="D105" s="16"/>
      <c r="E105" s="16"/>
      <c r="F105" s="47"/>
      <c r="G105" s="48"/>
      <c r="H105" s="48"/>
      <c r="I105" s="18">
        <v>0</v>
      </c>
    </row>
    <row r="106" spans="1:9" ht="15.75" customHeight="1">
      <c r="A106" s="60"/>
      <c r="B106" s="51" t="s">
        <v>141</v>
      </c>
      <c r="C106" s="36"/>
      <c r="D106" s="36"/>
      <c r="E106" s="36"/>
      <c r="F106" s="36"/>
      <c r="G106" s="36"/>
      <c r="H106" s="36"/>
      <c r="I106" s="49">
        <f>I88+I104</f>
        <v>141198.06641033333</v>
      </c>
    </row>
    <row r="107" spans="1:9" ht="15.75" customHeight="1">
      <c r="A107" s="188" t="s">
        <v>328</v>
      </c>
      <c r="B107" s="188"/>
      <c r="C107" s="188"/>
      <c r="D107" s="188"/>
      <c r="E107" s="188"/>
      <c r="F107" s="188"/>
      <c r="G107" s="188"/>
      <c r="H107" s="188"/>
      <c r="I107" s="188"/>
    </row>
    <row r="108" spans="1:9" ht="15.75" customHeight="1">
      <c r="A108" s="72"/>
      <c r="B108" s="180" t="s">
        <v>329</v>
      </c>
      <c r="C108" s="180"/>
      <c r="D108" s="180"/>
      <c r="E108" s="180"/>
      <c r="F108" s="180"/>
      <c r="G108" s="180"/>
      <c r="H108" s="75"/>
      <c r="I108" s="3"/>
    </row>
    <row r="109" spans="1:9" ht="15.75" customHeight="1">
      <c r="A109" s="67"/>
      <c r="B109" s="176" t="s">
        <v>6</v>
      </c>
      <c r="C109" s="176"/>
      <c r="D109" s="176"/>
      <c r="E109" s="176"/>
      <c r="F109" s="176"/>
      <c r="G109" s="176"/>
      <c r="H109" s="25"/>
      <c r="I109" s="5"/>
    </row>
    <row r="110" spans="1:9" ht="15.75" customHeight="1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 customHeight="1">
      <c r="A111" s="181" t="s">
        <v>7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15.75" customHeight="1">
      <c r="A112" s="181" t="s">
        <v>8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15.75" customHeight="1">
      <c r="A113" s="182" t="s">
        <v>60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15.75" customHeight="1">
      <c r="A114" s="11"/>
    </row>
    <row r="115" spans="1:9" ht="15.75" customHeight="1">
      <c r="A115" s="183" t="s">
        <v>9</v>
      </c>
      <c r="B115" s="183"/>
      <c r="C115" s="183"/>
      <c r="D115" s="183"/>
      <c r="E115" s="183"/>
      <c r="F115" s="183"/>
      <c r="G115" s="183"/>
      <c r="H115" s="183"/>
      <c r="I115" s="183"/>
    </row>
    <row r="116" spans="1:9" ht="15.75" customHeight="1">
      <c r="A116" s="4"/>
    </row>
    <row r="117" spans="1:9" ht="15.75" customHeight="1">
      <c r="B117" s="66" t="s">
        <v>10</v>
      </c>
      <c r="C117" s="175" t="s">
        <v>85</v>
      </c>
      <c r="D117" s="175"/>
      <c r="E117" s="175"/>
      <c r="F117" s="175"/>
      <c r="I117" s="69"/>
    </row>
    <row r="118" spans="1:9" ht="15.75" customHeight="1">
      <c r="A118" s="67"/>
      <c r="C118" s="176" t="s">
        <v>11</v>
      </c>
      <c r="D118" s="176"/>
      <c r="E118" s="176"/>
      <c r="F118" s="176"/>
      <c r="I118" s="68" t="s">
        <v>12</v>
      </c>
    </row>
    <row r="119" spans="1:9" ht="15.75" customHeight="1">
      <c r="A119" s="26"/>
      <c r="C119" s="12"/>
      <c r="D119" s="12"/>
      <c r="E119" s="12"/>
      <c r="G119" s="12"/>
      <c r="H119" s="12"/>
    </row>
    <row r="120" spans="1:9" ht="15.75" customHeight="1">
      <c r="B120" s="66" t="s">
        <v>13</v>
      </c>
      <c r="C120" s="177"/>
      <c r="D120" s="177"/>
      <c r="E120" s="177"/>
      <c r="F120" s="177"/>
      <c r="I120" s="69"/>
    </row>
    <row r="121" spans="1:9" ht="15.75" customHeight="1">
      <c r="A121" s="67"/>
      <c r="C121" s="178" t="s">
        <v>11</v>
      </c>
      <c r="D121" s="178"/>
      <c r="E121" s="178"/>
      <c r="F121" s="178"/>
      <c r="I121" s="68" t="s">
        <v>12</v>
      </c>
    </row>
    <row r="122" spans="1:9" ht="15.75" customHeight="1">
      <c r="A122" s="4" t="s">
        <v>14</v>
      </c>
    </row>
    <row r="123" spans="1:9">
      <c r="A123" s="179" t="s">
        <v>15</v>
      </c>
      <c r="B123" s="179"/>
      <c r="C123" s="179"/>
      <c r="D123" s="179"/>
      <c r="E123" s="179"/>
      <c r="F123" s="179"/>
      <c r="G123" s="179"/>
      <c r="H123" s="179"/>
      <c r="I123" s="179"/>
    </row>
    <row r="124" spans="1:9" ht="45" customHeight="1">
      <c r="A124" s="168" t="s">
        <v>16</v>
      </c>
      <c r="B124" s="168"/>
      <c r="C124" s="168"/>
      <c r="D124" s="168"/>
      <c r="E124" s="168"/>
      <c r="F124" s="168"/>
      <c r="G124" s="168"/>
      <c r="H124" s="168"/>
      <c r="I124" s="168"/>
    </row>
    <row r="125" spans="1:9" ht="30" customHeight="1">
      <c r="A125" s="168" t="s">
        <v>17</v>
      </c>
      <c r="B125" s="168"/>
      <c r="C125" s="168"/>
      <c r="D125" s="168"/>
      <c r="E125" s="168"/>
      <c r="F125" s="168"/>
      <c r="G125" s="168"/>
      <c r="H125" s="168"/>
      <c r="I125" s="168"/>
    </row>
    <row r="126" spans="1:9" ht="30" customHeight="1">
      <c r="A126" s="168" t="s">
        <v>21</v>
      </c>
      <c r="B126" s="168"/>
      <c r="C126" s="168"/>
      <c r="D126" s="168"/>
      <c r="E126" s="168"/>
      <c r="F126" s="168"/>
      <c r="G126" s="168"/>
      <c r="H126" s="168"/>
      <c r="I126" s="168"/>
    </row>
    <row r="127" spans="1:9" ht="15" customHeight="1">
      <c r="A127" s="168" t="s">
        <v>20</v>
      </c>
      <c r="B127" s="168"/>
      <c r="C127" s="168"/>
      <c r="D127" s="168"/>
      <c r="E127" s="168"/>
      <c r="F127" s="168"/>
      <c r="G127" s="168"/>
      <c r="H127" s="168"/>
      <c r="I127" s="168"/>
    </row>
  </sheetData>
  <autoFilter ref="I12:I72"/>
  <mergeCells count="29">
    <mergeCell ref="R79:U79"/>
    <mergeCell ref="A107:I107"/>
    <mergeCell ref="A3:I3"/>
    <mergeCell ref="A4:I4"/>
    <mergeCell ref="A5:I5"/>
    <mergeCell ref="A8:I8"/>
    <mergeCell ref="A10:I10"/>
    <mergeCell ref="A14:I14"/>
    <mergeCell ref="A115:I115"/>
    <mergeCell ref="A15:I15"/>
    <mergeCell ref="A29:I29"/>
    <mergeCell ref="A46:I46"/>
    <mergeCell ref="A56:I56"/>
    <mergeCell ref="A125:I125"/>
    <mergeCell ref="A126:I126"/>
    <mergeCell ref="A127:I127"/>
    <mergeCell ref="A85:I85"/>
    <mergeCell ref="A89:I89"/>
    <mergeCell ref="C117:F117"/>
    <mergeCell ref="C118:F118"/>
    <mergeCell ref="C120:F120"/>
    <mergeCell ref="C121:F121"/>
    <mergeCell ref="A123:I123"/>
    <mergeCell ref="A124:I124"/>
    <mergeCell ref="B108:G108"/>
    <mergeCell ref="B109:G109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4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2"/>
  <sheetViews>
    <sheetView topLeftCell="A87" workbookViewId="0">
      <selection activeCell="I104" sqref="I104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3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154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305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31">
        <v>44135</v>
      </c>
      <c r="J6" s="2"/>
      <c r="K6" s="2"/>
      <c r="L6" s="2"/>
      <c r="M6" s="2"/>
    </row>
    <row r="7" spans="1:13" ht="15.75" customHeight="1">
      <c r="B7" s="66"/>
      <c r="C7" s="66"/>
      <c r="D7" s="66"/>
      <c r="E7" s="66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306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307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7" si="0">SUM(F16*G16/1000)</f>
        <v>62.943028199999993</v>
      </c>
      <c r="I16" s="13">
        <f>G16*F16/156*12</f>
        <v>4841.7713999999996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308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G17*F17/104*7</f>
        <v>11297.4666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177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F18/18*2*G18</f>
        <v>11607.841499999999</v>
      </c>
      <c r="J18" s="23"/>
      <c r="K18" s="8"/>
      <c r="L18" s="8"/>
      <c r="M18" s="8"/>
    </row>
    <row r="19" spans="1:13" ht="15.75" hidden="1" customHeight="1">
      <c r="A19" s="30">
        <v>4</v>
      </c>
      <c r="B19" s="76" t="s">
        <v>99</v>
      </c>
      <c r="C19" s="65" t="s">
        <v>100</v>
      </c>
      <c r="D19" s="76" t="s">
        <v>101</v>
      </c>
      <c r="E19" s="77">
        <v>38.4</v>
      </c>
      <c r="F19" s="78">
        <f>SUM(E19/10)</f>
        <v>3.84</v>
      </c>
      <c r="G19" s="78">
        <v>170.16</v>
      </c>
      <c r="H19" s="79">
        <f t="shared" si="0"/>
        <v>0.65341439999999995</v>
      </c>
      <c r="I19" s="13">
        <f>F19/2*G19</f>
        <v>326.7072</v>
      </c>
      <c r="J19" s="23"/>
      <c r="K19" s="8"/>
      <c r="L19" s="8"/>
      <c r="M19" s="8"/>
    </row>
    <row r="20" spans="1:13" ht="15.75" customHeight="1">
      <c r="A20" s="30">
        <v>4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5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hidden="1" customHeight="1">
      <c r="A22" s="30">
        <v>7</v>
      </c>
      <c r="B22" s="76" t="s">
        <v>102</v>
      </c>
      <c r="C22" s="65" t="s">
        <v>52</v>
      </c>
      <c r="D22" s="76" t="s">
        <v>101</v>
      </c>
      <c r="E22" s="77">
        <v>822.72</v>
      </c>
      <c r="F22" s="78">
        <f>SUM(E22/100)</f>
        <v>8.2271999999999998</v>
      </c>
      <c r="G22" s="78">
        <v>269.26</v>
      </c>
      <c r="H22" s="79">
        <f t="shared" si="0"/>
        <v>2.2152558719999997</v>
      </c>
      <c r="I22" s="13">
        <f>F22*G22</f>
        <v>2215.2558719999997</v>
      </c>
      <c r="J22" s="23"/>
      <c r="K22" s="8"/>
      <c r="L22" s="8"/>
      <c r="M22" s="8"/>
    </row>
    <row r="23" spans="1:13" ht="15.75" hidden="1" customHeight="1">
      <c r="A23" s="30">
        <v>8</v>
      </c>
      <c r="B23" s="76" t="s">
        <v>103</v>
      </c>
      <c r="C23" s="65" t="s">
        <v>52</v>
      </c>
      <c r="D23" s="76" t="s">
        <v>101</v>
      </c>
      <c r="E23" s="80">
        <v>96.6</v>
      </c>
      <c r="F23" s="78">
        <f>SUM(E23/100)</f>
        <v>0.96599999999999997</v>
      </c>
      <c r="G23" s="78">
        <v>44.29</v>
      </c>
      <c r="H23" s="79">
        <f t="shared" si="0"/>
        <v>4.2784139999999998E-2</v>
      </c>
      <c r="I23" s="13">
        <f>F23*G23</f>
        <v>42.784140000000001</v>
      </c>
      <c r="J23" s="23"/>
      <c r="K23" s="8"/>
      <c r="L23" s="8"/>
      <c r="M23" s="8"/>
    </row>
    <row r="24" spans="1:13" ht="15.75" hidden="1" customHeight="1">
      <c r="A24" s="30">
        <v>6</v>
      </c>
      <c r="B24" s="76" t="s">
        <v>95</v>
      </c>
      <c r="C24" s="65" t="s">
        <v>52</v>
      </c>
      <c r="D24" s="76" t="s">
        <v>30</v>
      </c>
      <c r="E24" s="81">
        <v>32</v>
      </c>
      <c r="F24" s="78">
        <f>32*12/1000</f>
        <v>0.38400000000000001</v>
      </c>
      <c r="G24" s="78">
        <v>389.42</v>
      </c>
      <c r="H24" s="79">
        <f>G24*F24/100</f>
        <v>1.4953728000000002</v>
      </c>
      <c r="I24" s="13">
        <f>F24/12*G24</f>
        <v>12.461440000000001</v>
      </c>
      <c r="J24" s="23"/>
      <c r="K24" s="8"/>
      <c r="L24" s="8"/>
      <c r="M24" s="8"/>
    </row>
    <row r="25" spans="1:13" ht="15.75" hidden="1" customHeight="1">
      <c r="A25" s="30">
        <v>10</v>
      </c>
      <c r="B25" s="76" t="s">
        <v>122</v>
      </c>
      <c r="C25" s="65" t="s">
        <v>52</v>
      </c>
      <c r="D25" s="76" t="s">
        <v>53</v>
      </c>
      <c r="E25" s="82">
        <v>38</v>
      </c>
      <c r="F25" s="78">
        <v>0.38</v>
      </c>
      <c r="G25" s="78">
        <v>216.12</v>
      </c>
      <c r="H25" s="79">
        <f>G25*F25/1000</f>
        <v>8.2125600000000007E-2</v>
      </c>
      <c r="I25" s="13">
        <f>F25*G25</f>
        <v>82.125600000000006</v>
      </c>
      <c r="J25" s="23"/>
      <c r="K25" s="8"/>
      <c r="L25" s="8"/>
      <c r="M25" s="8"/>
    </row>
    <row r="26" spans="1:13" ht="15.75" hidden="1" customHeight="1">
      <c r="A26" s="30">
        <v>7</v>
      </c>
      <c r="B26" s="76" t="s">
        <v>96</v>
      </c>
      <c r="C26" s="65" t="s">
        <v>52</v>
      </c>
      <c r="D26" s="76" t="s">
        <v>123</v>
      </c>
      <c r="E26" s="77">
        <v>17</v>
      </c>
      <c r="F26" s="78">
        <f>SUM(E26*12/100)</f>
        <v>2.04</v>
      </c>
      <c r="G26" s="78">
        <v>520.79999999999995</v>
      </c>
      <c r="H26" s="79">
        <f t="shared" si="0"/>
        <v>1.062432</v>
      </c>
      <c r="I26" s="13">
        <f>F26/12*G26</f>
        <v>88.536000000000001</v>
      </c>
      <c r="J26" s="23"/>
      <c r="K26" s="8"/>
      <c r="L26" s="8"/>
      <c r="M26" s="8"/>
    </row>
    <row r="27" spans="1:13" ht="15.75" customHeight="1">
      <c r="A27" s="30">
        <v>6</v>
      </c>
      <c r="B27" s="34" t="s">
        <v>174</v>
      </c>
      <c r="C27" s="44" t="s">
        <v>33</v>
      </c>
      <c r="D27" s="34" t="s">
        <v>182</v>
      </c>
      <c r="E27" s="125">
        <v>0.2</v>
      </c>
      <c r="F27" s="33">
        <f>E27*258</f>
        <v>51.6</v>
      </c>
      <c r="G27" s="33">
        <v>289.5</v>
      </c>
      <c r="H27" s="79">
        <f t="shared" si="0"/>
        <v>14.9382</v>
      </c>
      <c r="I27" s="13">
        <f>F27/12*G27</f>
        <v>1244.8499999999999</v>
      </c>
      <c r="J27" s="23"/>
      <c r="K27" s="8"/>
      <c r="L27" s="8"/>
      <c r="M27" s="8"/>
    </row>
    <row r="28" spans="1:13" ht="15.75" customHeight="1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  <c r="J28" s="23"/>
      <c r="K28" s="8"/>
      <c r="L28" s="8"/>
      <c r="M28" s="8"/>
    </row>
    <row r="29" spans="1:13" ht="15.75" customHeight="1">
      <c r="A29" s="45"/>
      <c r="B29" s="55" t="s">
        <v>28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7</v>
      </c>
      <c r="B30" s="34" t="s">
        <v>104</v>
      </c>
      <c r="C30" s="44" t="s">
        <v>105</v>
      </c>
      <c r="D30" s="34" t="s">
        <v>184</v>
      </c>
      <c r="E30" s="33">
        <v>877.4</v>
      </c>
      <c r="F30" s="33">
        <f>SUM(E30*24/1000)</f>
        <v>21.057599999999997</v>
      </c>
      <c r="G30" s="33">
        <v>223.46</v>
      </c>
      <c r="H30" s="79">
        <f t="shared" ref="H30:H32" si="1">SUM(F30*G30/1000)</f>
        <v>4.7055312959999993</v>
      </c>
      <c r="I30" s="13">
        <f>F30/6*G30</f>
        <v>784.2552159999999</v>
      </c>
      <c r="J30" s="23"/>
      <c r="K30" s="8"/>
      <c r="L30" s="8"/>
      <c r="M30" s="8"/>
    </row>
    <row r="31" spans="1:13" ht="31.5" customHeight="1">
      <c r="A31" s="45">
        <v>8</v>
      </c>
      <c r="B31" s="34" t="s">
        <v>126</v>
      </c>
      <c r="C31" s="44" t="s">
        <v>105</v>
      </c>
      <c r="D31" s="34" t="s">
        <v>176</v>
      </c>
      <c r="E31" s="33">
        <v>214.34</v>
      </c>
      <c r="F31" s="33">
        <f>SUM(E31*52/1000)</f>
        <v>11.14568</v>
      </c>
      <c r="G31" s="33">
        <v>370.77</v>
      </c>
      <c r="H31" s="79">
        <f t="shared" si="1"/>
        <v>4.1324837735999997</v>
      </c>
      <c r="I31" s="13">
        <f t="shared" ref="I31:I33" si="2">F31/6*G31</f>
        <v>688.74729559999992</v>
      </c>
      <c r="J31" s="23"/>
      <c r="K31" s="8"/>
      <c r="L31" s="8"/>
      <c r="M31" s="8"/>
    </row>
    <row r="32" spans="1:13" ht="15.75" hidden="1" customHeight="1">
      <c r="A32" s="45">
        <v>16</v>
      </c>
      <c r="B32" s="34" t="s">
        <v>27</v>
      </c>
      <c r="C32" s="44" t="s">
        <v>105</v>
      </c>
      <c r="D32" s="34" t="s">
        <v>53</v>
      </c>
      <c r="E32" s="33">
        <v>877.4</v>
      </c>
      <c r="F32" s="33">
        <f>SUM(E32/1000)</f>
        <v>0.87739999999999996</v>
      </c>
      <c r="G32" s="33">
        <v>4329.78</v>
      </c>
      <c r="H32" s="79">
        <f t="shared" si="1"/>
        <v>3.7989489719999998</v>
      </c>
      <c r="I32" s="13">
        <f>F32*G32</f>
        <v>3798.9489719999997</v>
      </c>
      <c r="J32" s="23"/>
      <c r="K32" s="8"/>
      <c r="L32" s="8"/>
      <c r="M32" s="8"/>
    </row>
    <row r="33" spans="1:14" ht="15.75" customHeight="1">
      <c r="A33" s="45">
        <v>9</v>
      </c>
      <c r="B33" s="34" t="s">
        <v>124</v>
      </c>
      <c r="C33" s="44" t="s">
        <v>39</v>
      </c>
      <c r="D33" s="34" t="s">
        <v>181</v>
      </c>
      <c r="E33" s="33">
        <v>8</v>
      </c>
      <c r="F33" s="33">
        <v>12.4</v>
      </c>
      <c r="G33" s="33">
        <v>1866.51</v>
      </c>
      <c r="H33" s="79">
        <v>16.145</v>
      </c>
      <c r="I33" s="13">
        <f t="shared" si="2"/>
        <v>3857.4540000000002</v>
      </c>
      <c r="J33" s="23"/>
      <c r="K33" s="8"/>
      <c r="L33" s="8"/>
      <c r="M33" s="8"/>
    </row>
    <row r="34" spans="1:14" ht="15.75" hidden="1" customHeight="1">
      <c r="A34" s="45">
        <v>13</v>
      </c>
      <c r="B34" s="76" t="s">
        <v>107</v>
      </c>
      <c r="C34" s="65" t="s">
        <v>31</v>
      </c>
      <c r="D34" s="76" t="s">
        <v>62</v>
      </c>
      <c r="E34" s="84">
        <v>1</v>
      </c>
      <c r="F34" s="78">
        <v>155</v>
      </c>
      <c r="G34" s="78">
        <v>56.69</v>
      </c>
      <c r="H34" s="79">
        <f>SUM(G34*155/1000)</f>
        <v>8.7869499999999992</v>
      </c>
      <c r="I34" s="13">
        <f t="shared" ref="I34" si="3">F34/6*G34</f>
        <v>1464.4916666666666</v>
      </c>
      <c r="J34" s="23"/>
      <c r="K34" s="8"/>
      <c r="L34" s="8"/>
      <c r="M34" s="8"/>
    </row>
    <row r="35" spans="1:14" ht="15.75" hidden="1" customHeight="1">
      <c r="A35" s="45">
        <v>4</v>
      </c>
      <c r="B35" s="76" t="s">
        <v>63</v>
      </c>
      <c r="C35" s="65" t="s">
        <v>33</v>
      </c>
      <c r="D35" s="76" t="s">
        <v>65</v>
      </c>
      <c r="E35" s="77"/>
      <c r="F35" s="78">
        <v>2</v>
      </c>
      <c r="G35" s="78">
        <v>191.32</v>
      </c>
      <c r="H35" s="79">
        <f t="shared" ref="H35:H36" si="4">SUM(F35*G35/1000)</f>
        <v>0.38263999999999998</v>
      </c>
      <c r="I35" s="13">
        <v>0</v>
      </c>
      <c r="J35" s="23"/>
      <c r="K35" s="8"/>
    </row>
    <row r="36" spans="1:14" ht="15.75" hidden="1" customHeight="1">
      <c r="A36" s="30">
        <v>8</v>
      </c>
      <c r="B36" s="76" t="s">
        <v>64</v>
      </c>
      <c r="C36" s="65" t="s">
        <v>32</v>
      </c>
      <c r="D36" s="76" t="s">
        <v>65</v>
      </c>
      <c r="E36" s="77"/>
      <c r="F36" s="78">
        <v>3</v>
      </c>
      <c r="G36" s="78">
        <v>1136.32</v>
      </c>
      <c r="H36" s="79">
        <f t="shared" si="4"/>
        <v>3.40896</v>
      </c>
      <c r="I36" s="13">
        <v>0</v>
      </c>
      <c r="J36" s="24"/>
    </row>
    <row r="37" spans="1:14" ht="15.75" hidden="1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hidden="1" customHeight="1">
      <c r="A38" s="35">
        <v>10</v>
      </c>
      <c r="B38" s="76" t="s">
        <v>26</v>
      </c>
      <c r="C38" s="65" t="s">
        <v>32</v>
      </c>
      <c r="D38" s="76"/>
      <c r="E38" s="77"/>
      <c r="F38" s="78">
        <v>15</v>
      </c>
      <c r="G38" s="78">
        <v>1527.22</v>
      </c>
      <c r="H38" s="79">
        <f>SUM(F38*G38/1000)</f>
        <v>22.908300000000001</v>
      </c>
      <c r="I38" s="13">
        <f t="shared" ref="I38:I43" si="5">F38/6*G38</f>
        <v>3818.05</v>
      </c>
      <c r="J38" s="24"/>
    </row>
    <row r="39" spans="1:14" ht="15.75" hidden="1" customHeight="1">
      <c r="A39" s="35">
        <v>11</v>
      </c>
      <c r="B39" s="76" t="s">
        <v>66</v>
      </c>
      <c r="C39" s="65" t="s">
        <v>29</v>
      </c>
      <c r="D39" s="76" t="s">
        <v>108</v>
      </c>
      <c r="E39" s="78">
        <v>547.85</v>
      </c>
      <c r="F39" s="78">
        <f>SUM(E39*50/1000)</f>
        <v>27.392499999999998</v>
      </c>
      <c r="G39" s="78">
        <v>2102.71</v>
      </c>
      <c r="H39" s="79">
        <f t="shared" ref="H39:H43" si="6">SUM(F39*G39/1000)</f>
        <v>57.598483674999997</v>
      </c>
      <c r="I39" s="13">
        <f t="shared" si="5"/>
        <v>9599.747279166666</v>
      </c>
      <c r="J39" s="24"/>
    </row>
    <row r="40" spans="1:14" ht="15.75" hidden="1" customHeight="1">
      <c r="A40" s="35">
        <v>12</v>
      </c>
      <c r="B40" s="76" t="s">
        <v>67</v>
      </c>
      <c r="C40" s="65" t="s">
        <v>29</v>
      </c>
      <c r="D40" s="76" t="s">
        <v>109</v>
      </c>
      <c r="E40" s="78">
        <v>140</v>
      </c>
      <c r="F40" s="78">
        <f>SUM(E40*155/1000)</f>
        <v>21.7</v>
      </c>
      <c r="G40" s="78">
        <v>350.75</v>
      </c>
      <c r="H40" s="79">
        <f t="shared" si="6"/>
        <v>7.611275</v>
      </c>
      <c r="I40" s="13">
        <f t="shared" si="5"/>
        <v>1268.5458333333333</v>
      </c>
      <c r="J40" s="24"/>
    </row>
    <row r="41" spans="1:14" ht="31.5" hidden="1" customHeight="1">
      <c r="A41" s="35">
        <v>13</v>
      </c>
      <c r="B41" s="76" t="s">
        <v>79</v>
      </c>
      <c r="C41" s="65" t="s">
        <v>105</v>
      </c>
      <c r="D41" s="76" t="s">
        <v>127</v>
      </c>
      <c r="E41" s="78">
        <v>140</v>
      </c>
      <c r="F41" s="78">
        <f>SUM(E41*12/1000)</f>
        <v>1.68</v>
      </c>
      <c r="G41" s="78">
        <v>5803.28</v>
      </c>
      <c r="H41" s="79">
        <f t="shared" si="6"/>
        <v>9.7495103999999984</v>
      </c>
      <c r="I41" s="13">
        <f t="shared" si="5"/>
        <v>1624.9183999999998</v>
      </c>
      <c r="J41" s="24"/>
    </row>
    <row r="42" spans="1:14" ht="15.75" hidden="1" customHeight="1">
      <c r="A42" s="35">
        <v>14</v>
      </c>
      <c r="B42" s="76" t="s">
        <v>110</v>
      </c>
      <c r="C42" s="65" t="s">
        <v>105</v>
      </c>
      <c r="D42" s="76" t="s">
        <v>68</v>
      </c>
      <c r="E42" s="78">
        <v>140</v>
      </c>
      <c r="F42" s="78">
        <f>SUM(E42*45/1000)</f>
        <v>6.3</v>
      </c>
      <c r="G42" s="78">
        <v>428.7</v>
      </c>
      <c r="H42" s="79">
        <f t="shared" si="6"/>
        <v>2.7008100000000002</v>
      </c>
      <c r="I42" s="13">
        <f t="shared" si="5"/>
        <v>450.13499999999999</v>
      </c>
      <c r="J42" s="24"/>
    </row>
    <row r="43" spans="1:14" ht="15.75" hidden="1" customHeight="1">
      <c r="A43" s="35">
        <v>15</v>
      </c>
      <c r="B43" s="76" t="s">
        <v>69</v>
      </c>
      <c r="C43" s="65" t="s">
        <v>33</v>
      </c>
      <c r="D43" s="76"/>
      <c r="E43" s="77"/>
      <c r="F43" s="78">
        <v>0.9</v>
      </c>
      <c r="G43" s="78">
        <v>798</v>
      </c>
      <c r="H43" s="79">
        <f t="shared" si="6"/>
        <v>0.71820000000000006</v>
      </c>
      <c r="I43" s="13">
        <f t="shared" si="5"/>
        <v>119.69999999999999</v>
      </c>
      <c r="J43" s="24"/>
      <c r="L43" s="20"/>
      <c r="M43" s="21"/>
      <c r="N43" s="22"/>
    </row>
    <row r="44" spans="1:14" ht="32.25" hidden="1" customHeight="1">
      <c r="A44" s="149">
        <v>10</v>
      </c>
      <c r="B44" s="152" t="s">
        <v>201</v>
      </c>
      <c r="C44" s="153" t="s">
        <v>105</v>
      </c>
      <c r="D44" s="152" t="s">
        <v>178</v>
      </c>
      <c r="E44" s="154">
        <v>1.2</v>
      </c>
      <c r="F44" s="155">
        <f>E44*12/1000</f>
        <v>1.4399999999999998E-2</v>
      </c>
      <c r="G44" s="155">
        <v>19757.060000000001</v>
      </c>
      <c r="H44" s="150"/>
      <c r="I44" s="151">
        <f>G44*1.2/1000</f>
        <v>23.708472</v>
      </c>
      <c r="J44" s="24"/>
      <c r="L44" s="20"/>
      <c r="M44" s="21"/>
      <c r="N44" s="22"/>
    </row>
    <row r="45" spans="1:14" ht="15.75" hidden="1" customHeight="1">
      <c r="A45" s="185" t="s">
        <v>136</v>
      </c>
      <c r="B45" s="186"/>
      <c r="C45" s="186"/>
      <c r="D45" s="186"/>
      <c r="E45" s="186"/>
      <c r="F45" s="186"/>
      <c r="G45" s="186"/>
      <c r="H45" s="186"/>
      <c r="I45" s="187"/>
      <c r="J45" s="24"/>
      <c r="L45" s="20"/>
      <c r="M45" s="21"/>
      <c r="N45" s="22"/>
    </row>
    <row r="46" spans="1:14" ht="15.75" hidden="1" customHeight="1">
      <c r="A46" s="45">
        <v>14</v>
      </c>
      <c r="B46" s="76" t="s">
        <v>111</v>
      </c>
      <c r="C46" s="65" t="s">
        <v>105</v>
      </c>
      <c r="D46" s="76" t="s">
        <v>41</v>
      </c>
      <c r="E46" s="77">
        <v>1640.4</v>
      </c>
      <c r="F46" s="78">
        <f>SUM(E46*2/1000)</f>
        <v>3.2808000000000002</v>
      </c>
      <c r="G46" s="13">
        <v>849.49</v>
      </c>
      <c r="H46" s="79">
        <f t="shared" ref="H46:H54" si="7">SUM(F46*G46/1000)</f>
        <v>2.7870067920000001</v>
      </c>
      <c r="I46" s="13">
        <f t="shared" ref="I46:I48" si="8">F46/2*G46</f>
        <v>1393.5033960000001</v>
      </c>
      <c r="J46" s="24"/>
      <c r="L46" s="20"/>
      <c r="M46" s="21"/>
      <c r="N46" s="22"/>
    </row>
    <row r="47" spans="1:14" ht="15.75" hidden="1" customHeight="1">
      <c r="A47" s="45">
        <v>15</v>
      </c>
      <c r="B47" s="76" t="s">
        <v>34</v>
      </c>
      <c r="C47" s="65" t="s">
        <v>105</v>
      </c>
      <c r="D47" s="76" t="s">
        <v>41</v>
      </c>
      <c r="E47" s="77">
        <v>918.25</v>
      </c>
      <c r="F47" s="78">
        <f>SUM(E47*2/1000)</f>
        <v>1.8365</v>
      </c>
      <c r="G47" s="13">
        <v>579.48</v>
      </c>
      <c r="H47" s="79">
        <f t="shared" si="7"/>
        <v>1.06421502</v>
      </c>
      <c r="I47" s="13">
        <f t="shared" si="8"/>
        <v>532.10751000000005</v>
      </c>
      <c r="J47" s="24"/>
      <c r="L47" s="20"/>
      <c r="M47" s="21"/>
      <c r="N47" s="22"/>
    </row>
    <row r="48" spans="1:14" ht="15.75" hidden="1" customHeight="1">
      <c r="A48" s="45">
        <v>16</v>
      </c>
      <c r="B48" s="76" t="s">
        <v>35</v>
      </c>
      <c r="C48" s="65" t="s">
        <v>105</v>
      </c>
      <c r="D48" s="76" t="s">
        <v>41</v>
      </c>
      <c r="E48" s="77">
        <v>5592.26</v>
      </c>
      <c r="F48" s="78">
        <f>SUM(E48*2/1000)</f>
        <v>11.184520000000001</v>
      </c>
      <c r="G48" s="13">
        <v>579.48</v>
      </c>
      <c r="H48" s="79">
        <f t="shared" si="7"/>
        <v>6.4812056496000006</v>
      </c>
      <c r="I48" s="13">
        <f t="shared" si="8"/>
        <v>3240.6028248000002</v>
      </c>
      <c r="J48" s="24"/>
      <c r="L48" s="20"/>
      <c r="M48" s="21"/>
      <c r="N48" s="22"/>
    </row>
    <row r="49" spans="1:14" ht="15.75" hidden="1" customHeight="1">
      <c r="A49" s="45">
        <v>17</v>
      </c>
      <c r="B49" s="76" t="s">
        <v>36</v>
      </c>
      <c r="C49" s="65" t="s">
        <v>105</v>
      </c>
      <c r="D49" s="76" t="s">
        <v>41</v>
      </c>
      <c r="E49" s="77">
        <v>2817.65</v>
      </c>
      <c r="F49" s="78">
        <f>SUM(E49*2/1000)</f>
        <v>5.6353</v>
      </c>
      <c r="G49" s="13">
        <v>606.77</v>
      </c>
      <c r="H49" s="79">
        <f t="shared" si="7"/>
        <v>3.4193309809999999</v>
      </c>
      <c r="I49" s="13">
        <f>F49/2*G49</f>
        <v>1709.6654905</v>
      </c>
      <c r="J49" s="24"/>
      <c r="L49" s="20"/>
      <c r="M49" s="21"/>
      <c r="N49" s="22"/>
    </row>
    <row r="50" spans="1:14" ht="15.75" hidden="1" customHeight="1">
      <c r="A50" s="45">
        <v>18</v>
      </c>
      <c r="B50" s="76" t="s">
        <v>55</v>
      </c>
      <c r="C50" s="65" t="s">
        <v>105</v>
      </c>
      <c r="D50" s="76" t="s">
        <v>129</v>
      </c>
      <c r="E50" s="77">
        <v>3280.8</v>
      </c>
      <c r="F50" s="78">
        <f>SUM(E50*5/1000)</f>
        <v>16.404</v>
      </c>
      <c r="G50" s="13">
        <v>1213.55</v>
      </c>
      <c r="H50" s="79">
        <f t="shared" si="7"/>
        <v>19.9070742</v>
      </c>
      <c r="I50" s="13">
        <f>F50/5*G50</f>
        <v>3981.4148399999999</v>
      </c>
      <c r="J50" s="24"/>
      <c r="L50" s="20"/>
      <c r="M50" s="21"/>
      <c r="N50" s="22"/>
    </row>
    <row r="51" spans="1:14" ht="31.5" hidden="1" customHeight="1">
      <c r="A51" s="45">
        <v>14</v>
      </c>
      <c r="B51" s="76" t="s">
        <v>112</v>
      </c>
      <c r="C51" s="65" t="s">
        <v>105</v>
      </c>
      <c r="D51" s="76" t="s">
        <v>41</v>
      </c>
      <c r="E51" s="77">
        <v>3280.8</v>
      </c>
      <c r="F51" s="78">
        <f>SUM(E51*2/1000)</f>
        <v>6.5616000000000003</v>
      </c>
      <c r="G51" s="13">
        <v>1213.55</v>
      </c>
      <c r="H51" s="79">
        <f t="shared" si="7"/>
        <v>7.9628296799999996</v>
      </c>
      <c r="I51" s="13">
        <f>F51/2*G51</f>
        <v>3981.4148399999999</v>
      </c>
      <c r="J51" s="24"/>
      <c r="L51" s="20"/>
      <c r="M51" s="21"/>
      <c r="N51" s="22"/>
    </row>
    <row r="52" spans="1:14" ht="31.5" hidden="1" customHeight="1">
      <c r="A52" s="45">
        <v>15</v>
      </c>
      <c r="B52" s="76" t="s">
        <v>128</v>
      </c>
      <c r="C52" s="65" t="s">
        <v>37</v>
      </c>
      <c r="D52" s="76" t="s">
        <v>41</v>
      </c>
      <c r="E52" s="77">
        <v>40</v>
      </c>
      <c r="F52" s="78">
        <f>SUM(E52*2/100)</f>
        <v>0.8</v>
      </c>
      <c r="G52" s="13">
        <v>2730.49</v>
      </c>
      <c r="H52" s="79">
        <f t="shared" si="7"/>
        <v>2.1843919999999999</v>
      </c>
      <c r="I52" s="13">
        <f>F52/2*G52</f>
        <v>1092.1959999999999</v>
      </c>
      <c r="J52" s="24"/>
      <c r="L52" s="20"/>
      <c r="M52" s="21"/>
      <c r="N52" s="22"/>
    </row>
    <row r="53" spans="1:14" ht="15.75" hidden="1" customHeight="1">
      <c r="A53" s="45">
        <v>16</v>
      </c>
      <c r="B53" s="76" t="s">
        <v>38</v>
      </c>
      <c r="C53" s="65" t="s">
        <v>39</v>
      </c>
      <c r="D53" s="76" t="s">
        <v>41</v>
      </c>
      <c r="E53" s="77">
        <v>1</v>
      </c>
      <c r="F53" s="78">
        <v>0.02</v>
      </c>
      <c r="G53" s="13">
        <v>5652.13</v>
      </c>
      <c r="H53" s="79">
        <f t="shared" si="7"/>
        <v>0.11304260000000001</v>
      </c>
      <c r="I53" s="13">
        <f>F53/2*G53</f>
        <v>56.521300000000004</v>
      </c>
      <c r="J53" s="24"/>
      <c r="L53" s="20"/>
      <c r="M53" s="21"/>
      <c r="N53" s="22"/>
    </row>
    <row r="54" spans="1:14" ht="15.75" hidden="1" customHeight="1">
      <c r="A54" s="45">
        <v>17</v>
      </c>
      <c r="B54" s="76" t="s">
        <v>40</v>
      </c>
      <c r="C54" s="65" t="s">
        <v>113</v>
      </c>
      <c r="D54" s="76" t="s">
        <v>70</v>
      </c>
      <c r="E54" s="77">
        <v>238</v>
      </c>
      <c r="F54" s="78">
        <f>SUM(E54)*3</f>
        <v>714</v>
      </c>
      <c r="G54" s="13">
        <v>65.67</v>
      </c>
      <c r="H54" s="79">
        <f t="shared" si="7"/>
        <v>46.888380000000005</v>
      </c>
      <c r="I54" s="13">
        <f>E54*G54</f>
        <v>15629.460000000001</v>
      </c>
      <c r="J54" s="24"/>
      <c r="L54" s="20"/>
      <c r="M54" s="21"/>
      <c r="N54" s="22"/>
    </row>
    <row r="55" spans="1:14" ht="15.75" customHeight="1">
      <c r="A55" s="185" t="s">
        <v>151</v>
      </c>
      <c r="B55" s="186"/>
      <c r="C55" s="186"/>
      <c r="D55" s="186"/>
      <c r="E55" s="186"/>
      <c r="F55" s="186"/>
      <c r="G55" s="186"/>
      <c r="H55" s="186"/>
      <c r="I55" s="187"/>
      <c r="J55" s="24"/>
      <c r="L55" s="20"/>
      <c r="M55" s="21"/>
      <c r="N55" s="22"/>
    </row>
    <row r="56" spans="1:14" ht="15.75" hidden="1" customHeight="1">
      <c r="A56" s="58"/>
      <c r="B56" s="52" t="s">
        <v>42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15.75" hidden="1" customHeight="1">
      <c r="A57" s="45">
        <v>15</v>
      </c>
      <c r="B57" s="76" t="s">
        <v>130</v>
      </c>
      <c r="C57" s="65" t="s">
        <v>98</v>
      </c>
      <c r="D57" s="76" t="s">
        <v>53</v>
      </c>
      <c r="E57" s="85">
        <v>1640.4</v>
      </c>
      <c r="F57" s="13">
        <f>E57/100</f>
        <v>16.404</v>
      </c>
      <c r="G57" s="78">
        <v>472.59</v>
      </c>
      <c r="H57" s="79">
        <f>SUM(F57*G57/1000)</f>
        <v>7.7523663599999999</v>
      </c>
      <c r="I57" s="13">
        <v>0</v>
      </c>
      <c r="J57" s="24"/>
      <c r="L57" s="20"/>
      <c r="M57" s="21"/>
      <c r="N57" s="22"/>
    </row>
    <row r="58" spans="1:14" ht="31.5" hidden="1" customHeight="1">
      <c r="A58" s="45">
        <v>18</v>
      </c>
      <c r="B58" s="76" t="s">
        <v>131</v>
      </c>
      <c r="C58" s="65" t="s">
        <v>98</v>
      </c>
      <c r="D58" s="76" t="s">
        <v>132</v>
      </c>
      <c r="E58" s="77">
        <v>164.04</v>
      </c>
      <c r="F58" s="13">
        <f>E58*6/100</f>
        <v>9.8423999999999996</v>
      </c>
      <c r="G58" s="86">
        <v>1547.28</v>
      </c>
      <c r="H58" s="79">
        <f>F58*G58/1000</f>
        <v>15.228948671999998</v>
      </c>
      <c r="I58" s="13">
        <f>F58/6*G58</f>
        <v>2538.1581119999996</v>
      </c>
      <c r="J58" s="24"/>
      <c r="L58" s="20"/>
      <c r="M58" s="21"/>
      <c r="N58" s="22"/>
    </row>
    <row r="59" spans="1:14" ht="15.75" hidden="1" customHeight="1">
      <c r="A59" s="45">
        <v>19</v>
      </c>
      <c r="B59" s="87" t="s">
        <v>89</v>
      </c>
      <c r="C59" s="88" t="s">
        <v>98</v>
      </c>
      <c r="D59" s="87" t="s">
        <v>133</v>
      </c>
      <c r="E59" s="89">
        <v>8</v>
      </c>
      <c r="F59" s="90">
        <f>E59*8/100</f>
        <v>0.64</v>
      </c>
      <c r="G59" s="86">
        <v>1547.28</v>
      </c>
      <c r="H59" s="91">
        <f>F59*G59/1000</f>
        <v>0.99025920000000001</v>
      </c>
      <c r="I59" s="13">
        <f>F59/6*G59</f>
        <v>165.04320000000001</v>
      </c>
      <c r="J59" s="24"/>
      <c r="L59" s="20"/>
      <c r="M59" s="21"/>
      <c r="N59" s="22"/>
    </row>
    <row r="60" spans="1:14" ht="15.75" hidden="1" customHeight="1">
      <c r="A60" s="45"/>
      <c r="B60" s="87" t="s">
        <v>93</v>
      </c>
      <c r="C60" s="88" t="s">
        <v>94</v>
      </c>
      <c r="D60" s="87" t="s">
        <v>41</v>
      </c>
      <c r="E60" s="89">
        <v>8</v>
      </c>
      <c r="F60" s="90">
        <v>16</v>
      </c>
      <c r="G60" s="92">
        <v>180.78</v>
      </c>
      <c r="H60" s="91">
        <f>F60*G60/1000</f>
        <v>2.8924799999999999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1" t="s">
        <v>43</v>
      </c>
      <c r="C61" s="71"/>
      <c r="D61" s="71"/>
      <c r="E61" s="71"/>
      <c r="F61" s="71"/>
      <c r="G61" s="71"/>
      <c r="H61" s="71"/>
      <c r="I61" s="37"/>
      <c r="J61" s="24"/>
      <c r="L61" s="20"/>
      <c r="M61" s="21"/>
      <c r="N61" s="22"/>
    </row>
    <row r="62" spans="1:14" ht="15.75" customHeight="1">
      <c r="A62" s="45">
        <v>10</v>
      </c>
      <c r="B62" s="87" t="s">
        <v>90</v>
      </c>
      <c r="C62" s="88" t="s">
        <v>25</v>
      </c>
      <c r="D62" s="87" t="s">
        <v>178</v>
      </c>
      <c r="E62" s="89">
        <v>329.4</v>
      </c>
      <c r="F62" s="90">
        <v>2400</v>
      </c>
      <c r="G62" s="93">
        <v>1.4</v>
      </c>
      <c r="H62" s="91">
        <f>G62*F62</f>
        <v>3360</v>
      </c>
      <c r="I62" s="13">
        <f>F62/12*G62</f>
        <v>280</v>
      </c>
      <c r="J62" s="24"/>
      <c r="L62" s="20"/>
      <c r="M62" s="21"/>
      <c r="N62" s="22"/>
    </row>
    <row r="63" spans="1:14" ht="15.75" hidden="1" customHeight="1">
      <c r="A63" s="45"/>
      <c r="B63" s="87" t="s">
        <v>44</v>
      </c>
      <c r="C63" s="88" t="s">
        <v>25</v>
      </c>
      <c r="D63" s="87" t="s">
        <v>53</v>
      </c>
      <c r="E63" s="89">
        <v>1640.4</v>
      </c>
      <c r="F63" s="90">
        <v>16.404</v>
      </c>
      <c r="G63" s="94">
        <v>739.61</v>
      </c>
      <c r="H63" s="91">
        <f>G63*F63/1000</f>
        <v>12.132562439999999</v>
      </c>
      <c r="I63" s="13">
        <v>0</v>
      </c>
      <c r="J63" s="24"/>
      <c r="L63" s="20"/>
      <c r="M63" s="21"/>
      <c r="N63" s="22"/>
    </row>
    <row r="64" spans="1:14" ht="15.75" customHeight="1">
      <c r="A64" s="45"/>
      <c r="B64" s="71" t="s">
        <v>45</v>
      </c>
      <c r="C64" s="17"/>
      <c r="D64" s="41"/>
      <c r="E64" s="41"/>
      <c r="F64" s="16"/>
      <c r="G64" s="30"/>
      <c r="H64" s="30"/>
      <c r="I64" s="19"/>
      <c r="J64" s="24"/>
      <c r="L64" s="20"/>
      <c r="M64" s="21"/>
      <c r="N64" s="22"/>
    </row>
    <row r="65" spans="1:22" ht="15.75" customHeight="1">
      <c r="A65" s="45">
        <v>11</v>
      </c>
      <c r="B65" s="123" t="s">
        <v>46</v>
      </c>
      <c r="C65" s="42" t="s">
        <v>113</v>
      </c>
      <c r="D65" s="41" t="s">
        <v>309</v>
      </c>
      <c r="E65" s="18">
        <v>24</v>
      </c>
      <c r="F65" s="33">
        <f>E65*1</f>
        <v>24</v>
      </c>
      <c r="G65" s="38">
        <v>318.82</v>
      </c>
      <c r="H65" s="73">
        <f t="shared" ref="H65:H72" si="9">SUM(F65*G65/1000)</f>
        <v>7.6516800000000007</v>
      </c>
      <c r="I65" s="13">
        <f>G65*8</f>
        <v>2550.56</v>
      </c>
      <c r="J65" s="24"/>
      <c r="L65" s="20"/>
      <c r="M65" s="21"/>
      <c r="N65" s="22"/>
    </row>
    <row r="66" spans="1:22" ht="15.75" hidden="1" customHeight="1">
      <c r="A66" s="30">
        <v>29</v>
      </c>
      <c r="B66" s="15" t="s">
        <v>47</v>
      </c>
      <c r="C66" s="17" t="s">
        <v>113</v>
      </c>
      <c r="D66" s="15" t="s">
        <v>65</v>
      </c>
      <c r="E66" s="19">
        <v>15</v>
      </c>
      <c r="F66" s="78">
        <v>15</v>
      </c>
      <c r="G66" s="13">
        <v>76.25</v>
      </c>
      <c r="H66" s="73">
        <f t="shared" si="9"/>
        <v>1.14375</v>
      </c>
      <c r="I66" s="13">
        <v>0</v>
      </c>
      <c r="J66" s="24"/>
      <c r="L66" s="20"/>
      <c r="M66" s="21"/>
      <c r="N66" s="22"/>
    </row>
    <row r="67" spans="1:22" ht="15.75" hidden="1" customHeight="1">
      <c r="A67" s="30">
        <v>26</v>
      </c>
      <c r="B67" s="15" t="s">
        <v>48</v>
      </c>
      <c r="C67" s="17" t="s">
        <v>114</v>
      </c>
      <c r="D67" s="15" t="s">
        <v>53</v>
      </c>
      <c r="E67" s="77">
        <v>24648</v>
      </c>
      <c r="F67" s="13">
        <f>SUM(E67/100)</f>
        <v>246.48</v>
      </c>
      <c r="G67" s="13">
        <v>212.15</v>
      </c>
      <c r="H67" s="73">
        <f t="shared" si="9"/>
        <v>52.290731999999998</v>
      </c>
      <c r="I67" s="13">
        <f>F67*G67</f>
        <v>52290.731999999996</v>
      </c>
      <c r="J67" s="24"/>
      <c r="L67" s="20"/>
      <c r="M67" s="21"/>
      <c r="N67" s="22"/>
    </row>
    <row r="68" spans="1:22" ht="15.75" hidden="1" customHeight="1">
      <c r="A68" s="30">
        <v>27</v>
      </c>
      <c r="B68" s="15" t="s">
        <v>49</v>
      </c>
      <c r="C68" s="17" t="s">
        <v>115</v>
      </c>
      <c r="D68" s="15"/>
      <c r="E68" s="77">
        <v>24648</v>
      </c>
      <c r="F68" s="13">
        <f>SUM(E68/1000)</f>
        <v>24.648</v>
      </c>
      <c r="G68" s="13">
        <v>165.21</v>
      </c>
      <c r="H68" s="73">
        <f t="shared" si="9"/>
        <v>4.0720960800000006</v>
      </c>
      <c r="I68" s="13">
        <f t="shared" ref="I68:I71" si="10">F68*G68</f>
        <v>4072.0960800000003</v>
      </c>
      <c r="J68" s="24"/>
      <c r="L68" s="20"/>
      <c r="M68" s="21"/>
      <c r="N68" s="22"/>
    </row>
    <row r="69" spans="1:22" ht="15.75" hidden="1" customHeight="1">
      <c r="A69" s="30">
        <v>28</v>
      </c>
      <c r="B69" s="15" t="s">
        <v>50</v>
      </c>
      <c r="C69" s="17" t="s">
        <v>74</v>
      </c>
      <c r="D69" s="15" t="s">
        <v>53</v>
      </c>
      <c r="E69" s="77">
        <v>2730</v>
      </c>
      <c r="F69" s="13">
        <f>SUM(E69/100)</f>
        <v>27.3</v>
      </c>
      <c r="G69" s="13">
        <v>2074.63</v>
      </c>
      <c r="H69" s="73">
        <f t="shared" si="9"/>
        <v>56.637399000000002</v>
      </c>
      <c r="I69" s="13">
        <f t="shared" si="10"/>
        <v>56637.399000000005</v>
      </c>
      <c r="J69" s="24"/>
      <c r="L69" s="20"/>
    </row>
    <row r="70" spans="1:22" ht="15.75" hidden="1" customHeight="1">
      <c r="A70" s="30">
        <v>29</v>
      </c>
      <c r="B70" s="95" t="s">
        <v>116</v>
      </c>
      <c r="C70" s="17" t="s">
        <v>33</v>
      </c>
      <c r="D70" s="15"/>
      <c r="E70" s="77">
        <v>20.28</v>
      </c>
      <c r="F70" s="13">
        <f>SUM(E70)</f>
        <v>20.28</v>
      </c>
      <c r="G70" s="13">
        <v>45.32</v>
      </c>
      <c r="H70" s="73">
        <f t="shared" si="9"/>
        <v>0.91908960000000006</v>
      </c>
      <c r="I70" s="13">
        <f t="shared" si="10"/>
        <v>919.08960000000002</v>
      </c>
    </row>
    <row r="71" spans="1:22" ht="15.75" hidden="1" customHeight="1">
      <c r="A71" s="30">
        <v>30</v>
      </c>
      <c r="B71" s="95" t="s">
        <v>140</v>
      </c>
      <c r="C71" s="17" t="s">
        <v>33</v>
      </c>
      <c r="D71" s="15"/>
      <c r="E71" s="77">
        <v>20.28</v>
      </c>
      <c r="F71" s="13">
        <f>SUM(E71)</f>
        <v>20.28</v>
      </c>
      <c r="G71" s="13">
        <v>42.28</v>
      </c>
      <c r="H71" s="73">
        <f t="shared" si="9"/>
        <v>0.85743840000000016</v>
      </c>
      <c r="I71" s="13">
        <f t="shared" si="10"/>
        <v>857.43840000000012</v>
      </c>
    </row>
    <row r="72" spans="1:22" ht="15.75" hidden="1" customHeight="1">
      <c r="A72" s="30">
        <v>21</v>
      </c>
      <c r="B72" s="15" t="s">
        <v>56</v>
      </c>
      <c r="C72" s="17" t="s">
        <v>57</v>
      </c>
      <c r="D72" s="15" t="s">
        <v>53</v>
      </c>
      <c r="E72" s="19">
        <v>12</v>
      </c>
      <c r="F72" s="78">
        <f>SUM(E72)</f>
        <v>12</v>
      </c>
      <c r="G72" s="13">
        <v>49.88</v>
      </c>
      <c r="H72" s="73">
        <f t="shared" si="9"/>
        <v>0.59856000000000009</v>
      </c>
      <c r="I72" s="13">
        <f>G72*12</f>
        <v>598.56000000000006</v>
      </c>
    </row>
    <row r="73" spans="1:22" ht="15.75" hidden="1" customHeight="1">
      <c r="A73" s="58"/>
      <c r="B73" s="71" t="s">
        <v>117</v>
      </c>
      <c r="C73" s="71"/>
      <c r="D73" s="71"/>
      <c r="E73" s="71"/>
      <c r="F73" s="71"/>
      <c r="G73" s="71"/>
      <c r="H73" s="71"/>
      <c r="I73" s="19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0">
        <v>13</v>
      </c>
      <c r="B74" s="76" t="s">
        <v>118</v>
      </c>
      <c r="C74" s="17"/>
      <c r="D74" s="15"/>
      <c r="E74" s="74"/>
      <c r="F74" s="13">
        <v>1</v>
      </c>
      <c r="G74" s="13">
        <v>982</v>
      </c>
      <c r="H74" s="73">
        <f>G74*F74/1000</f>
        <v>0.98199999999999998</v>
      </c>
      <c r="I74" s="13">
        <f>G74</f>
        <v>982</v>
      </c>
      <c r="J74" s="26"/>
      <c r="K74" s="26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0"/>
      <c r="B75" s="53" t="s">
        <v>71</v>
      </c>
      <c r="C75" s="53"/>
      <c r="D75" s="53"/>
      <c r="E75" s="53"/>
      <c r="F75" s="19"/>
      <c r="G75" s="30"/>
      <c r="H75" s="30"/>
      <c r="I75" s="19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0"/>
      <c r="B76" s="15" t="s">
        <v>83</v>
      </c>
      <c r="C76" s="17" t="s">
        <v>31</v>
      </c>
      <c r="D76" s="15"/>
      <c r="E76" s="19">
        <v>2</v>
      </c>
      <c r="F76" s="78">
        <f>SUM(E76)</f>
        <v>2</v>
      </c>
      <c r="G76" s="13">
        <v>358.51</v>
      </c>
      <c r="H76" s="73">
        <f>SUM(F76*G76/1000)</f>
        <v>0.71701999999999999</v>
      </c>
      <c r="I76" s="13">
        <v>0</v>
      </c>
      <c r="J76" s="5"/>
      <c r="K76" s="5"/>
      <c r="L76" s="5"/>
      <c r="M76" s="5"/>
      <c r="N76" s="5"/>
      <c r="O76" s="5"/>
      <c r="P76" s="5"/>
      <c r="Q76" s="5"/>
      <c r="R76" s="178"/>
      <c r="S76" s="178"/>
      <c r="T76" s="178"/>
      <c r="U76" s="178"/>
    </row>
    <row r="77" spans="1:22" ht="15.75" hidden="1" customHeight="1">
      <c r="A77" s="30"/>
      <c r="B77" s="15" t="s">
        <v>72</v>
      </c>
      <c r="C77" s="17" t="s">
        <v>31</v>
      </c>
      <c r="D77" s="15"/>
      <c r="E77" s="19">
        <v>1</v>
      </c>
      <c r="F77" s="13">
        <v>1</v>
      </c>
      <c r="G77" s="13">
        <v>852.99</v>
      </c>
      <c r="H77" s="73">
        <f>F77*G77/1000</f>
        <v>0.85299000000000003</v>
      </c>
      <c r="I77" s="13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0"/>
      <c r="B78" s="54" t="s">
        <v>73</v>
      </c>
      <c r="C78" s="42"/>
      <c r="D78" s="30"/>
      <c r="E78" s="30"/>
      <c r="F78" s="19"/>
      <c r="G78" s="38" t="s">
        <v>134</v>
      </c>
      <c r="H78" s="38"/>
      <c r="I78" s="19"/>
    </row>
    <row r="79" spans="1:22" ht="15.75" hidden="1" customHeight="1">
      <c r="A79" s="30">
        <v>39</v>
      </c>
      <c r="B79" s="56" t="s">
        <v>119</v>
      </c>
      <c r="C79" s="17" t="s">
        <v>74</v>
      </c>
      <c r="D79" s="15"/>
      <c r="E79" s="19"/>
      <c r="F79" s="13">
        <v>1.35</v>
      </c>
      <c r="G79" s="13">
        <v>2759.44</v>
      </c>
      <c r="H79" s="73">
        <f>SUM(F79*G79/1000)</f>
        <v>3.725244</v>
      </c>
      <c r="I79" s="13">
        <v>0</v>
      </c>
    </row>
    <row r="80" spans="1:22" ht="15.75" customHeight="1">
      <c r="A80" s="113"/>
      <c r="B80" s="135" t="s">
        <v>188</v>
      </c>
      <c r="C80" s="42"/>
      <c r="D80" s="41"/>
      <c r="E80" s="18"/>
      <c r="F80" s="136"/>
      <c r="G80" s="38"/>
      <c r="H80" s="73"/>
      <c r="I80" s="13"/>
    </row>
    <row r="81" spans="1:9" ht="29.25" customHeight="1">
      <c r="A81" s="113">
        <v>12</v>
      </c>
      <c r="B81" s="41" t="s">
        <v>189</v>
      </c>
      <c r="C81" s="45" t="s">
        <v>190</v>
      </c>
      <c r="D81" s="41"/>
      <c r="E81" s="18">
        <v>5926.8</v>
      </c>
      <c r="F81" s="38">
        <f>E81*12</f>
        <v>71121.600000000006</v>
      </c>
      <c r="G81" s="38">
        <v>2.4900000000000002</v>
      </c>
      <c r="H81" s="13"/>
      <c r="I81" s="13">
        <f>G81*F81/12</f>
        <v>14757.732000000004</v>
      </c>
    </row>
    <row r="82" spans="1:9" ht="18" customHeight="1">
      <c r="A82" s="30"/>
      <c r="B82" s="53" t="s">
        <v>71</v>
      </c>
      <c r="C82" s="45"/>
      <c r="D82" s="41"/>
      <c r="E82" s="18"/>
      <c r="F82" s="38"/>
      <c r="G82" s="38"/>
      <c r="H82" s="13"/>
      <c r="I82" s="13"/>
    </row>
    <row r="83" spans="1:9" ht="29.25" customHeight="1">
      <c r="A83" s="30">
        <v>13</v>
      </c>
      <c r="B83" s="41" t="s">
        <v>191</v>
      </c>
      <c r="C83" s="42" t="s">
        <v>113</v>
      </c>
      <c r="D83" s="41" t="s">
        <v>179</v>
      </c>
      <c r="E83" s="18">
        <v>2</v>
      </c>
      <c r="F83" s="38">
        <f>E83*12</f>
        <v>24</v>
      </c>
      <c r="G83" s="38">
        <v>404</v>
      </c>
      <c r="H83" s="73"/>
      <c r="I83" s="13">
        <f>G83*F83/12</f>
        <v>808</v>
      </c>
    </row>
    <row r="84" spans="1:9" ht="29.25" customHeight="1">
      <c r="A84" s="30">
        <v>14</v>
      </c>
      <c r="B84" s="41" t="s">
        <v>192</v>
      </c>
      <c r="C84" s="42" t="s">
        <v>113</v>
      </c>
      <c r="D84" s="41" t="s">
        <v>179</v>
      </c>
      <c r="E84" s="18">
        <v>1</v>
      </c>
      <c r="F84" s="38">
        <f>E84*12</f>
        <v>12</v>
      </c>
      <c r="G84" s="38">
        <v>1759</v>
      </c>
      <c r="H84" s="73"/>
      <c r="I84" s="13">
        <f>G84*F84/12</f>
        <v>1759</v>
      </c>
    </row>
    <row r="85" spans="1:9" ht="15.75" customHeight="1">
      <c r="A85" s="169" t="s">
        <v>152</v>
      </c>
      <c r="B85" s="170"/>
      <c r="C85" s="170"/>
      <c r="D85" s="170"/>
      <c r="E85" s="170"/>
      <c r="F85" s="170"/>
      <c r="G85" s="170"/>
      <c r="H85" s="170"/>
      <c r="I85" s="171"/>
    </row>
    <row r="86" spans="1:9" ht="15.75" customHeight="1">
      <c r="A86" s="30">
        <v>15</v>
      </c>
      <c r="B86" s="41" t="s">
        <v>120</v>
      </c>
      <c r="C86" s="42" t="s">
        <v>54</v>
      </c>
      <c r="D86" s="146"/>
      <c r="E86" s="38">
        <v>5926.8</v>
      </c>
      <c r="F86" s="38">
        <f>SUM(E86*12)</f>
        <v>71121.600000000006</v>
      </c>
      <c r="G86" s="142">
        <v>3.38</v>
      </c>
      <c r="H86" s="13">
        <f>SUM(F86*G86/1000)</f>
        <v>240.391008</v>
      </c>
      <c r="I86" s="13">
        <f>F86/12*G86</f>
        <v>20032.583999999999</v>
      </c>
    </row>
    <row r="87" spans="1:9" ht="31.5" customHeight="1">
      <c r="A87" s="30">
        <v>16</v>
      </c>
      <c r="B87" s="143" t="s">
        <v>193</v>
      </c>
      <c r="C87" s="137"/>
      <c r="D87" s="144"/>
      <c r="E87" s="145">
        <f>E86</f>
        <v>5926.8</v>
      </c>
      <c r="F87" s="139">
        <f>E87*12</f>
        <v>71121.600000000006</v>
      </c>
      <c r="G87" s="139">
        <v>3.05</v>
      </c>
      <c r="H87" s="130">
        <f>F87*G87/1000</f>
        <v>216.92088000000001</v>
      </c>
      <c r="I87" s="131">
        <f>F87/12*G87</f>
        <v>18076.739999999998</v>
      </c>
    </row>
    <row r="88" spans="1:9" ht="15.75" customHeight="1">
      <c r="A88" s="58"/>
      <c r="B88" s="43" t="s">
        <v>76</v>
      </c>
      <c r="C88" s="45"/>
      <c r="D88" s="16"/>
      <c r="E88" s="16"/>
      <c r="F88" s="16"/>
      <c r="G88" s="19"/>
      <c r="H88" s="19"/>
      <c r="I88" s="32">
        <f>I87+I86+I84+I83+I81+I65+I62+I33+I31+I30+I27+I21+I20+I18+I17+I16</f>
        <v>92797.545159599991</v>
      </c>
    </row>
    <row r="89" spans="1:9" ht="15.75" customHeight="1">
      <c r="A89" s="172" t="s">
        <v>59</v>
      </c>
      <c r="B89" s="173"/>
      <c r="C89" s="173"/>
      <c r="D89" s="173"/>
      <c r="E89" s="173"/>
      <c r="F89" s="173"/>
      <c r="G89" s="173"/>
      <c r="H89" s="173"/>
      <c r="I89" s="174"/>
    </row>
    <row r="90" spans="1:9" ht="33.75" customHeight="1">
      <c r="A90" s="30">
        <v>17</v>
      </c>
      <c r="B90" s="97" t="s">
        <v>84</v>
      </c>
      <c r="C90" s="98" t="s">
        <v>86</v>
      </c>
      <c r="D90" s="63" t="s">
        <v>313</v>
      </c>
      <c r="E90" s="38"/>
      <c r="F90" s="38">
        <v>3</v>
      </c>
      <c r="G90" s="38">
        <v>670.51</v>
      </c>
      <c r="H90" s="73">
        <f t="shared" ref="H90" si="11">G90*F90/1000</f>
        <v>2.01153</v>
      </c>
      <c r="I90" s="13">
        <f>G90*1</f>
        <v>670.51</v>
      </c>
    </row>
    <row r="91" spans="1:9" ht="17.25" customHeight="1">
      <c r="A91" s="30">
        <v>18</v>
      </c>
      <c r="B91" s="97" t="s">
        <v>78</v>
      </c>
      <c r="C91" s="98" t="s">
        <v>113</v>
      </c>
      <c r="D91" s="63"/>
      <c r="E91" s="38"/>
      <c r="F91" s="38">
        <v>13</v>
      </c>
      <c r="G91" s="38">
        <v>215.85</v>
      </c>
      <c r="H91" s="73"/>
      <c r="I91" s="13">
        <f>G91*1</f>
        <v>215.85</v>
      </c>
    </row>
    <row r="92" spans="1:9" ht="17.25" customHeight="1">
      <c r="A92" s="30">
        <v>19</v>
      </c>
      <c r="B92" s="159" t="s">
        <v>159</v>
      </c>
      <c r="C92" s="98" t="s">
        <v>167</v>
      </c>
      <c r="D92" s="63" t="s">
        <v>352</v>
      </c>
      <c r="E92" s="38"/>
      <c r="F92" s="38">
        <v>74</v>
      </c>
      <c r="G92" s="38">
        <v>284</v>
      </c>
      <c r="H92" s="73"/>
      <c r="I92" s="13">
        <v>0</v>
      </c>
    </row>
    <row r="93" spans="1:9" ht="32.25" customHeight="1">
      <c r="A93" s="30">
        <v>20</v>
      </c>
      <c r="B93" s="97" t="s">
        <v>194</v>
      </c>
      <c r="C93" s="98" t="s">
        <v>37</v>
      </c>
      <c r="D93" s="63" t="s">
        <v>184</v>
      </c>
      <c r="E93" s="38"/>
      <c r="F93" s="38">
        <v>0.09</v>
      </c>
      <c r="G93" s="38">
        <v>4070.89</v>
      </c>
      <c r="H93" s="73"/>
      <c r="I93" s="13">
        <v>0</v>
      </c>
    </row>
    <row r="94" spans="1:9" ht="17.25" customHeight="1">
      <c r="A94" s="30">
        <v>21</v>
      </c>
      <c r="B94" s="97" t="s">
        <v>310</v>
      </c>
      <c r="C94" s="98" t="s">
        <v>113</v>
      </c>
      <c r="D94" s="63"/>
      <c r="E94" s="38"/>
      <c r="F94" s="38">
        <v>1</v>
      </c>
      <c r="G94" s="38">
        <v>1332.01</v>
      </c>
      <c r="H94" s="73"/>
      <c r="I94" s="13">
        <f>G94*1</f>
        <v>1332.01</v>
      </c>
    </row>
    <row r="95" spans="1:9" ht="17.25" customHeight="1">
      <c r="A95" s="30">
        <v>22</v>
      </c>
      <c r="B95" s="97" t="s">
        <v>311</v>
      </c>
      <c r="C95" s="98" t="s">
        <v>113</v>
      </c>
      <c r="D95" s="63"/>
      <c r="E95" s="38"/>
      <c r="F95" s="38">
        <v>1</v>
      </c>
      <c r="G95" s="38">
        <v>1332.01</v>
      </c>
      <c r="H95" s="73"/>
      <c r="I95" s="13">
        <f>G95*1</f>
        <v>1332.01</v>
      </c>
    </row>
    <row r="96" spans="1:9" ht="33.75" customHeight="1">
      <c r="A96" s="30">
        <v>23</v>
      </c>
      <c r="B96" s="97" t="s">
        <v>148</v>
      </c>
      <c r="C96" s="98" t="s">
        <v>97</v>
      </c>
      <c r="D96" s="63" t="s">
        <v>312</v>
      </c>
      <c r="E96" s="38"/>
      <c r="F96" s="38">
        <v>2</v>
      </c>
      <c r="G96" s="38">
        <v>61.58</v>
      </c>
      <c r="H96" s="73"/>
      <c r="I96" s="13">
        <f>G96*1</f>
        <v>61.58</v>
      </c>
    </row>
    <row r="97" spans="1:9" ht="17.25" customHeight="1">
      <c r="A97" s="30">
        <v>24</v>
      </c>
      <c r="B97" s="97" t="s">
        <v>209</v>
      </c>
      <c r="C97" s="98" t="s">
        <v>39</v>
      </c>
      <c r="D97" s="63" t="s">
        <v>183</v>
      </c>
      <c r="E97" s="38"/>
      <c r="F97" s="160">
        <v>0.11</v>
      </c>
      <c r="G97" s="38">
        <v>27139.18</v>
      </c>
      <c r="H97" s="73"/>
      <c r="I97" s="13">
        <v>0</v>
      </c>
    </row>
    <row r="98" spans="1:9" ht="17.25" customHeight="1">
      <c r="A98" s="30">
        <v>25</v>
      </c>
      <c r="B98" s="97" t="s">
        <v>315</v>
      </c>
      <c r="C98" s="98" t="s">
        <v>316</v>
      </c>
      <c r="D98" s="63"/>
      <c r="E98" s="38"/>
      <c r="F98" s="38">
        <v>1</v>
      </c>
      <c r="G98" s="38">
        <v>250828.43</v>
      </c>
      <c r="H98" s="73"/>
      <c r="I98" s="13">
        <f>G98*1</f>
        <v>250828.43</v>
      </c>
    </row>
    <row r="99" spans="1:9" ht="15.75" customHeight="1">
      <c r="A99" s="30"/>
      <c r="B99" s="50" t="s">
        <v>51</v>
      </c>
      <c r="C99" s="46"/>
      <c r="D99" s="59"/>
      <c r="E99" s="59"/>
      <c r="F99" s="46"/>
      <c r="G99" s="46"/>
      <c r="H99" s="46"/>
      <c r="I99" s="32">
        <f>SUM(I90:I98)</f>
        <v>254440.38999999998</v>
      </c>
    </row>
    <row r="100" spans="1:9" ht="15.75" customHeight="1">
      <c r="A100" s="30"/>
      <c r="B100" s="56" t="s">
        <v>75</v>
      </c>
      <c r="C100" s="16"/>
      <c r="D100" s="16"/>
      <c r="E100" s="16"/>
      <c r="F100" s="47"/>
      <c r="G100" s="48"/>
      <c r="H100" s="48"/>
      <c r="I100" s="18">
        <v>0</v>
      </c>
    </row>
    <row r="101" spans="1:9" ht="15.75" customHeight="1">
      <c r="A101" s="60"/>
      <c r="B101" s="51" t="s">
        <v>141</v>
      </c>
      <c r="C101" s="36"/>
      <c r="D101" s="36"/>
      <c r="E101" s="36"/>
      <c r="F101" s="36"/>
      <c r="G101" s="36"/>
      <c r="H101" s="36"/>
      <c r="I101" s="49">
        <f>I88+I99</f>
        <v>347237.93515959999</v>
      </c>
    </row>
    <row r="102" spans="1:9" ht="15.75" customHeight="1">
      <c r="A102" s="188" t="s">
        <v>353</v>
      </c>
      <c r="B102" s="188"/>
      <c r="C102" s="188"/>
      <c r="D102" s="188"/>
      <c r="E102" s="188"/>
      <c r="F102" s="188"/>
      <c r="G102" s="188"/>
      <c r="H102" s="188"/>
      <c r="I102" s="188"/>
    </row>
    <row r="103" spans="1:9" ht="15.75" customHeight="1">
      <c r="A103" s="72"/>
      <c r="B103" s="180" t="s">
        <v>354</v>
      </c>
      <c r="C103" s="180"/>
      <c r="D103" s="180"/>
      <c r="E103" s="180"/>
      <c r="F103" s="180"/>
      <c r="G103" s="180"/>
      <c r="H103" s="75"/>
      <c r="I103" s="3"/>
    </row>
    <row r="104" spans="1:9" ht="15.75" customHeight="1">
      <c r="A104" s="67"/>
      <c r="B104" s="176" t="s">
        <v>6</v>
      </c>
      <c r="C104" s="176"/>
      <c r="D104" s="176"/>
      <c r="E104" s="176"/>
      <c r="F104" s="176"/>
      <c r="G104" s="176"/>
      <c r="H104" s="25"/>
      <c r="I104" s="5"/>
    </row>
    <row r="105" spans="1:9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181" t="s">
        <v>7</v>
      </c>
      <c r="B106" s="181"/>
      <c r="C106" s="181"/>
      <c r="D106" s="181"/>
      <c r="E106" s="181"/>
      <c r="F106" s="181"/>
      <c r="G106" s="181"/>
      <c r="H106" s="181"/>
      <c r="I106" s="181"/>
    </row>
    <row r="107" spans="1:9" ht="15.75" customHeight="1">
      <c r="A107" s="181" t="s">
        <v>8</v>
      </c>
      <c r="B107" s="181"/>
      <c r="C107" s="181"/>
      <c r="D107" s="181"/>
      <c r="E107" s="181"/>
      <c r="F107" s="181"/>
      <c r="G107" s="181"/>
      <c r="H107" s="181"/>
      <c r="I107" s="181"/>
    </row>
    <row r="108" spans="1:9" ht="15.75" customHeight="1">
      <c r="A108" s="182" t="s">
        <v>60</v>
      </c>
      <c r="B108" s="182"/>
      <c r="C108" s="182"/>
      <c r="D108" s="182"/>
      <c r="E108" s="182"/>
      <c r="F108" s="182"/>
      <c r="G108" s="182"/>
      <c r="H108" s="182"/>
      <c r="I108" s="182"/>
    </row>
    <row r="109" spans="1:9" ht="15.75" customHeight="1">
      <c r="A109" s="11"/>
    </row>
    <row r="110" spans="1:9" ht="15.75" customHeight="1">
      <c r="A110" s="183" t="s">
        <v>9</v>
      </c>
      <c r="B110" s="183"/>
      <c r="C110" s="183"/>
      <c r="D110" s="183"/>
      <c r="E110" s="183"/>
      <c r="F110" s="183"/>
      <c r="G110" s="183"/>
      <c r="H110" s="183"/>
      <c r="I110" s="183"/>
    </row>
    <row r="111" spans="1:9" ht="15.75" customHeight="1">
      <c r="A111" s="4"/>
    </row>
    <row r="112" spans="1:9" ht="15.75" customHeight="1">
      <c r="B112" s="66" t="s">
        <v>10</v>
      </c>
      <c r="C112" s="175" t="s">
        <v>314</v>
      </c>
      <c r="D112" s="175"/>
      <c r="E112" s="175"/>
      <c r="F112" s="175"/>
      <c r="I112" s="69"/>
    </row>
    <row r="113" spans="1:9" ht="15.75" customHeight="1">
      <c r="A113" s="67"/>
      <c r="C113" s="176" t="s">
        <v>11</v>
      </c>
      <c r="D113" s="176"/>
      <c r="E113" s="176"/>
      <c r="F113" s="176"/>
      <c r="I113" s="68" t="s">
        <v>12</v>
      </c>
    </row>
    <row r="114" spans="1:9" ht="15.75" customHeight="1">
      <c r="A114" s="26"/>
      <c r="C114" s="12"/>
      <c r="D114" s="12"/>
      <c r="E114" s="12"/>
      <c r="G114" s="12"/>
      <c r="H114" s="12"/>
    </row>
    <row r="115" spans="1:9" ht="15.75" customHeight="1">
      <c r="B115" s="66" t="s">
        <v>13</v>
      </c>
      <c r="C115" s="177"/>
      <c r="D115" s="177"/>
      <c r="E115" s="177"/>
      <c r="F115" s="177"/>
      <c r="I115" s="69"/>
    </row>
    <row r="116" spans="1:9" ht="15.75" customHeight="1">
      <c r="A116" s="67"/>
      <c r="C116" s="178" t="s">
        <v>11</v>
      </c>
      <c r="D116" s="178"/>
      <c r="E116" s="178"/>
      <c r="F116" s="178"/>
      <c r="I116" s="68" t="s">
        <v>12</v>
      </c>
    </row>
    <row r="117" spans="1:9" ht="15.75" customHeight="1">
      <c r="A117" s="4" t="s">
        <v>14</v>
      </c>
    </row>
    <row r="118" spans="1:9">
      <c r="A118" s="179" t="s">
        <v>15</v>
      </c>
      <c r="B118" s="179"/>
      <c r="C118" s="179"/>
      <c r="D118" s="179"/>
      <c r="E118" s="179"/>
      <c r="F118" s="179"/>
      <c r="G118" s="179"/>
      <c r="H118" s="179"/>
      <c r="I118" s="179"/>
    </row>
    <row r="119" spans="1:9" ht="45" customHeight="1">
      <c r="A119" s="168" t="s">
        <v>16</v>
      </c>
      <c r="B119" s="168"/>
      <c r="C119" s="168"/>
      <c r="D119" s="168"/>
      <c r="E119" s="168"/>
      <c r="F119" s="168"/>
      <c r="G119" s="168"/>
      <c r="H119" s="168"/>
      <c r="I119" s="168"/>
    </row>
    <row r="120" spans="1:9" ht="30" customHeight="1">
      <c r="A120" s="168" t="s">
        <v>17</v>
      </c>
      <c r="B120" s="168"/>
      <c r="C120" s="168"/>
      <c r="D120" s="168"/>
      <c r="E120" s="168"/>
      <c r="F120" s="168"/>
      <c r="G120" s="168"/>
      <c r="H120" s="168"/>
      <c r="I120" s="168"/>
    </row>
    <row r="121" spans="1:9" ht="30" customHeight="1">
      <c r="A121" s="168" t="s">
        <v>21</v>
      </c>
      <c r="B121" s="168"/>
      <c r="C121" s="168"/>
      <c r="D121" s="168"/>
      <c r="E121" s="168"/>
      <c r="F121" s="168"/>
      <c r="G121" s="168"/>
      <c r="H121" s="168"/>
      <c r="I121" s="168"/>
    </row>
    <row r="122" spans="1:9" ht="15" customHeight="1">
      <c r="A122" s="168" t="s">
        <v>20</v>
      </c>
      <c r="B122" s="168"/>
      <c r="C122" s="168"/>
      <c r="D122" s="168"/>
      <c r="E122" s="168"/>
      <c r="F122" s="168"/>
      <c r="G122" s="168"/>
      <c r="H122" s="168"/>
      <c r="I122" s="168"/>
    </row>
  </sheetData>
  <autoFilter ref="I12:I71"/>
  <mergeCells count="29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76:U76"/>
    <mergeCell ref="C116:F116"/>
    <mergeCell ref="A89:I89"/>
    <mergeCell ref="A102:I102"/>
    <mergeCell ref="B103:G103"/>
    <mergeCell ref="B104:G104"/>
    <mergeCell ref="A106:I106"/>
    <mergeCell ref="A107:I107"/>
    <mergeCell ref="A108:I108"/>
    <mergeCell ref="A110:I110"/>
    <mergeCell ref="C112:F112"/>
    <mergeCell ref="C113:F113"/>
    <mergeCell ref="C115:F115"/>
    <mergeCell ref="A85:I85"/>
    <mergeCell ref="A118:I118"/>
    <mergeCell ref="A119:I119"/>
    <mergeCell ref="A120:I120"/>
    <mergeCell ref="A121:I121"/>
    <mergeCell ref="A122:I12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7"/>
  <sheetViews>
    <sheetView topLeftCell="A79" workbookViewId="0">
      <selection activeCell="I99" sqref="I99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0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155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317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104"/>
      <c r="C6" s="104"/>
      <c r="D6" s="104"/>
      <c r="E6" s="104"/>
      <c r="F6" s="104"/>
      <c r="G6" s="104"/>
      <c r="H6" s="104"/>
      <c r="I6" s="31">
        <v>44165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306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175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7" si="0">SUM(F16*G16/1000)</f>
        <v>62.943028199999993</v>
      </c>
      <c r="I16" s="13">
        <f>F16/12*G16</f>
        <v>5245.2523499999998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176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F17/12*G17</f>
        <v>13987.339599999998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178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F18/18*1*G18</f>
        <v>5803.9207499999993</v>
      </c>
      <c r="J18" s="23"/>
      <c r="K18" s="8"/>
      <c r="L18" s="8"/>
      <c r="M18" s="8"/>
    </row>
    <row r="19" spans="1:13" ht="15.75" hidden="1" customHeight="1">
      <c r="A19" s="30">
        <v>4</v>
      </c>
      <c r="B19" s="76" t="s">
        <v>99</v>
      </c>
      <c r="C19" s="65" t="s">
        <v>100</v>
      </c>
      <c r="D19" s="76" t="s">
        <v>101</v>
      </c>
      <c r="E19" s="77">
        <v>38.4</v>
      </c>
      <c r="F19" s="78">
        <f>SUM(E19/10)</f>
        <v>3.84</v>
      </c>
      <c r="G19" s="78">
        <v>170.16</v>
      </c>
      <c r="H19" s="79">
        <f t="shared" si="0"/>
        <v>0.65341439999999995</v>
      </c>
      <c r="I19" s="13">
        <f>F19/2*G19</f>
        <v>326.7072</v>
      </c>
      <c r="J19" s="23"/>
      <c r="K19" s="8"/>
      <c r="L19" s="8"/>
      <c r="M19" s="8"/>
    </row>
    <row r="20" spans="1:13" ht="15.75" customHeight="1">
      <c r="A20" s="30">
        <v>4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5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hidden="1" customHeight="1">
      <c r="A22" s="30">
        <v>7</v>
      </c>
      <c r="B22" s="76" t="s">
        <v>102</v>
      </c>
      <c r="C22" s="65" t="s">
        <v>52</v>
      </c>
      <c r="D22" s="76" t="s">
        <v>101</v>
      </c>
      <c r="E22" s="77">
        <v>822.72</v>
      </c>
      <c r="F22" s="78">
        <f>SUM(E22/100)</f>
        <v>8.2271999999999998</v>
      </c>
      <c r="G22" s="78">
        <v>269.26</v>
      </c>
      <c r="H22" s="79">
        <f t="shared" si="0"/>
        <v>2.2152558719999997</v>
      </c>
      <c r="I22" s="13">
        <f>F22*G22</f>
        <v>2215.2558719999997</v>
      </c>
      <c r="J22" s="23"/>
      <c r="K22" s="8"/>
      <c r="L22" s="8"/>
      <c r="M22" s="8"/>
    </row>
    <row r="23" spans="1:13" ht="15.75" hidden="1" customHeight="1">
      <c r="A23" s="30">
        <v>8</v>
      </c>
      <c r="B23" s="76" t="s">
        <v>103</v>
      </c>
      <c r="C23" s="65" t="s">
        <v>52</v>
      </c>
      <c r="D23" s="76" t="s">
        <v>101</v>
      </c>
      <c r="E23" s="80">
        <v>96.6</v>
      </c>
      <c r="F23" s="78">
        <f>SUM(E23/100)</f>
        <v>0.96599999999999997</v>
      </c>
      <c r="G23" s="78">
        <v>44.29</v>
      </c>
      <c r="H23" s="79">
        <f t="shared" si="0"/>
        <v>4.2784139999999998E-2</v>
      </c>
      <c r="I23" s="13">
        <f>F23*G23</f>
        <v>42.784140000000001</v>
      </c>
      <c r="J23" s="23"/>
      <c r="K23" s="8"/>
      <c r="L23" s="8"/>
      <c r="M23" s="8"/>
    </row>
    <row r="24" spans="1:13" ht="15.75" hidden="1" customHeight="1">
      <c r="A24" s="30">
        <v>6</v>
      </c>
      <c r="B24" s="76" t="s">
        <v>95</v>
      </c>
      <c r="C24" s="65" t="s">
        <v>52</v>
      </c>
      <c r="D24" s="76" t="s">
        <v>30</v>
      </c>
      <c r="E24" s="81">
        <v>32</v>
      </c>
      <c r="F24" s="78">
        <f>32*12/1000</f>
        <v>0.38400000000000001</v>
      </c>
      <c r="G24" s="78">
        <v>389.42</v>
      </c>
      <c r="H24" s="79">
        <f>G24*F24/100</f>
        <v>1.4953728000000002</v>
      </c>
      <c r="I24" s="13">
        <f>F24/12*G24</f>
        <v>12.461440000000001</v>
      </c>
      <c r="J24" s="23"/>
      <c r="K24" s="8"/>
      <c r="L24" s="8"/>
      <c r="M24" s="8"/>
    </row>
    <row r="25" spans="1:13" ht="15.75" hidden="1" customHeight="1">
      <c r="A25" s="30">
        <v>10</v>
      </c>
      <c r="B25" s="76" t="s">
        <v>122</v>
      </c>
      <c r="C25" s="65" t="s">
        <v>52</v>
      </c>
      <c r="D25" s="76" t="s">
        <v>53</v>
      </c>
      <c r="E25" s="82">
        <v>38</v>
      </c>
      <c r="F25" s="78">
        <v>0.38</v>
      </c>
      <c r="G25" s="78">
        <v>216.12</v>
      </c>
      <c r="H25" s="79">
        <f>G25*F25/1000</f>
        <v>8.2125600000000007E-2</v>
      </c>
      <c r="I25" s="13">
        <f>F25*G25</f>
        <v>82.125600000000006</v>
      </c>
      <c r="J25" s="23"/>
      <c r="K25" s="8"/>
      <c r="L25" s="8"/>
      <c r="M25" s="8"/>
    </row>
    <row r="26" spans="1:13" ht="15.75" hidden="1" customHeight="1">
      <c r="A26" s="30">
        <v>7</v>
      </c>
      <c r="B26" s="76" t="s">
        <v>96</v>
      </c>
      <c r="C26" s="65" t="s">
        <v>52</v>
      </c>
      <c r="D26" s="76" t="s">
        <v>123</v>
      </c>
      <c r="E26" s="77">
        <v>17</v>
      </c>
      <c r="F26" s="78">
        <f>SUM(E26*12/100)</f>
        <v>2.04</v>
      </c>
      <c r="G26" s="78">
        <v>520.79999999999995</v>
      </c>
      <c r="H26" s="79">
        <f t="shared" si="0"/>
        <v>1.062432</v>
      </c>
      <c r="I26" s="13">
        <f>F26/12*G26</f>
        <v>88.536000000000001</v>
      </c>
      <c r="J26" s="23"/>
      <c r="K26" s="8"/>
      <c r="L26" s="8"/>
      <c r="M26" s="8"/>
    </row>
    <row r="27" spans="1:13" ht="15.75" customHeight="1">
      <c r="A27" s="30">
        <v>6</v>
      </c>
      <c r="B27" s="34" t="s">
        <v>174</v>
      </c>
      <c r="C27" s="44" t="s">
        <v>33</v>
      </c>
      <c r="D27" s="34" t="s">
        <v>182</v>
      </c>
      <c r="E27" s="125">
        <v>0.2</v>
      </c>
      <c r="F27" s="33">
        <f>E27*258</f>
        <v>51.6</v>
      </c>
      <c r="G27" s="33">
        <v>289.5</v>
      </c>
      <c r="H27" s="79">
        <f t="shared" si="0"/>
        <v>14.9382</v>
      </c>
      <c r="I27" s="13">
        <f>F27/12*G27</f>
        <v>1244.8499999999999</v>
      </c>
      <c r="J27" s="23"/>
      <c r="K27" s="8"/>
      <c r="L27" s="8"/>
      <c r="M27" s="8"/>
    </row>
    <row r="28" spans="1:13" ht="15.75" hidden="1" customHeight="1">
      <c r="A28" s="30">
        <v>9</v>
      </c>
      <c r="B28" s="83" t="s">
        <v>23</v>
      </c>
      <c r="C28" s="65" t="s">
        <v>24</v>
      </c>
      <c r="D28" s="83"/>
      <c r="E28" s="77">
        <v>5926.8</v>
      </c>
      <c r="F28" s="78">
        <f>SUM(E28*12)</f>
        <v>71121.600000000006</v>
      </c>
      <c r="G28" s="78">
        <v>4.53</v>
      </c>
      <c r="H28" s="79">
        <f t="shared" ref="H28" si="1">SUM(F28*G28/1000)</f>
        <v>322.18084800000008</v>
      </c>
      <c r="I28" s="13">
        <f>F28/12*G28</f>
        <v>26848.404000000002</v>
      </c>
      <c r="J28" s="23"/>
      <c r="K28" s="8"/>
      <c r="L28" s="8"/>
      <c r="M28" s="8"/>
    </row>
    <row r="29" spans="1:13" ht="15.75" customHeight="1">
      <c r="A29" s="184" t="s">
        <v>81</v>
      </c>
      <c r="B29" s="184"/>
      <c r="C29" s="184"/>
      <c r="D29" s="184"/>
      <c r="E29" s="184"/>
      <c r="F29" s="184"/>
      <c r="G29" s="184"/>
      <c r="H29" s="184"/>
      <c r="I29" s="184"/>
      <c r="J29" s="23"/>
      <c r="K29" s="8"/>
      <c r="L29" s="8"/>
      <c r="M29" s="8"/>
    </row>
    <row r="30" spans="1:13" ht="15.75" hidden="1" customHeight="1">
      <c r="A30" s="45"/>
      <c r="B30" s="55" t="s">
        <v>28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10</v>
      </c>
      <c r="B31" s="76" t="s">
        <v>104</v>
      </c>
      <c r="C31" s="65" t="s">
        <v>105</v>
      </c>
      <c r="D31" s="76" t="s">
        <v>125</v>
      </c>
      <c r="E31" s="78">
        <v>2732.4</v>
      </c>
      <c r="F31" s="78">
        <f>SUM(E31*26/1000)</f>
        <v>71.042400000000015</v>
      </c>
      <c r="G31" s="78">
        <v>155.88999999999999</v>
      </c>
      <c r="H31" s="79">
        <f t="shared" ref="H31:H33" si="2">SUM(F31*G31/1000)</f>
        <v>11.074799736000001</v>
      </c>
      <c r="I31" s="13">
        <f>F31/6*G31</f>
        <v>1845.7999560000003</v>
      </c>
      <c r="J31" s="23"/>
      <c r="K31" s="8"/>
      <c r="L31" s="8"/>
      <c r="M31" s="8"/>
    </row>
    <row r="32" spans="1:13" ht="31.5" hidden="1" customHeight="1">
      <c r="A32" s="45">
        <v>11</v>
      </c>
      <c r="B32" s="76" t="s">
        <v>126</v>
      </c>
      <c r="C32" s="65" t="s">
        <v>105</v>
      </c>
      <c r="D32" s="76" t="s">
        <v>106</v>
      </c>
      <c r="E32" s="78">
        <v>547.85</v>
      </c>
      <c r="F32" s="78">
        <f>SUM(E32*78/1000)</f>
        <v>42.732300000000002</v>
      </c>
      <c r="G32" s="78">
        <v>258.63</v>
      </c>
      <c r="H32" s="79">
        <f t="shared" si="2"/>
        <v>11.051854749</v>
      </c>
      <c r="I32" s="13">
        <f t="shared" ref="I32:I35" si="3">F32/6*G32</f>
        <v>1841.9757915000002</v>
      </c>
      <c r="J32" s="23"/>
      <c r="K32" s="8"/>
      <c r="L32" s="8"/>
      <c r="M32" s="8"/>
    </row>
    <row r="33" spans="1:14" ht="15.75" hidden="1" customHeight="1">
      <c r="A33" s="45">
        <v>16</v>
      </c>
      <c r="B33" s="76" t="s">
        <v>27</v>
      </c>
      <c r="C33" s="65" t="s">
        <v>105</v>
      </c>
      <c r="D33" s="76" t="s">
        <v>53</v>
      </c>
      <c r="E33" s="78">
        <v>2732.4</v>
      </c>
      <c r="F33" s="78">
        <f>SUM(E33/1000)</f>
        <v>2.7324000000000002</v>
      </c>
      <c r="G33" s="78">
        <v>3020.33</v>
      </c>
      <c r="H33" s="79">
        <f t="shared" si="2"/>
        <v>8.2527496920000001</v>
      </c>
      <c r="I33" s="13">
        <f>F33*G33</f>
        <v>8252.7496919999994</v>
      </c>
      <c r="J33" s="23"/>
      <c r="K33" s="8"/>
      <c r="L33" s="8"/>
      <c r="M33" s="8"/>
    </row>
    <row r="34" spans="1:14" ht="15.75" hidden="1" customHeight="1">
      <c r="A34" s="45">
        <v>12</v>
      </c>
      <c r="B34" s="76" t="s">
        <v>124</v>
      </c>
      <c r="C34" s="65" t="s">
        <v>39</v>
      </c>
      <c r="D34" s="76" t="s">
        <v>62</v>
      </c>
      <c r="E34" s="78">
        <v>8</v>
      </c>
      <c r="F34" s="78">
        <v>12.4</v>
      </c>
      <c r="G34" s="78">
        <v>1302.02</v>
      </c>
      <c r="H34" s="79">
        <v>16.145</v>
      </c>
      <c r="I34" s="13">
        <f t="shared" si="3"/>
        <v>2690.8413333333338</v>
      </c>
      <c r="J34" s="23"/>
      <c r="K34" s="8"/>
      <c r="L34" s="8"/>
      <c r="M34" s="8"/>
    </row>
    <row r="35" spans="1:14" ht="15.75" hidden="1" customHeight="1">
      <c r="A35" s="45">
        <v>13</v>
      </c>
      <c r="B35" s="76" t="s">
        <v>107</v>
      </c>
      <c r="C35" s="65" t="s">
        <v>31</v>
      </c>
      <c r="D35" s="76" t="s">
        <v>62</v>
      </c>
      <c r="E35" s="84">
        <v>1</v>
      </c>
      <c r="F35" s="78">
        <v>155</v>
      </c>
      <c r="G35" s="78">
        <v>56.69</v>
      </c>
      <c r="H35" s="79">
        <f>SUM(G35*155/1000)</f>
        <v>8.7869499999999992</v>
      </c>
      <c r="I35" s="13">
        <f t="shared" si="3"/>
        <v>1464.4916666666666</v>
      </c>
      <c r="J35" s="23"/>
      <c r="K35" s="8"/>
      <c r="L35" s="8"/>
      <c r="M35" s="8"/>
    </row>
    <row r="36" spans="1:14" ht="15.75" hidden="1" customHeight="1">
      <c r="A36" s="45">
        <v>4</v>
      </c>
      <c r="B36" s="76" t="s">
        <v>63</v>
      </c>
      <c r="C36" s="65" t="s">
        <v>33</v>
      </c>
      <c r="D36" s="76" t="s">
        <v>65</v>
      </c>
      <c r="E36" s="77"/>
      <c r="F36" s="78">
        <v>2</v>
      </c>
      <c r="G36" s="78">
        <v>191.32</v>
      </c>
      <c r="H36" s="79">
        <f t="shared" ref="H36:H37" si="4">SUM(F36*G36/1000)</f>
        <v>0.38263999999999998</v>
      </c>
      <c r="I36" s="13">
        <v>0</v>
      </c>
      <c r="J36" s="23"/>
      <c r="K36" s="8"/>
    </row>
    <row r="37" spans="1:14" ht="15.75" hidden="1" customHeight="1">
      <c r="A37" s="30">
        <v>8</v>
      </c>
      <c r="B37" s="76" t="s">
        <v>64</v>
      </c>
      <c r="C37" s="65" t="s">
        <v>32</v>
      </c>
      <c r="D37" s="76" t="s">
        <v>65</v>
      </c>
      <c r="E37" s="77"/>
      <c r="F37" s="78">
        <v>3</v>
      </c>
      <c r="G37" s="78">
        <v>1136.32</v>
      </c>
      <c r="H37" s="79">
        <f t="shared" si="4"/>
        <v>3.40896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7</v>
      </c>
      <c r="B39" s="152" t="s">
        <v>26</v>
      </c>
      <c r="C39" s="44" t="s">
        <v>32</v>
      </c>
      <c r="D39" s="34"/>
      <c r="E39" s="132"/>
      <c r="F39" s="33">
        <v>6</v>
      </c>
      <c r="G39" s="33">
        <v>1855</v>
      </c>
      <c r="H39" s="79">
        <f>SUM(F39*G39/1000)</f>
        <v>11.13</v>
      </c>
      <c r="I39" s="13">
        <f t="shared" ref="I39:I42" si="5">F39/6*G39</f>
        <v>1855</v>
      </c>
      <c r="J39" s="24"/>
    </row>
    <row r="40" spans="1:14" ht="15.75" customHeight="1">
      <c r="A40" s="35">
        <v>7</v>
      </c>
      <c r="B40" s="152" t="s">
        <v>66</v>
      </c>
      <c r="C40" s="153" t="s">
        <v>29</v>
      </c>
      <c r="D40" s="152" t="s">
        <v>205</v>
      </c>
      <c r="E40" s="155">
        <v>214.34</v>
      </c>
      <c r="F40" s="155">
        <f>SUM(E40*30/1000)</f>
        <v>6.4302000000000001</v>
      </c>
      <c r="G40" s="155">
        <v>3014.36</v>
      </c>
      <c r="H40" s="79">
        <f t="shared" ref="H40:H44" si="6">SUM(F40*G40/1000)</f>
        <v>19.382937672000001</v>
      </c>
      <c r="I40" s="13">
        <f t="shared" si="5"/>
        <v>3230.4896120000003</v>
      </c>
      <c r="J40" s="24"/>
    </row>
    <row r="41" spans="1:14" ht="15.75" customHeight="1">
      <c r="A41" s="35">
        <v>8</v>
      </c>
      <c r="B41" s="34" t="s">
        <v>67</v>
      </c>
      <c r="C41" s="44" t="s">
        <v>29</v>
      </c>
      <c r="D41" s="34" t="s">
        <v>181</v>
      </c>
      <c r="E41" s="33">
        <v>214.34</v>
      </c>
      <c r="F41" s="155">
        <f>SUM(E41*155/1000)</f>
        <v>33.222699999999996</v>
      </c>
      <c r="G41" s="33">
        <v>502.82</v>
      </c>
      <c r="H41" s="79">
        <f t="shared" si="6"/>
        <v>16.705038013999999</v>
      </c>
      <c r="I41" s="13">
        <f t="shared" si="5"/>
        <v>2784.173002333333</v>
      </c>
      <c r="J41" s="24"/>
    </row>
    <row r="42" spans="1:14" ht="18.75" hidden="1" customHeight="1">
      <c r="A42" s="35">
        <v>12</v>
      </c>
      <c r="B42" s="34" t="s">
        <v>202</v>
      </c>
      <c r="C42" s="44" t="s">
        <v>203</v>
      </c>
      <c r="D42" s="34"/>
      <c r="E42" s="33"/>
      <c r="F42" s="155">
        <v>26</v>
      </c>
      <c r="G42" s="33">
        <v>330</v>
      </c>
      <c r="H42" s="79">
        <f t="shared" si="6"/>
        <v>8.58</v>
      </c>
      <c r="I42" s="13">
        <f t="shared" si="5"/>
        <v>1430</v>
      </c>
      <c r="J42" s="24"/>
    </row>
    <row r="43" spans="1:14" ht="35.25" customHeight="1">
      <c r="A43" s="35">
        <v>9</v>
      </c>
      <c r="B43" s="34" t="s">
        <v>79</v>
      </c>
      <c r="C43" s="44" t="s">
        <v>105</v>
      </c>
      <c r="D43" s="34" t="s">
        <v>205</v>
      </c>
      <c r="E43" s="33">
        <v>86.04</v>
      </c>
      <c r="F43" s="155">
        <f>SUM(E43*30/1000)</f>
        <v>2.5812000000000004</v>
      </c>
      <c r="G43" s="33">
        <v>8319.2999999999993</v>
      </c>
      <c r="H43" s="79">
        <f t="shared" si="6"/>
        <v>21.473777160000001</v>
      </c>
      <c r="I43" s="13">
        <f>F43/6*G43</f>
        <v>3578.9628600000005</v>
      </c>
      <c r="J43" s="24"/>
    </row>
    <row r="44" spans="1:14" ht="15.75" customHeight="1">
      <c r="A44" s="35">
        <v>10</v>
      </c>
      <c r="B44" s="34" t="s">
        <v>110</v>
      </c>
      <c r="C44" s="44" t="s">
        <v>105</v>
      </c>
      <c r="D44" s="34" t="s">
        <v>178</v>
      </c>
      <c r="E44" s="33">
        <v>214.34</v>
      </c>
      <c r="F44" s="155">
        <f>SUM(E44*30/1000)</f>
        <v>6.4302000000000001</v>
      </c>
      <c r="G44" s="33">
        <v>614.55999999999995</v>
      </c>
      <c r="H44" s="79">
        <f t="shared" si="6"/>
        <v>3.9517437119999999</v>
      </c>
      <c r="I44" s="13">
        <f>G44*F44/30*1</f>
        <v>131.72479039999999</v>
      </c>
      <c r="J44" s="24"/>
      <c r="L44" s="20"/>
      <c r="M44" s="21"/>
      <c r="N44" s="22"/>
    </row>
    <row r="45" spans="1:14" ht="15.75" customHeight="1">
      <c r="A45" s="149">
        <v>11</v>
      </c>
      <c r="B45" s="152" t="s">
        <v>69</v>
      </c>
      <c r="C45" s="153" t="s">
        <v>33</v>
      </c>
      <c r="D45" s="152"/>
      <c r="E45" s="154"/>
      <c r="F45" s="155">
        <v>0.9</v>
      </c>
      <c r="G45" s="155">
        <v>800</v>
      </c>
      <c r="H45" s="150"/>
      <c r="I45" s="151">
        <f>G45*F45/30*1</f>
        <v>24</v>
      </c>
      <c r="J45" s="24"/>
      <c r="L45" s="20"/>
      <c r="M45" s="21"/>
      <c r="N45" s="22"/>
    </row>
    <row r="46" spans="1:14" ht="29.25" customHeight="1">
      <c r="A46" s="149">
        <v>12</v>
      </c>
      <c r="B46" s="152" t="s">
        <v>204</v>
      </c>
      <c r="C46" s="153" t="s">
        <v>105</v>
      </c>
      <c r="D46" s="152" t="s">
        <v>177</v>
      </c>
      <c r="E46" s="154">
        <v>1.2</v>
      </c>
      <c r="F46" s="155">
        <f>E46*12/1000</f>
        <v>1.4399999999999998E-2</v>
      </c>
      <c r="G46" s="155">
        <v>19757.060000000001</v>
      </c>
      <c r="H46" s="150"/>
      <c r="I46" s="151">
        <f>G46*F46/6</f>
        <v>47.416944000000001</v>
      </c>
      <c r="J46" s="24"/>
      <c r="L46" s="20"/>
      <c r="M46" s="21"/>
      <c r="N46" s="22"/>
    </row>
    <row r="47" spans="1:14" ht="15.75" customHeight="1">
      <c r="A47" s="185" t="s">
        <v>136</v>
      </c>
      <c r="B47" s="186"/>
      <c r="C47" s="186"/>
      <c r="D47" s="186"/>
      <c r="E47" s="186"/>
      <c r="F47" s="186"/>
      <c r="G47" s="186"/>
      <c r="H47" s="186"/>
      <c r="I47" s="187"/>
      <c r="J47" s="24"/>
      <c r="L47" s="20"/>
      <c r="M47" s="21"/>
      <c r="N47" s="22"/>
    </row>
    <row r="48" spans="1:14" ht="15.75" hidden="1" customHeight="1">
      <c r="A48" s="45">
        <v>14</v>
      </c>
      <c r="B48" s="76" t="s">
        <v>111</v>
      </c>
      <c r="C48" s="65" t="s">
        <v>105</v>
      </c>
      <c r="D48" s="76" t="s">
        <v>41</v>
      </c>
      <c r="E48" s="77">
        <v>1640.4</v>
      </c>
      <c r="F48" s="78">
        <f>SUM(E48*2/1000)</f>
        <v>3.2808000000000002</v>
      </c>
      <c r="G48" s="13">
        <v>849.49</v>
      </c>
      <c r="H48" s="79">
        <f t="shared" ref="H48:H56" si="7">SUM(F48*G48/1000)</f>
        <v>2.7870067920000001</v>
      </c>
      <c r="I48" s="13">
        <f t="shared" ref="I48:I50" si="8">F48/2*G48</f>
        <v>1393.5033960000001</v>
      </c>
      <c r="J48" s="24"/>
      <c r="L48" s="20"/>
      <c r="M48" s="21"/>
      <c r="N48" s="22"/>
    </row>
    <row r="49" spans="1:14" ht="15.75" hidden="1" customHeight="1">
      <c r="A49" s="45">
        <v>15</v>
      </c>
      <c r="B49" s="76" t="s">
        <v>34</v>
      </c>
      <c r="C49" s="65" t="s">
        <v>105</v>
      </c>
      <c r="D49" s="76" t="s">
        <v>41</v>
      </c>
      <c r="E49" s="77">
        <v>918.25</v>
      </c>
      <c r="F49" s="78">
        <f>SUM(E49*2/1000)</f>
        <v>1.8365</v>
      </c>
      <c r="G49" s="13">
        <v>579.48</v>
      </c>
      <c r="H49" s="79">
        <f t="shared" si="7"/>
        <v>1.06421502</v>
      </c>
      <c r="I49" s="13">
        <f t="shared" si="8"/>
        <v>532.10751000000005</v>
      </c>
      <c r="J49" s="24"/>
      <c r="L49" s="20"/>
      <c r="M49" s="21"/>
      <c r="N49" s="22"/>
    </row>
    <row r="50" spans="1:14" ht="15.75" hidden="1" customHeight="1">
      <c r="A50" s="45">
        <v>16</v>
      </c>
      <c r="B50" s="76" t="s">
        <v>35</v>
      </c>
      <c r="C50" s="65" t="s">
        <v>105</v>
      </c>
      <c r="D50" s="76" t="s">
        <v>41</v>
      </c>
      <c r="E50" s="77">
        <v>5592.26</v>
      </c>
      <c r="F50" s="78">
        <f>SUM(E50*2/1000)</f>
        <v>11.184520000000001</v>
      </c>
      <c r="G50" s="13">
        <v>579.48</v>
      </c>
      <c r="H50" s="79">
        <f t="shared" si="7"/>
        <v>6.4812056496000006</v>
      </c>
      <c r="I50" s="13">
        <f t="shared" si="8"/>
        <v>3240.6028248000002</v>
      </c>
      <c r="J50" s="24"/>
      <c r="L50" s="20"/>
      <c r="M50" s="21"/>
      <c r="N50" s="22"/>
    </row>
    <row r="51" spans="1:14" ht="15.75" hidden="1" customHeight="1">
      <c r="A51" s="45">
        <v>17</v>
      </c>
      <c r="B51" s="76" t="s">
        <v>36</v>
      </c>
      <c r="C51" s="65" t="s">
        <v>105</v>
      </c>
      <c r="D51" s="76" t="s">
        <v>41</v>
      </c>
      <c r="E51" s="77">
        <v>2817.65</v>
      </c>
      <c r="F51" s="78">
        <f>SUM(E51*2/1000)</f>
        <v>5.6353</v>
      </c>
      <c r="G51" s="13">
        <v>606.77</v>
      </c>
      <c r="H51" s="79">
        <f t="shared" si="7"/>
        <v>3.4193309809999999</v>
      </c>
      <c r="I51" s="13">
        <f>F51/2*G51</f>
        <v>1709.6654905</v>
      </c>
      <c r="J51" s="24"/>
      <c r="L51" s="20"/>
      <c r="M51" s="21"/>
      <c r="N51" s="22"/>
    </row>
    <row r="52" spans="1:14" ht="15.75" hidden="1" customHeight="1">
      <c r="A52" s="45">
        <v>18</v>
      </c>
      <c r="B52" s="76" t="s">
        <v>55</v>
      </c>
      <c r="C52" s="65" t="s">
        <v>105</v>
      </c>
      <c r="D52" s="76" t="s">
        <v>129</v>
      </c>
      <c r="E52" s="77">
        <v>3280.8</v>
      </c>
      <c r="F52" s="78">
        <f>SUM(E52*5/1000)</f>
        <v>16.404</v>
      </c>
      <c r="G52" s="13">
        <v>1213.55</v>
      </c>
      <c r="H52" s="79">
        <f t="shared" si="7"/>
        <v>19.9070742</v>
      </c>
      <c r="I52" s="13">
        <f>F52/5*G52</f>
        <v>3981.4148399999999</v>
      </c>
      <c r="J52" s="24"/>
      <c r="L52" s="20"/>
      <c r="M52" s="21"/>
      <c r="N52" s="22"/>
    </row>
    <row r="53" spans="1:14" ht="31.5" hidden="1" customHeight="1">
      <c r="A53" s="45">
        <v>14</v>
      </c>
      <c r="B53" s="76" t="s">
        <v>112</v>
      </c>
      <c r="C53" s="65" t="s">
        <v>105</v>
      </c>
      <c r="D53" s="76" t="s">
        <v>41</v>
      </c>
      <c r="E53" s="77">
        <v>3280.8</v>
      </c>
      <c r="F53" s="78">
        <f>SUM(E53*2/1000)</f>
        <v>6.5616000000000003</v>
      </c>
      <c r="G53" s="13">
        <v>1213.55</v>
      </c>
      <c r="H53" s="79">
        <f t="shared" si="7"/>
        <v>7.9628296799999996</v>
      </c>
      <c r="I53" s="13">
        <f>F53/2*G53</f>
        <v>3981.4148399999999</v>
      </c>
      <c r="J53" s="24"/>
      <c r="L53" s="20"/>
      <c r="M53" s="21"/>
      <c r="N53" s="22"/>
    </row>
    <row r="54" spans="1:14" ht="31.5" hidden="1" customHeight="1">
      <c r="A54" s="45">
        <v>15</v>
      </c>
      <c r="B54" s="76" t="s">
        <v>128</v>
      </c>
      <c r="C54" s="65" t="s">
        <v>37</v>
      </c>
      <c r="D54" s="76" t="s">
        <v>41</v>
      </c>
      <c r="E54" s="77">
        <v>40</v>
      </c>
      <c r="F54" s="78">
        <f>SUM(E54*2/100)</f>
        <v>0.8</v>
      </c>
      <c r="G54" s="13">
        <v>2730.49</v>
      </c>
      <c r="H54" s="79">
        <f t="shared" si="7"/>
        <v>2.1843919999999999</v>
      </c>
      <c r="I54" s="13">
        <f>F54/2*G54</f>
        <v>1092.1959999999999</v>
      </c>
      <c r="J54" s="24"/>
      <c r="L54" s="20"/>
      <c r="M54" s="21"/>
      <c r="N54" s="22"/>
    </row>
    <row r="55" spans="1:14" ht="15.75" hidden="1" customHeight="1">
      <c r="A55" s="45">
        <v>16</v>
      </c>
      <c r="B55" s="76" t="s">
        <v>38</v>
      </c>
      <c r="C55" s="65" t="s">
        <v>39</v>
      </c>
      <c r="D55" s="76" t="s">
        <v>41</v>
      </c>
      <c r="E55" s="77">
        <v>1</v>
      </c>
      <c r="F55" s="78">
        <v>0.02</v>
      </c>
      <c r="G55" s="13">
        <v>5652.13</v>
      </c>
      <c r="H55" s="79">
        <f t="shared" si="7"/>
        <v>0.11304260000000001</v>
      </c>
      <c r="I55" s="13">
        <f>F55/2*G55</f>
        <v>56.521300000000004</v>
      </c>
      <c r="J55" s="24"/>
      <c r="L55" s="20"/>
      <c r="M55" s="21"/>
      <c r="N55" s="22"/>
    </row>
    <row r="56" spans="1:14" ht="15.75" customHeight="1">
      <c r="A56" s="45">
        <v>13</v>
      </c>
      <c r="B56" s="76" t="s">
        <v>40</v>
      </c>
      <c r="C56" s="65" t="s">
        <v>113</v>
      </c>
      <c r="D56" s="126">
        <v>44146</v>
      </c>
      <c r="E56" s="77">
        <v>238</v>
      </c>
      <c r="F56" s="78">
        <f>SUM(E56)*3</f>
        <v>714</v>
      </c>
      <c r="G56" s="164">
        <v>87.32</v>
      </c>
      <c r="H56" s="79">
        <f t="shared" si="7"/>
        <v>62.346479999999993</v>
      </c>
      <c r="I56" s="13">
        <f>E56*G56</f>
        <v>20782.16</v>
      </c>
      <c r="J56" s="24"/>
      <c r="L56" s="20"/>
      <c r="M56" s="21"/>
      <c r="N56" s="22"/>
    </row>
    <row r="57" spans="1:14" ht="15.75" customHeight="1">
      <c r="A57" s="185" t="s">
        <v>151</v>
      </c>
      <c r="B57" s="186"/>
      <c r="C57" s="186"/>
      <c r="D57" s="186"/>
      <c r="E57" s="186"/>
      <c r="F57" s="186"/>
      <c r="G57" s="186"/>
      <c r="H57" s="186"/>
      <c r="I57" s="187"/>
      <c r="J57" s="24"/>
      <c r="L57" s="20"/>
      <c r="M57" s="21"/>
      <c r="N57" s="22"/>
    </row>
    <row r="58" spans="1:14" ht="15.75" hidden="1" customHeight="1">
      <c r="A58" s="147"/>
      <c r="B58" s="52" t="s">
        <v>42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16</v>
      </c>
      <c r="B59" s="34" t="s">
        <v>131</v>
      </c>
      <c r="C59" s="44" t="s">
        <v>98</v>
      </c>
      <c r="D59" s="34" t="s">
        <v>132</v>
      </c>
      <c r="E59" s="132">
        <v>164.04</v>
      </c>
      <c r="F59" s="38">
        <f>E59*6/100</f>
        <v>9.8423999999999996</v>
      </c>
      <c r="G59" s="156">
        <v>2218.11</v>
      </c>
      <c r="H59" s="79">
        <f>F59*G59/1000</f>
        <v>21.831525864</v>
      </c>
      <c r="I59" s="13">
        <f>F59/6*G59</f>
        <v>3638.5876439999997</v>
      </c>
      <c r="J59" s="24"/>
      <c r="L59" s="20"/>
      <c r="M59" s="21"/>
      <c r="N59" s="22"/>
    </row>
    <row r="60" spans="1:14" ht="15.75" hidden="1" customHeight="1">
      <c r="A60" s="45">
        <v>14</v>
      </c>
      <c r="B60" s="62" t="s">
        <v>89</v>
      </c>
      <c r="C60" s="57" t="s">
        <v>98</v>
      </c>
      <c r="D60" s="62" t="s">
        <v>178</v>
      </c>
      <c r="E60" s="108">
        <v>8</v>
      </c>
      <c r="F60" s="109">
        <f>E60*6/100</f>
        <v>0.48</v>
      </c>
      <c r="G60" s="156">
        <v>2218.11</v>
      </c>
      <c r="H60" s="91">
        <f>F60*G60/1000</f>
        <v>1.0646928</v>
      </c>
      <c r="I60" s="13">
        <f>F60/6*G60</f>
        <v>177.44880000000001</v>
      </c>
      <c r="J60" s="24"/>
      <c r="L60" s="20"/>
      <c r="M60" s="21"/>
      <c r="N60" s="22"/>
    </row>
    <row r="61" spans="1:14" ht="15.75" hidden="1" customHeight="1">
      <c r="A61" s="45"/>
      <c r="B61" s="62" t="s">
        <v>93</v>
      </c>
      <c r="C61" s="57" t="s">
        <v>94</v>
      </c>
      <c r="D61" s="62" t="s">
        <v>41</v>
      </c>
      <c r="E61" s="108">
        <v>8</v>
      </c>
      <c r="F61" s="109">
        <v>16</v>
      </c>
      <c r="G61" s="157">
        <v>259.16000000000003</v>
      </c>
      <c r="H61" s="91">
        <f>F61*G61/1000</f>
        <v>4.14656</v>
      </c>
      <c r="I61" s="13">
        <v>0</v>
      </c>
      <c r="J61" s="24"/>
      <c r="L61" s="20"/>
      <c r="M61" s="21"/>
      <c r="N61" s="22"/>
    </row>
    <row r="62" spans="1:14" ht="15.75" hidden="1" customHeight="1">
      <c r="A62" s="45"/>
      <c r="B62" s="62" t="s">
        <v>206</v>
      </c>
      <c r="C62" s="57" t="s">
        <v>207</v>
      </c>
      <c r="D62" s="62" t="s">
        <v>65</v>
      </c>
      <c r="E62" s="108"/>
      <c r="F62" s="110">
        <v>8</v>
      </c>
      <c r="G62" s="38">
        <v>1730</v>
      </c>
      <c r="H62" s="150"/>
      <c r="I62" s="13"/>
      <c r="J62" s="24"/>
      <c r="L62" s="20"/>
      <c r="M62" s="21"/>
      <c r="N62" s="22"/>
    </row>
    <row r="63" spans="1:14" ht="15.75" customHeight="1">
      <c r="A63" s="45"/>
      <c r="B63" s="148" t="s">
        <v>43</v>
      </c>
      <c r="C63" s="148"/>
      <c r="D63" s="148"/>
      <c r="E63" s="148"/>
      <c r="F63" s="148"/>
      <c r="G63" s="148"/>
      <c r="H63" s="148"/>
      <c r="I63" s="37"/>
      <c r="J63" s="24"/>
      <c r="L63" s="20"/>
      <c r="M63" s="21"/>
      <c r="N63" s="22"/>
    </row>
    <row r="64" spans="1:14" ht="15.75" customHeight="1">
      <c r="A64" s="45">
        <v>14</v>
      </c>
      <c r="B64" s="87" t="s">
        <v>90</v>
      </c>
      <c r="C64" s="88" t="s">
        <v>25</v>
      </c>
      <c r="D64" s="87" t="s">
        <v>178</v>
      </c>
      <c r="E64" s="89">
        <v>329.4</v>
      </c>
      <c r="F64" s="90">
        <v>2400</v>
      </c>
      <c r="G64" s="93">
        <v>1.4</v>
      </c>
      <c r="H64" s="91">
        <f>G64*F64</f>
        <v>3360</v>
      </c>
      <c r="I64" s="13">
        <f>F64/12*G64</f>
        <v>280</v>
      </c>
      <c r="J64" s="24"/>
      <c r="L64" s="20"/>
      <c r="M64" s="21"/>
      <c r="N64" s="22"/>
    </row>
    <row r="65" spans="1:22" ht="15.75" hidden="1" customHeight="1">
      <c r="A65" s="45"/>
      <c r="B65" s="87" t="s">
        <v>44</v>
      </c>
      <c r="C65" s="88" t="s">
        <v>25</v>
      </c>
      <c r="D65" s="87" t="s">
        <v>53</v>
      </c>
      <c r="E65" s="89">
        <v>1640.4</v>
      </c>
      <c r="F65" s="90">
        <v>16.404</v>
      </c>
      <c r="G65" s="94">
        <v>739.61</v>
      </c>
      <c r="H65" s="91">
        <f>G65*F65/1000</f>
        <v>12.132562439999999</v>
      </c>
      <c r="I65" s="13">
        <v>0</v>
      </c>
      <c r="J65" s="24"/>
      <c r="L65" s="20"/>
      <c r="M65" s="21"/>
      <c r="N65" s="22"/>
    </row>
    <row r="66" spans="1:22" ht="15.75" customHeight="1">
      <c r="A66" s="45"/>
      <c r="B66" s="148" t="s">
        <v>45</v>
      </c>
      <c r="C66" s="17"/>
      <c r="D66" s="41"/>
      <c r="E66" s="41"/>
      <c r="F66" s="16"/>
      <c r="G66" s="30"/>
      <c r="H66" s="30"/>
      <c r="I66" s="19"/>
      <c r="J66" s="24"/>
      <c r="L66" s="20"/>
      <c r="M66" s="21"/>
      <c r="N66" s="22"/>
    </row>
    <row r="67" spans="1:22" ht="15.75" customHeight="1">
      <c r="A67" s="45">
        <v>15</v>
      </c>
      <c r="B67" s="123" t="s">
        <v>46</v>
      </c>
      <c r="C67" s="42" t="s">
        <v>113</v>
      </c>
      <c r="D67" s="41" t="s">
        <v>178</v>
      </c>
      <c r="E67" s="18">
        <v>24</v>
      </c>
      <c r="F67" s="33">
        <f>E67*1</f>
        <v>24</v>
      </c>
      <c r="G67" s="38">
        <v>318.82</v>
      </c>
      <c r="H67" s="73">
        <f t="shared" ref="H67:H74" si="9">SUM(F67*G67/1000)</f>
        <v>7.6516800000000007</v>
      </c>
      <c r="I67" s="13">
        <f>G67</f>
        <v>318.82</v>
      </c>
      <c r="J67" s="24"/>
      <c r="L67" s="20"/>
      <c r="M67" s="21"/>
      <c r="N67" s="22"/>
    </row>
    <row r="68" spans="1:22" ht="15.75" hidden="1" customHeight="1">
      <c r="A68" s="30">
        <v>29</v>
      </c>
      <c r="B68" s="15" t="s">
        <v>47</v>
      </c>
      <c r="C68" s="17" t="s">
        <v>113</v>
      </c>
      <c r="D68" s="15" t="s">
        <v>65</v>
      </c>
      <c r="E68" s="19">
        <v>15</v>
      </c>
      <c r="F68" s="78">
        <v>15</v>
      </c>
      <c r="G68" s="13">
        <v>76.25</v>
      </c>
      <c r="H68" s="73">
        <f t="shared" si="9"/>
        <v>1.14375</v>
      </c>
      <c r="I68" s="13">
        <v>0</v>
      </c>
      <c r="J68" s="24"/>
      <c r="L68" s="20"/>
      <c r="M68" s="21"/>
      <c r="N68" s="22"/>
    </row>
    <row r="69" spans="1:22" ht="15.75" hidden="1" customHeight="1">
      <c r="A69" s="30">
        <v>26</v>
      </c>
      <c r="B69" s="15" t="s">
        <v>48</v>
      </c>
      <c r="C69" s="17" t="s">
        <v>114</v>
      </c>
      <c r="D69" s="15" t="s">
        <v>53</v>
      </c>
      <c r="E69" s="77">
        <v>24648</v>
      </c>
      <c r="F69" s="13">
        <f>SUM(E69/100)</f>
        <v>246.48</v>
      </c>
      <c r="G69" s="13">
        <v>212.15</v>
      </c>
      <c r="H69" s="73">
        <f t="shared" si="9"/>
        <v>52.290731999999998</v>
      </c>
      <c r="I69" s="13">
        <f>F69*G69</f>
        <v>52290.731999999996</v>
      </c>
      <c r="J69" s="24"/>
      <c r="L69" s="20"/>
      <c r="M69" s="21"/>
      <c r="N69" s="22"/>
    </row>
    <row r="70" spans="1:22" ht="15.75" hidden="1" customHeight="1">
      <c r="A70" s="30">
        <v>27</v>
      </c>
      <c r="B70" s="15" t="s">
        <v>49</v>
      </c>
      <c r="C70" s="17" t="s">
        <v>115</v>
      </c>
      <c r="D70" s="15"/>
      <c r="E70" s="77">
        <v>24648</v>
      </c>
      <c r="F70" s="13">
        <f>SUM(E70/1000)</f>
        <v>24.648</v>
      </c>
      <c r="G70" s="13">
        <v>165.21</v>
      </c>
      <c r="H70" s="73">
        <f t="shared" si="9"/>
        <v>4.0720960800000006</v>
      </c>
      <c r="I70" s="13">
        <f t="shared" ref="I70:I73" si="10">F70*G70</f>
        <v>4072.0960800000003</v>
      </c>
      <c r="J70" s="24"/>
      <c r="L70" s="20"/>
      <c r="M70" s="21"/>
      <c r="N70" s="22"/>
    </row>
    <row r="71" spans="1:22" ht="15.75" hidden="1" customHeight="1">
      <c r="A71" s="30">
        <v>28</v>
      </c>
      <c r="B71" s="15" t="s">
        <v>50</v>
      </c>
      <c r="C71" s="17" t="s">
        <v>74</v>
      </c>
      <c r="D71" s="15" t="s">
        <v>53</v>
      </c>
      <c r="E71" s="77">
        <v>2730</v>
      </c>
      <c r="F71" s="13">
        <f>SUM(E71/100)</f>
        <v>27.3</v>
      </c>
      <c r="G71" s="13">
        <v>2074.63</v>
      </c>
      <c r="H71" s="73">
        <f t="shared" si="9"/>
        <v>56.637399000000002</v>
      </c>
      <c r="I71" s="13">
        <f t="shared" si="10"/>
        <v>56637.399000000005</v>
      </c>
      <c r="J71" s="24"/>
      <c r="L71" s="20"/>
    </row>
    <row r="72" spans="1:22" ht="15.75" hidden="1" customHeight="1">
      <c r="A72" s="30">
        <v>29</v>
      </c>
      <c r="B72" s="95" t="s">
        <v>116</v>
      </c>
      <c r="C72" s="17" t="s">
        <v>33</v>
      </c>
      <c r="D72" s="15"/>
      <c r="E72" s="77">
        <v>20.28</v>
      </c>
      <c r="F72" s="13">
        <f>SUM(E72)</f>
        <v>20.28</v>
      </c>
      <c r="G72" s="13">
        <v>45.32</v>
      </c>
      <c r="H72" s="73">
        <f t="shared" si="9"/>
        <v>0.91908960000000006</v>
      </c>
      <c r="I72" s="13">
        <f t="shared" si="10"/>
        <v>919.08960000000002</v>
      </c>
    </row>
    <row r="73" spans="1:22" ht="15.75" hidden="1" customHeight="1">
      <c r="A73" s="30">
        <v>30</v>
      </c>
      <c r="B73" s="95" t="s">
        <v>140</v>
      </c>
      <c r="C73" s="17" t="s">
        <v>33</v>
      </c>
      <c r="D73" s="15"/>
      <c r="E73" s="77">
        <v>20.28</v>
      </c>
      <c r="F73" s="13">
        <f>SUM(E73)</f>
        <v>20.28</v>
      </c>
      <c r="G73" s="13">
        <v>42.28</v>
      </c>
      <c r="H73" s="73">
        <f t="shared" si="9"/>
        <v>0.85743840000000016</v>
      </c>
      <c r="I73" s="13">
        <f t="shared" si="10"/>
        <v>857.43840000000012</v>
      </c>
    </row>
    <row r="74" spans="1:22" ht="15.75" hidden="1" customHeight="1">
      <c r="A74" s="30">
        <v>21</v>
      </c>
      <c r="B74" s="15" t="s">
        <v>56</v>
      </c>
      <c r="C74" s="17" t="s">
        <v>57</v>
      </c>
      <c r="D74" s="15" t="s">
        <v>53</v>
      </c>
      <c r="E74" s="19">
        <v>12</v>
      </c>
      <c r="F74" s="78">
        <f>SUM(E74)</f>
        <v>12</v>
      </c>
      <c r="G74" s="13">
        <v>49.88</v>
      </c>
      <c r="H74" s="73">
        <f t="shared" si="9"/>
        <v>0.59856000000000009</v>
      </c>
      <c r="I74" s="13">
        <f>G74*12</f>
        <v>598.56000000000006</v>
      </c>
    </row>
    <row r="75" spans="1:22" ht="15.75" customHeight="1">
      <c r="A75" s="30"/>
      <c r="B75" s="135" t="s">
        <v>188</v>
      </c>
      <c r="C75" s="42"/>
      <c r="D75" s="41"/>
      <c r="E75" s="18"/>
      <c r="F75" s="136"/>
      <c r="G75" s="38"/>
      <c r="H75" s="73"/>
      <c r="I75" s="13"/>
    </row>
    <row r="76" spans="1:22" ht="31.5" customHeight="1">
      <c r="A76" s="30">
        <v>16</v>
      </c>
      <c r="B76" s="41" t="s">
        <v>189</v>
      </c>
      <c r="C76" s="45" t="s">
        <v>190</v>
      </c>
      <c r="D76" s="41"/>
      <c r="E76" s="18">
        <v>5926.8</v>
      </c>
      <c r="F76" s="38">
        <f>E76*12</f>
        <v>71121.600000000006</v>
      </c>
      <c r="G76" s="38">
        <v>2.4900000000000002</v>
      </c>
      <c r="H76" s="13"/>
      <c r="I76" s="13">
        <f>G76*F76/12</f>
        <v>14757.732000000004</v>
      </c>
    </row>
    <row r="77" spans="1:22" ht="15.75" hidden="1" customHeight="1">
      <c r="A77" s="147"/>
      <c r="B77" s="148" t="s">
        <v>117</v>
      </c>
      <c r="C77" s="148"/>
      <c r="D77" s="148"/>
      <c r="E77" s="148"/>
      <c r="F77" s="148"/>
      <c r="G77" s="148"/>
      <c r="H77" s="148"/>
      <c r="I77" s="1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9"/>
    </row>
    <row r="78" spans="1:22" ht="15.75" hidden="1" customHeight="1">
      <c r="A78" s="30">
        <v>16</v>
      </c>
      <c r="B78" s="76" t="s">
        <v>118</v>
      </c>
      <c r="C78" s="17"/>
      <c r="D78" s="15"/>
      <c r="E78" s="74"/>
      <c r="F78" s="13">
        <v>1</v>
      </c>
      <c r="G78" s="13">
        <v>27356</v>
      </c>
      <c r="H78" s="73">
        <f>G78*F78/1000</f>
        <v>27.356000000000002</v>
      </c>
      <c r="I78" s="13">
        <f>G78</f>
        <v>27356</v>
      </c>
      <c r="J78" s="26"/>
      <c r="K78" s="26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2" ht="15.75" customHeight="1">
      <c r="A79" s="30"/>
      <c r="B79" s="53" t="s">
        <v>71</v>
      </c>
      <c r="C79" s="53"/>
      <c r="D79" s="53"/>
      <c r="E79" s="53"/>
      <c r="F79" s="19"/>
      <c r="G79" s="30"/>
      <c r="H79" s="30"/>
      <c r="I79" s="19"/>
      <c r="J79" s="3"/>
      <c r="K79" s="3"/>
      <c r="L79" s="3"/>
      <c r="M79" s="3"/>
      <c r="N79" s="3"/>
      <c r="O79" s="3"/>
      <c r="P79" s="3"/>
      <c r="Q79" s="3"/>
      <c r="S79" s="3"/>
      <c r="T79" s="3"/>
      <c r="U79" s="3"/>
    </row>
    <row r="80" spans="1:22" ht="30" customHeight="1">
      <c r="A80" s="30">
        <v>17</v>
      </c>
      <c r="B80" s="41" t="s">
        <v>191</v>
      </c>
      <c r="C80" s="42" t="s">
        <v>113</v>
      </c>
      <c r="D80" s="41" t="s">
        <v>179</v>
      </c>
      <c r="E80" s="18">
        <v>2</v>
      </c>
      <c r="F80" s="38">
        <f>E80*12</f>
        <v>24</v>
      </c>
      <c r="G80" s="38">
        <v>404</v>
      </c>
      <c r="H80" s="73"/>
      <c r="I80" s="13">
        <f>G80*F80/12</f>
        <v>808</v>
      </c>
      <c r="J80" s="5"/>
      <c r="K80" s="5"/>
      <c r="L80" s="5"/>
      <c r="M80" s="5"/>
      <c r="N80" s="5"/>
      <c r="O80" s="5"/>
      <c r="P80" s="5"/>
      <c r="Q80" s="5"/>
      <c r="R80" s="178"/>
      <c r="S80" s="178"/>
      <c r="T80" s="178"/>
      <c r="U80" s="178"/>
    </row>
    <row r="81" spans="1:21" ht="15.75" customHeight="1">
      <c r="A81" s="30"/>
      <c r="B81" s="41" t="s">
        <v>192</v>
      </c>
      <c r="C81" s="42" t="s">
        <v>113</v>
      </c>
      <c r="D81" s="41" t="s">
        <v>179</v>
      </c>
      <c r="E81" s="18">
        <v>1</v>
      </c>
      <c r="F81" s="38">
        <f>E81*12</f>
        <v>12</v>
      </c>
      <c r="G81" s="38">
        <v>1759</v>
      </c>
      <c r="H81" s="73"/>
      <c r="I81" s="13">
        <f>G81*F81/12</f>
        <v>1759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/>
      <c r="B82" s="54" t="s">
        <v>73</v>
      </c>
      <c r="C82" s="42"/>
      <c r="D82" s="30"/>
      <c r="E82" s="30"/>
      <c r="F82" s="19"/>
      <c r="G82" s="38" t="s">
        <v>134</v>
      </c>
      <c r="H82" s="38"/>
      <c r="I82" s="19"/>
    </row>
    <row r="83" spans="1:21" ht="15.75" hidden="1" customHeight="1">
      <c r="A83" s="30">
        <v>39</v>
      </c>
      <c r="B83" s="56" t="s">
        <v>119</v>
      </c>
      <c r="C83" s="17" t="s">
        <v>74</v>
      </c>
      <c r="D83" s="15"/>
      <c r="E83" s="19"/>
      <c r="F83" s="13">
        <v>1.35</v>
      </c>
      <c r="G83" s="13">
        <v>2759.44</v>
      </c>
      <c r="H83" s="73">
        <f>SUM(F83*G83/1000)</f>
        <v>3.725244</v>
      </c>
      <c r="I83" s="13">
        <v>0</v>
      </c>
    </row>
    <row r="84" spans="1:21" ht="15.75" customHeight="1">
      <c r="A84" s="169" t="s">
        <v>152</v>
      </c>
      <c r="B84" s="170"/>
      <c r="C84" s="170"/>
      <c r="D84" s="170"/>
      <c r="E84" s="170"/>
      <c r="F84" s="170"/>
      <c r="G84" s="170"/>
      <c r="H84" s="170"/>
      <c r="I84" s="171"/>
    </row>
    <row r="85" spans="1:21" ht="15.75" customHeight="1">
      <c r="A85" s="30">
        <v>18</v>
      </c>
      <c r="B85" s="41" t="s">
        <v>120</v>
      </c>
      <c r="C85" s="42" t="s">
        <v>54</v>
      </c>
      <c r="D85" s="146"/>
      <c r="E85" s="38">
        <v>5926.8</v>
      </c>
      <c r="F85" s="38">
        <f>SUM(E85*12)</f>
        <v>71121.600000000006</v>
      </c>
      <c r="G85" s="38">
        <v>3.38</v>
      </c>
      <c r="H85" s="13">
        <f>SUM(F85*G85/1000)</f>
        <v>240.391008</v>
      </c>
      <c r="I85" s="13">
        <f>F85/12*G85</f>
        <v>20032.583999999999</v>
      </c>
    </row>
    <row r="86" spans="1:21" ht="31.5" customHeight="1">
      <c r="A86" s="30">
        <v>19</v>
      </c>
      <c r="B86" s="143" t="s">
        <v>193</v>
      </c>
      <c r="C86" s="137"/>
      <c r="D86" s="144"/>
      <c r="E86" s="145">
        <f>E85</f>
        <v>5926.8</v>
      </c>
      <c r="F86" s="139">
        <f>E86*12</f>
        <v>71121.600000000006</v>
      </c>
      <c r="G86" s="139">
        <v>3.05</v>
      </c>
      <c r="H86" s="130">
        <f>F86*G86/1000</f>
        <v>216.92088000000001</v>
      </c>
      <c r="I86" s="131">
        <f>F86/12*G86</f>
        <v>18076.739999999998</v>
      </c>
    </row>
    <row r="87" spans="1:21" ht="15.75" customHeight="1">
      <c r="A87" s="147"/>
      <c r="B87" s="43" t="s">
        <v>76</v>
      </c>
      <c r="C87" s="45"/>
      <c r="D87" s="16"/>
      <c r="E87" s="16"/>
      <c r="F87" s="16"/>
      <c r="G87" s="19"/>
      <c r="H87" s="19"/>
      <c r="I87" s="32">
        <f>I86+I85+I81+I80+I76+I67+I64+I56+I46+I45+I44+I43+I41+I40+I27+I21+I20+I18+I17+I16</f>
        <v>113103.70905673332</v>
      </c>
    </row>
    <row r="88" spans="1:21" ht="15.75" customHeight="1">
      <c r="A88" s="172" t="s">
        <v>59</v>
      </c>
      <c r="B88" s="173"/>
      <c r="C88" s="173"/>
      <c r="D88" s="173"/>
      <c r="E88" s="173"/>
      <c r="F88" s="173"/>
      <c r="G88" s="173"/>
      <c r="H88" s="173"/>
      <c r="I88" s="174"/>
    </row>
    <row r="89" spans="1:21" ht="17.25" customHeight="1">
      <c r="A89" s="30">
        <v>20</v>
      </c>
      <c r="B89" s="97" t="s">
        <v>158</v>
      </c>
      <c r="C89" s="98" t="s">
        <v>80</v>
      </c>
      <c r="D89" s="63" t="s">
        <v>321</v>
      </c>
      <c r="E89" s="38"/>
      <c r="F89" s="38">
        <v>17</v>
      </c>
      <c r="G89" s="38">
        <v>222.63</v>
      </c>
      <c r="H89" s="73"/>
      <c r="I89" s="13">
        <f>G89*1</f>
        <v>222.63</v>
      </c>
    </row>
    <row r="90" spans="1:21" ht="15.75" customHeight="1">
      <c r="A90" s="30">
        <v>21</v>
      </c>
      <c r="B90" s="159" t="s">
        <v>159</v>
      </c>
      <c r="C90" s="98" t="s">
        <v>167</v>
      </c>
      <c r="D90" s="63" t="s">
        <v>355</v>
      </c>
      <c r="E90" s="38"/>
      <c r="F90" s="38">
        <v>78</v>
      </c>
      <c r="G90" s="38">
        <v>284</v>
      </c>
      <c r="H90" s="96"/>
      <c r="I90" s="106">
        <v>0</v>
      </c>
    </row>
    <row r="91" spans="1:21" ht="18" customHeight="1">
      <c r="A91" s="30">
        <v>22</v>
      </c>
      <c r="B91" s="97" t="s">
        <v>318</v>
      </c>
      <c r="C91" s="98" t="s">
        <v>113</v>
      </c>
      <c r="D91" s="63" t="s">
        <v>320</v>
      </c>
      <c r="E91" s="38"/>
      <c r="F91" s="38">
        <v>1</v>
      </c>
      <c r="G91" s="38">
        <v>591.69000000000005</v>
      </c>
      <c r="H91" s="96"/>
      <c r="I91" s="13">
        <f>G91*1</f>
        <v>591.69000000000005</v>
      </c>
    </row>
    <row r="92" spans="1:21" ht="20.25" customHeight="1">
      <c r="A92" s="30">
        <v>23</v>
      </c>
      <c r="B92" s="97" t="s">
        <v>319</v>
      </c>
      <c r="C92" s="98" t="s">
        <v>113</v>
      </c>
      <c r="D92" s="63" t="s">
        <v>321</v>
      </c>
      <c r="E92" s="38"/>
      <c r="F92" s="38">
        <v>1</v>
      </c>
      <c r="G92" s="38">
        <v>216.96</v>
      </c>
      <c r="H92" s="96"/>
      <c r="I92" s="13">
        <f>G92*1</f>
        <v>216.96</v>
      </c>
    </row>
    <row r="93" spans="1:21" ht="18.75" customHeight="1">
      <c r="A93" s="30">
        <v>24</v>
      </c>
      <c r="B93" s="97" t="s">
        <v>209</v>
      </c>
      <c r="C93" s="98" t="s">
        <v>39</v>
      </c>
      <c r="D93" s="63" t="s">
        <v>178</v>
      </c>
      <c r="E93" s="38"/>
      <c r="F93" s="160">
        <v>0.12</v>
      </c>
      <c r="G93" s="38">
        <v>27139.18</v>
      </c>
      <c r="H93" s="96"/>
      <c r="I93" s="13">
        <v>0</v>
      </c>
    </row>
    <row r="94" spans="1:21" ht="15.75" customHeight="1">
      <c r="A94" s="30"/>
      <c r="B94" s="50" t="s">
        <v>51</v>
      </c>
      <c r="C94" s="46"/>
      <c r="D94" s="59"/>
      <c r="E94" s="59"/>
      <c r="F94" s="46">
        <v>1</v>
      </c>
      <c r="G94" s="46"/>
      <c r="H94" s="46"/>
      <c r="I94" s="32">
        <f>SUM(I89:I93)</f>
        <v>1031.28</v>
      </c>
    </row>
    <row r="95" spans="1:21" ht="15.75" customHeight="1">
      <c r="A95" s="30"/>
      <c r="B95" s="56" t="s">
        <v>75</v>
      </c>
      <c r="C95" s="16"/>
      <c r="D95" s="16"/>
      <c r="E95" s="16"/>
      <c r="F95" s="47"/>
      <c r="G95" s="48"/>
      <c r="H95" s="48"/>
      <c r="I95" s="18">
        <v>0</v>
      </c>
    </row>
    <row r="96" spans="1:21" ht="15.75" customHeight="1">
      <c r="A96" s="60"/>
      <c r="B96" s="51" t="s">
        <v>141</v>
      </c>
      <c r="C96" s="36"/>
      <c r="D96" s="36"/>
      <c r="E96" s="36"/>
      <c r="F96" s="36"/>
      <c r="G96" s="36"/>
      <c r="H96" s="36"/>
      <c r="I96" s="49">
        <f>I87+I94</f>
        <v>114134.98905673332</v>
      </c>
    </row>
    <row r="97" spans="1:9" ht="15.75" customHeight="1">
      <c r="A97" s="188" t="s">
        <v>356</v>
      </c>
      <c r="B97" s="188"/>
      <c r="C97" s="188"/>
      <c r="D97" s="188"/>
      <c r="E97" s="188"/>
      <c r="F97" s="188"/>
      <c r="G97" s="188"/>
      <c r="H97" s="188"/>
      <c r="I97" s="188"/>
    </row>
    <row r="98" spans="1:9" ht="15.75" customHeight="1">
      <c r="A98" s="72"/>
      <c r="B98" s="180" t="s">
        <v>357</v>
      </c>
      <c r="C98" s="180"/>
      <c r="D98" s="180"/>
      <c r="E98" s="180"/>
      <c r="F98" s="180"/>
      <c r="G98" s="180"/>
      <c r="H98" s="75"/>
      <c r="I98" s="3"/>
    </row>
    <row r="99" spans="1:9" ht="15.75" customHeight="1">
      <c r="A99" s="101"/>
      <c r="B99" s="176" t="s">
        <v>6</v>
      </c>
      <c r="C99" s="176"/>
      <c r="D99" s="176"/>
      <c r="E99" s="176"/>
      <c r="F99" s="176"/>
      <c r="G99" s="176"/>
      <c r="H99" s="25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81" t="s">
        <v>7</v>
      </c>
      <c r="B101" s="181"/>
      <c r="C101" s="181"/>
      <c r="D101" s="181"/>
      <c r="E101" s="181"/>
      <c r="F101" s="181"/>
      <c r="G101" s="181"/>
      <c r="H101" s="181"/>
      <c r="I101" s="181"/>
    </row>
    <row r="102" spans="1:9" ht="15.75" customHeight="1">
      <c r="A102" s="181" t="s">
        <v>8</v>
      </c>
      <c r="B102" s="181"/>
      <c r="C102" s="181"/>
      <c r="D102" s="181"/>
      <c r="E102" s="181"/>
      <c r="F102" s="181"/>
      <c r="G102" s="181"/>
      <c r="H102" s="181"/>
      <c r="I102" s="181"/>
    </row>
    <row r="103" spans="1:9" ht="15.75" customHeight="1">
      <c r="A103" s="182" t="s">
        <v>60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 customHeight="1">
      <c r="A104" s="11"/>
    </row>
    <row r="105" spans="1:9" ht="15.75" customHeight="1">
      <c r="A105" s="183" t="s">
        <v>9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 customHeight="1">
      <c r="A106" s="4"/>
    </row>
    <row r="107" spans="1:9" ht="15.75" customHeight="1">
      <c r="B107" s="102" t="s">
        <v>10</v>
      </c>
      <c r="C107" s="175" t="s">
        <v>314</v>
      </c>
      <c r="D107" s="175"/>
      <c r="E107" s="175"/>
      <c r="F107" s="175"/>
      <c r="I107" s="100"/>
    </row>
    <row r="108" spans="1:9" ht="15.75" customHeight="1">
      <c r="A108" s="101"/>
      <c r="C108" s="176" t="s">
        <v>11</v>
      </c>
      <c r="D108" s="176"/>
      <c r="E108" s="176"/>
      <c r="F108" s="176"/>
      <c r="I108" s="99" t="s">
        <v>12</v>
      </c>
    </row>
    <row r="109" spans="1:9" ht="15.75" customHeight="1">
      <c r="A109" s="26"/>
      <c r="C109" s="12"/>
      <c r="D109" s="12"/>
      <c r="E109" s="12"/>
      <c r="G109" s="12"/>
      <c r="H109" s="12"/>
    </row>
    <row r="110" spans="1:9" ht="15.75" customHeight="1">
      <c r="B110" s="102" t="s">
        <v>13</v>
      </c>
      <c r="C110" s="177"/>
      <c r="D110" s="177"/>
      <c r="E110" s="177"/>
      <c r="F110" s="177"/>
      <c r="I110" s="100"/>
    </row>
    <row r="111" spans="1:9" ht="15.75" customHeight="1">
      <c r="A111" s="101"/>
      <c r="C111" s="178" t="s">
        <v>11</v>
      </c>
      <c r="D111" s="178"/>
      <c r="E111" s="178"/>
      <c r="F111" s="178"/>
      <c r="I111" s="99" t="s">
        <v>12</v>
      </c>
    </row>
    <row r="112" spans="1:9" ht="15.75" customHeight="1">
      <c r="A112" s="4" t="s">
        <v>14</v>
      </c>
    </row>
    <row r="113" spans="1:9">
      <c r="A113" s="179" t="s">
        <v>15</v>
      </c>
      <c r="B113" s="179"/>
      <c r="C113" s="179"/>
      <c r="D113" s="179"/>
      <c r="E113" s="179"/>
      <c r="F113" s="179"/>
      <c r="G113" s="179"/>
      <c r="H113" s="179"/>
      <c r="I113" s="179"/>
    </row>
    <row r="114" spans="1:9" ht="45" customHeight="1">
      <c r="A114" s="168" t="s">
        <v>16</v>
      </c>
      <c r="B114" s="168"/>
      <c r="C114" s="168"/>
      <c r="D114" s="168"/>
      <c r="E114" s="168"/>
      <c r="F114" s="168"/>
      <c r="G114" s="168"/>
      <c r="H114" s="168"/>
      <c r="I114" s="168"/>
    </row>
    <row r="115" spans="1:9" ht="30" customHeight="1">
      <c r="A115" s="168" t="s">
        <v>17</v>
      </c>
      <c r="B115" s="168"/>
      <c r="C115" s="168"/>
      <c r="D115" s="168"/>
      <c r="E115" s="168"/>
      <c r="F115" s="168"/>
      <c r="G115" s="168"/>
      <c r="H115" s="168"/>
      <c r="I115" s="168"/>
    </row>
    <row r="116" spans="1:9" ht="30" customHeight="1">
      <c r="A116" s="168" t="s">
        <v>21</v>
      </c>
      <c r="B116" s="168"/>
      <c r="C116" s="168"/>
      <c r="D116" s="168"/>
      <c r="E116" s="168"/>
      <c r="F116" s="168"/>
      <c r="G116" s="168"/>
      <c r="H116" s="168"/>
      <c r="I116" s="168"/>
    </row>
    <row r="117" spans="1:9" ht="15" customHeight="1">
      <c r="A117" s="168" t="s">
        <v>20</v>
      </c>
      <c r="B117" s="168"/>
      <c r="C117" s="168"/>
      <c r="D117" s="168"/>
      <c r="E117" s="168"/>
      <c r="F117" s="168"/>
      <c r="G117" s="168"/>
      <c r="H117" s="168"/>
      <c r="I117" s="168"/>
    </row>
  </sheetData>
  <autoFilter ref="I12:I73"/>
  <mergeCells count="29">
    <mergeCell ref="A14:I14"/>
    <mergeCell ref="A15:I15"/>
    <mergeCell ref="A29:I29"/>
    <mergeCell ref="A47:I47"/>
    <mergeCell ref="A57:I57"/>
    <mergeCell ref="A3:I3"/>
    <mergeCell ref="A4:I4"/>
    <mergeCell ref="A5:I5"/>
    <mergeCell ref="A8:I8"/>
    <mergeCell ref="A10:I10"/>
    <mergeCell ref="R80:U80"/>
    <mergeCell ref="C111:F111"/>
    <mergeCell ref="A88:I88"/>
    <mergeCell ref="A97:I97"/>
    <mergeCell ref="B98:G98"/>
    <mergeCell ref="B99:G99"/>
    <mergeCell ref="A101:I101"/>
    <mergeCell ref="A102:I102"/>
    <mergeCell ref="A103:I103"/>
    <mergeCell ref="A105:I105"/>
    <mergeCell ref="C107:F107"/>
    <mergeCell ref="C108:F108"/>
    <mergeCell ref="C110:F110"/>
    <mergeCell ref="A84:I84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4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33"/>
  <sheetViews>
    <sheetView tabSelected="1" topLeftCell="A83" workbookViewId="0">
      <selection activeCell="K102" sqref="K102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8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156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322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104"/>
      <c r="C6" s="104"/>
      <c r="D6" s="104"/>
      <c r="E6" s="104"/>
      <c r="F6" s="104"/>
      <c r="G6" s="104"/>
      <c r="H6" s="104"/>
      <c r="I6" s="31">
        <v>44196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306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175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7" si="0">SUM(F16*G16/1000)</f>
        <v>62.943028199999993</v>
      </c>
      <c r="I16" s="13">
        <f>F16/12*G16</f>
        <v>5245.2523499999998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176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F17/12*G17</f>
        <v>13987.339599999998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178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F18/18*1*G18</f>
        <v>5803.9207499999993</v>
      </c>
      <c r="J18" s="23"/>
      <c r="K18" s="8"/>
      <c r="L18" s="8"/>
      <c r="M18" s="8"/>
    </row>
    <row r="19" spans="1:13" ht="15.75" hidden="1" customHeight="1">
      <c r="A19" s="30">
        <v>4</v>
      </c>
      <c r="B19" s="76" t="s">
        <v>99</v>
      </c>
      <c r="C19" s="65" t="s">
        <v>100</v>
      </c>
      <c r="D19" s="76" t="s">
        <v>101</v>
      </c>
      <c r="E19" s="77">
        <v>38.4</v>
      </c>
      <c r="F19" s="78">
        <f>SUM(E19/10)</f>
        <v>3.84</v>
      </c>
      <c r="G19" s="78">
        <v>170.16</v>
      </c>
      <c r="H19" s="79">
        <f t="shared" si="0"/>
        <v>0.65341439999999995</v>
      </c>
      <c r="I19" s="13">
        <f>F19/2*G19</f>
        <v>326.7072</v>
      </c>
      <c r="J19" s="23"/>
      <c r="K19" s="8"/>
      <c r="L19" s="8"/>
      <c r="M19" s="8"/>
    </row>
    <row r="20" spans="1:13" ht="15.75" customHeight="1">
      <c r="A20" s="30">
        <v>4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5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hidden="1" customHeight="1">
      <c r="A22" s="30">
        <v>7</v>
      </c>
      <c r="B22" s="76" t="s">
        <v>102</v>
      </c>
      <c r="C22" s="65" t="s">
        <v>52</v>
      </c>
      <c r="D22" s="76" t="s">
        <v>101</v>
      </c>
      <c r="E22" s="77">
        <v>822.72</v>
      </c>
      <c r="F22" s="78">
        <f>SUM(E22/100)</f>
        <v>8.2271999999999998</v>
      </c>
      <c r="G22" s="78">
        <v>269.26</v>
      </c>
      <c r="H22" s="79">
        <f t="shared" si="0"/>
        <v>2.2152558719999997</v>
      </c>
      <c r="I22" s="13">
        <f>F22*G22</f>
        <v>2215.2558719999997</v>
      </c>
      <c r="J22" s="23"/>
      <c r="K22" s="8"/>
      <c r="L22" s="8"/>
      <c r="M22" s="8"/>
    </row>
    <row r="23" spans="1:13" ht="15.75" hidden="1" customHeight="1">
      <c r="A23" s="30">
        <v>8</v>
      </c>
      <c r="B23" s="76" t="s">
        <v>103</v>
      </c>
      <c r="C23" s="65" t="s">
        <v>52</v>
      </c>
      <c r="D23" s="76" t="s">
        <v>101</v>
      </c>
      <c r="E23" s="80">
        <v>96.6</v>
      </c>
      <c r="F23" s="78">
        <f>SUM(E23/100)</f>
        <v>0.96599999999999997</v>
      </c>
      <c r="G23" s="78">
        <v>44.29</v>
      </c>
      <c r="H23" s="79">
        <f t="shared" si="0"/>
        <v>4.2784139999999998E-2</v>
      </c>
      <c r="I23" s="13">
        <f>F23*G23</f>
        <v>42.784140000000001</v>
      </c>
      <c r="J23" s="23"/>
      <c r="K23" s="8"/>
      <c r="L23" s="8"/>
      <c r="M23" s="8"/>
    </row>
    <row r="24" spans="1:13" ht="15.75" hidden="1" customHeight="1">
      <c r="A24" s="30">
        <v>6</v>
      </c>
      <c r="B24" s="76" t="s">
        <v>95</v>
      </c>
      <c r="C24" s="65" t="s">
        <v>52</v>
      </c>
      <c r="D24" s="76" t="s">
        <v>30</v>
      </c>
      <c r="E24" s="81">
        <v>32</v>
      </c>
      <c r="F24" s="78">
        <f>32*12/1000</f>
        <v>0.38400000000000001</v>
      </c>
      <c r="G24" s="78">
        <v>389.42</v>
      </c>
      <c r="H24" s="79">
        <f>G24*F24/100</f>
        <v>1.4953728000000002</v>
      </c>
      <c r="I24" s="13">
        <f>F24/12*G24</f>
        <v>12.461440000000001</v>
      </c>
      <c r="J24" s="23"/>
      <c r="K24" s="8"/>
      <c r="L24" s="8"/>
      <c r="M24" s="8"/>
    </row>
    <row r="25" spans="1:13" ht="15.75" hidden="1" customHeight="1">
      <c r="A25" s="30">
        <v>10</v>
      </c>
      <c r="B25" s="76" t="s">
        <v>122</v>
      </c>
      <c r="C25" s="65" t="s">
        <v>52</v>
      </c>
      <c r="D25" s="76" t="s">
        <v>53</v>
      </c>
      <c r="E25" s="82">
        <v>38</v>
      </c>
      <c r="F25" s="78">
        <v>0.38</v>
      </c>
      <c r="G25" s="78">
        <v>216.12</v>
      </c>
      <c r="H25" s="79">
        <f>G25*F25/1000</f>
        <v>8.2125600000000007E-2</v>
      </c>
      <c r="I25" s="13">
        <f>F25*G25</f>
        <v>82.125600000000006</v>
      </c>
      <c r="J25" s="23"/>
      <c r="K25" s="8"/>
      <c r="L25" s="8"/>
      <c r="M25" s="8"/>
    </row>
    <row r="26" spans="1:13" ht="15.75" hidden="1" customHeight="1">
      <c r="A26" s="30">
        <v>7</v>
      </c>
      <c r="B26" s="76" t="s">
        <v>96</v>
      </c>
      <c r="C26" s="65" t="s">
        <v>52</v>
      </c>
      <c r="D26" s="76" t="s">
        <v>123</v>
      </c>
      <c r="E26" s="77">
        <v>17</v>
      </c>
      <c r="F26" s="78">
        <f>SUM(E26*12/100)</f>
        <v>2.04</v>
      </c>
      <c r="G26" s="78">
        <v>520.79999999999995</v>
      </c>
      <c r="H26" s="79">
        <f t="shared" si="0"/>
        <v>1.062432</v>
      </c>
      <c r="I26" s="13">
        <f>F26/12*G26</f>
        <v>88.536000000000001</v>
      </c>
      <c r="J26" s="23"/>
      <c r="K26" s="8"/>
      <c r="L26" s="8"/>
      <c r="M26" s="8"/>
    </row>
    <row r="27" spans="1:13" ht="15.75" customHeight="1">
      <c r="A27" s="30">
        <v>6</v>
      </c>
      <c r="B27" s="34" t="s">
        <v>174</v>
      </c>
      <c r="C27" s="44" t="s">
        <v>33</v>
      </c>
      <c r="D27" s="34" t="s">
        <v>182</v>
      </c>
      <c r="E27" s="125">
        <v>0.2</v>
      </c>
      <c r="F27" s="33">
        <f>E27*258</f>
        <v>51.6</v>
      </c>
      <c r="G27" s="33">
        <v>289.5</v>
      </c>
      <c r="H27" s="79">
        <f t="shared" si="0"/>
        <v>14.9382</v>
      </c>
      <c r="I27" s="13">
        <f>F27/12*G27</f>
        <v>1244.8499999999999</v>
      </c>
      <c r="J27" s="23"/>
      <c r="K27" s="8"/>
      <c r="L27" s="8"/>
      <c r="M27" s="8"/>
    </row>
    <row r="28" spans="1:13" ht="15.75" hidden="1" customHeight="1">
      <c r="A28" s="30">
        <v>9</v>
      </c>
      <c r="B28" s="83" t="s">
        <v>23</v>
      </c>
      <c r="C28" s="65" t="s">
        <v>24</v>
      </c>
      <c r="D28" s="83"/>
      <c r="E28" s="77">
        <v>5926.8</v>
      </c>
      <c r="F28" s="78">
        <f>SUM(E28*12)</f>
        <v>71121.600000000006</v>
      </c>
      <c r="G28" s="78">
        <v>4.53</v>
      </c>
      <c r="H28" s="79">
        <f t="shared" ref="H28" si="1">SUM(F28*G28/1000)</f>
        <v>322.18084800000008</v>
      </c>
      <c r="I28" s="13">
        <f>F28/12*G28</f>
        <v>26848.404000000002</v>
      </c>
      <c r="J28" s="23"/>
      <c r="K28" s="8"/>
      <c r="L28" s="8"/>
      <c r="M28" s="8"/>
    </row>
    <row r="29" spans="1:13" ht="15.75" customHeight="1">
      <c r="A29" s="184" t="s">
        <v>81</v>
      </c>
      <c r="B29" s="184"/>
      <c r="C29" s="184"/>
      <c r="D29" s="184"/>
      <c r="E29" s="184"/>
      <c r="F29" s="184"/>
      <c r="G29" s="184"/>
      <c r="H29" s="184"/>
      <c r="I29" s="184"/>
      <c r="J29" s="23"/>
      <c r="K29" s="8"/>
      <c r="L29" s="8"/>
      <c r="M29" s="8"/>
    </row>
    <row r="30" spans="1:13" ht="15.75" hidden="1" customHeight="1">
      <c r="A30" s="45"/>
      <c r="B30" s="55" t="s">
        <v>28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10</v>
      </c>
      <c r="B31" s="76" t="s">
        <v>104</v>
      </c>
      <c r="C31" s="65" t="s">
        <v>105</v>
      </c>
      <c r="D31" s="76" t="s">
        <v>125</v>
      </c>
      <c r="E31" s="78">
        <v>2732.4</v>
      </c>
      <c r="F31" s="78">
        <f>SUM(E31*26/1000)</f>
        <v>71.042400000000015</v>
      </c>
      <c r="G31" s="78">
        <v>155.88999999999999</v>
      </c>
      <c r="H31" s="79">
        <f t="shared" ref="H31:H33" si="2">SUM(F31*G31/1000)</f>
        <v>11.074799736000001</v>
      </c>
      <c r="I31" s="13">
        <f>F31/6*G31</f>
        <v>1845.7999560000003</v>
      </c>
      <c r="J31" s="23"/>
      <c r="K31" s="8"/>
      <c r="L31" s="8"/>
      <c r="M31" s="8"/>
    </row>
    <row r="32" spans="1:13" ht="31.5" hidden="1" customHeight="1">
      <c r="A32" s="45">
        <v>11</v>
      </c>
      <c r="B32" s="76" t="s">
        <v>126</v>
      </c>
      <c r="C32" s="65" t="s">
        <v>105</v>
      </c>
      <c r="D32" s="76" t="s">
        <v>106</v>
      </c>
      <c r="E32" s="78">
        <v>547.85</v>
      </c>
      <c r="F32" s="78">
        <f>SUM(E32*78/1000)</f>
        <v>42.732300000000002</v>
      </c>
      <c r="G32" s="78">
        <v>258.63</v>
      </c>
      <c r="H32" s="79">
        <f t="shared" si="2"/>
        <v>11.051854749</v>
      </c>
      <c r="I32" s="13">
        <f t="shared" ref="I32:I35" si="3">F32/6*G32</f>
        <v>1841.9757915000002</v>
      </c>
      <c r="J32" s="23"/>
      <c r="K32" s="8"/>
      <c r="L32" s="8"/>
      <c r="M32" s="8"/>
    </row>
    <row r="33" spans="1:14" ht="15.75" hidden="1" customHeight="1">
      <c r="A33" s="45">
        <v>16</v>
      </c>
      <c r="B33" s="76" t="s">
        <v>27</v>
      </c>
      <c r="C33" s="65" t="s">
        <v>105</v>
      </c>
      <c r="D33" s="76" t="s">
        <v>53</v>
      </c>
      <c r="E33" s="78">
        <v>2732.4</v>
      </c>
      <c r="F33" s="78">
        <f>SUM(E33/1000)</f>
        <v>2.7324000000000002</v>
      </c>
      <c r="G33" s="78">
        <v>3020.33</v>
      </c>
      <c r="H33" s="79">
        <f t="shared" si="2"/>
        <v>8.2527496920000001</v>
      </c>
      <c r="I33" s="13">
        <f>F33*G33</f>
        <v>8252.7496919999994</v>
      </c>
      <c r="J33" s="23"/>
      <c r="K33" s="8"/>
      <c r="L33" s="8"/>
      <c r="M33" s="8"/>
    </row>
    <row r="34" spans="1:14" ht="15.75" hidden="1" customHeight="1">
      <c r="A34" s="45">
        <v>12</v>
      </c>
      <c r="B34" s="76" t="s">
        <v>124</v>
      </c>
      <c r="C34" s="65" t="s">
        <v>39</v>
      </c>
      <c r="D34" s="76" t="s">
        <v>62</v>
      </c>
      <c r="E34" s="78">
        <v>8</v>
      </c>
      <c r="F34" s="78">
        <v>12.4</v>
      </c>
      <c r="G34" s="78">
        <v>1302.02</v>
      </c>
      <c r="H34" s="79">
        <v>16.145</v>
      </c>
      <c r="I34" s="13">
        <f t="shared" si="3"/>
        <v>2690.8413333333338</v>
      </c>
      <c r="J34" s="23"/>
      <c r="K34" s="8"/>
      <c r="L34" s="8"/>
      <c r="M34" s="8"/>
    </row>
    <row r="35" spans="1:14" ht="15.75" hidden="1" customHeight="1">
      <c r="A35" s="45">
        <v>13</v>
      </c>
      <c r="B35" s="76" t="s">
        <v>107</v>
      </c>
      <c r="C35" s="65" t="s">
        <v>31</v>
      </c>
      <c r="D35" s="76" t="s">
        <v>62</v>
      </c>
      <c r="E35" s="84">
        <v>1</v>
      </c>
      <c r="F35" s="78">
        <v>155</v>
      </c>
      <c r="G35" s="78">
        <v>56.69</v>
      </c>
      <c r="H35" s="79">
        <f>SUM(G35*155/1000)</f>
        <v>8.7869499999999992</v>
      </c>
      <c r="I35" s="13">
        <f t="shared" si="3"/>
        <v>1464.4916666666666</v>
      </c>
      <c r="J35" s="23"/>
      <c r="K35" s="8"/>
      <c r="L35" s="8"/>
      <c r="M35" s="8"/>
    </row>
    <row r="36" spans="1:14" ht="15.75" hidden="1" customHeight="1">
      <c r="A36" s="45">
        <v>4</v>
      </c>
      <c r="B36" s="76" t="s">
        <v>63</v>
      </c>
      <c r="C36" s="65" t="s">
        <v>33</v>
      </c>
      <c r="D36" s="76" t="s">
        <v>65</v>
      </c>
      <c r="E36" s="77"/>
      <c r="F36" s="78">
        <v>2</v>
      </c>
      <c r="G36" s="78">
        <v>191.32</v>
      </c>
      <c r="H36" s="79">
        <f t="shared" ref="H36:H37" si="4">SUM(F36*G36/1000)</f>
        <v>0.38263999999999998</v>
      </c>
      <c r="I36" s="13">
        <v>0</v>
      </c>
      <c r="J36" s="23"/>
      <c r="K36" s="8"/>
    </row>
    <row r="37" spans="1:14" ht="15.75" hidden="1" customHeight="1">
      <c r="A37" s="30">
        <v>8</v>
      </c>
      <c r="B37" s="76" t="s">
        <v>64</v>
      </c>
      <c r="C37" s="65" t="s">
        <v>32</v>
      </c>
      <c r="D37" s="76" t="s">
        <v>65</v>
      </c>
      <c r="E37" s="77"/>
      <c r="F37" s="78">
        <v>3</v>
      </c>
      <c r="G37" s="78">
        <v>1136.32</v>
      </c>
      <c r="H37" s="79">
        <f t="shared" si="4"/>
        <v>3.40896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7</v>
      </c>
      <c r="B39" s="76" t="s">
        <v>26</v>
      </c>
      <c r="C39" s="65" t="s">
        <v>32</v>
      </c>
      <c r="D39" s="76" t="s">
        <v>323</v>
      </c>
      <c r="E39" s="77"/>
      <c r="F39" s="78">
        <v>15</v>
      </c>
      <c r="G39" s="33">
        <v>1855</v>
      </c>
      <c r="H39" s="79">
        <f>SUM(F39*G39/1000)</f>
        <v>27.824999999999999</v>
      </c>
      <c r="I39" s="13">
        <f>G39*0.8</f>
        <v>1484</v>
      </c>
      <c r="J39" s="24"/>
    </row>
    <row r="40" spans="1:14" ht="15.75" customHeight="1">
      <c r="A40" s="35">
        <v>8</v>
      </c>
      <c r="B40" s="152" t="s">
        <v>66</v>
      </c>
      <c r="C40" s="153" t="s">
        <v>29</v>
      </c>
      <c r="D40" s="152" t="s">
        <v>205</v>
      </c>
      <c r="E40" s="155">
        <v>214.34</v>
      </c>
      <c r="F40" s="155">
        <f>SUM(E40*30/1000)</f>
        <v>6.4302000000000001</v>
      </c>
      <c r="G40" s="155">
        <v>3014.36</v>
      </c>
      <c r="H40" s="79">
        <f t="shared" ref="H40:H44" si="5">SUM(F40*G40/1000)</f>
        <v>19.382937672000001</v>
      </c>
      <c r="I40" s="13">
        <f t="shared" ref="I40:I42" si="6">F40/6*G40</f>
        <v>3230.4896120000003</v>
      </c>
      <c r="J40" s="24"/>
    </row>
    <row r="41" spans="1:14" ht="15.75" customHeight="1">
      <c r="A41" s="35">
        <v>9</v>
      </c>
      <c r="B41" s="34" t="s">
        <v>67</v>
      </c>
      <c r="C41" s="44" t="s">
        <v>29</v>
      </c>
      <c r="D41" s="34" t="s">
        <v>181</v>
      </c>
      <c r="E41" s="33">
        <v>214.34</v>
      </c>
      <c r="F41" s="155">
        <f>SUM(E41*155/1000)</f>
        <v>33.222699999999996</v>
      </c>
      <c r="G41" s="33">
        <v>502.82</v>
      </c>
      <c r="H41" s="79">
        <f t="shared" si="5"/>
        <v>16.705038013999999</v>
      </c>
      <c r="I41" s="13">
        <f t="shared" si="6"/>
        <v>2784.173002333333</v>
      </c>
      <c r="J41" s="24"/>
    </row>
    <row r="42" spans="1:14" ht="31.5" hidden="1" customHeight="1">
      <c r="A42" s="35">
        <v>12</v>
      </c>
      <c r="B42" s="34" t="s">
        <v>202</v>
      </c>
      <c r="C42" s="44" t="s">
        <v>203</v>
      </c>
      <c r="D42" s="34"/>
      <c r="E42" s="33"/>
      <c r="F42" s="155">
        <v>26</v>
      </c>
      <c r="G42" s="33">
        <v>330</v>
      </c>
      <c r="H42" s="79">
        <f t="shared" si="5"/>
        <v>8.58</v>
      </c>
      <c r="I42" s="13">
        <f t="shared" si="6"/>
        <v>1430</v>
      </c>
      <c r="J42" s="24"/>
    </row>
    <row r="43" spans="1:14" ht="15.75" customHeight="1">
      <c r="A43" s="35">
        <v>10</v>
      </c>
      <c r="B43" s="34" t="s">
        <v>79</v>
      </c>
      <c r="C43" s="44" t="s">
        <v>105</v>
      </c>
      <c r="D43" s="34" t="s">
        <v>205</v>
      </c>
      <c r="E43" s="33">
        <v>86.04</v>
      </c>
      <c r="F43" s="155">
        <f>SUM(E43*30/1000)</f>
        <v>2.5812000000000004</v>
      </c>
      <c r="G43" s="33">
        <v>8319.2999999999993</v>
      </c>
      <c r="H43" s="79">
        <f t="shared" si="5"/>
        <v>21.473777160000001</v>
      </c>
      <c r="I43" s="13">
        <f>F43/6*G43</f>
        <v>3578.9628600000005</v>
      </c>
      <c r="J43" s="24"/>
    </row>
    <row r="44" spans="1:14" ht="15.75" customHeight="1">
      <c r="A44" s="158">
        <v>11</v>
      </c>
      <c r="B44" s="34" t="s">
        <v>110</v>
      </c>
      <c r="C44" s="44" t="s">
        <v>105</v>
      </c>
      <c r="D44" s="34" t="s">
        <v>205</v>
      </c>
      <c r="E44" s="33">
        <v>214.34</v>
      </c>
      <c r="F44" s="155">
        <f>SUM(E44*30/1000)</f>
        <v>6.4302000000000001</v>
      </c>
      <c r="G44" s="33">
        <v>614.55999999999995</v>
      </c>
      <c r="H44" s="79">
        <f t="shared" si="5"/>
        <v>3.9517437119999999</v>
      </c>
      <c r="I44" s="13">
        <f>G44*F44/30*2</f>
        <v>263.44958079999998</v>
      </c>
      <c r="J44" s="24"/>
      <c r="L44" s="20"/>
      <c r="M44" s="21"/>
      <c r="N44" s="22"/>
    </row>
    <row r="45" spans="1:14" ht="15.75" customHeight="1">
      <c r="A45" s="35">
        <v>12</v>
      </c>
      <c r="B45" s="152" t="s">
        <v>69</v>
      </c>
      <c r="C45" s="153" t="s">
        <v>33</v>
      </c>
      <c r="D45" s="152"/>
      <c r="E45" s="154"/>
      <c r="F45" s="155">
        <v>0.9</v>
      </c>
      <c r="G45" s="155">
        <v>800</v>
      </c>
      <c r="H45" s="150"/>
      <c r="I45" s="151">
        <f>G45*F45/30*2</f>
        <v>48</v>
      </c>
      <c r="J45" s="24"/>
      <c r="L45" s="20"/>
      <c r="M45" s="21"/>
      <c r="N45" s="22"/>
    </row>
    <row r="46" spans="1:14" ht="32.25" customHeight="1">
      <c r="A46" s="35">
        <v>13</v>
      </c>
      <c r="B46" s="152" t="s">
        <v>204</v>
      </c>
      <c r="C46" s="153" t="s">
        <v>105</v>
      </c>
      <c r="D46" s="152" t="s">
        <v>177</v>
      </c>
      <c r="E46" s="154">
        <v>1.2</v>
      </c>
      <c r="F46" s="155">
        <f>E46*12/1000</f>
        <v>1.4399999999999998E-2</v>
      </c>
      <c r="G46" s="155">
        <v>19757.060000000001</v>
      </c>
      <c r="H46" s="150"/>
      <c r="I46" s="151">
        <f>G46*F46/6</f>
        <v>47.416944000000001</v>
      </c>
      <c r="J46" s="24"/>
      <c r="L46" s="20"/>
      <c r="M46" s="21"/>
      <c r="N46" s="22"/>
    </row>
    <row r="47" spans="1:14" ht="15.75" customHeight="1">
      <c r="A47" s="185" t="s">
        <v>136</v>
      </c>
      <c r="B47" s="186"/>
      <c r="C47" s="186"/>
      <c r="D47" s="186"/>
      <c r="E47" s="186"/>
      <c r="F47" s="186"/>
      <c r="G47" s="186"/>
      <c r="H47" s="186"/>
      <c r="I47" s="187"/>
      <c r="J47" s="24"/>
      <c r="L47" s="20"/>
      <c r="M47" s="21"/>
      <c r="N47" s="22"/>
    </row>
    <row r="48" spans="1:14" ht="15.75" hidden="1" customHeight="1">
      <c r="A48" s="45">
        <v>14</v>
      </c>
      <c r="B48" s="76" t="s">
        <v>111</v>
      </c>
      <c r="C48" s="65" t="s">
        <v>105</v>
      </c>
      <c r="D48" s="76" t="s">
        <v>41</v>
      </c>
      <c r="E48" s="77">
        <v>1640.4</v>
      </c>
      <c r="F48" s="78">
        <f>SUM(E48*2/1000)</f>
        <v>3.2808000000000002</v>
      </c>
      <c r="G48" s="13">
        <v>849.49</v>
      </c>
      <c r="H48" s="79">
        <f t="shared" ref="H48:H56" si="7">SUM(F48*G48/1000)</f>
        <v>2.7870067920000001</v>
      </c>
      <c r="I48" s="13">
        <f t="shared" ref="I48:I50" si="8">F48/2*G48</f>
        <v>1393.5033960000001</v>
      </c>
      <c r="J48" s="24"/>
      <c r="L48" s="20"/>
      <c r="M48" s="21"/>
      <c r="N48" s="22"/>
    </row>
    <row r="49" spans="1:14" ht="15.75" hidden="1" customHeight="1">
      <c r="A49" s="45">
        <v>15</v>
      </c>
      <c r="B49" s="76" t="s">
        <v>34</v>
      </c>
      <c r="C49" s="65" t="s">
        <v>105</v>
      </c>
      <c r="D49" s="76" t="s">
        <v>41</v>
      </c>
      <c r="E49" s="77">
        <v>918.25</v>
      </c>
      <c r="F49" s="78">
        <f>SUM(E49*2/1000)</f>
        <v>1.8365</v>
      </c>
      <c r="G49" s="13">
        <v>579.48</v>
      </c>
      <c r="H49" s="79">
        <f t="shared" si="7"/>
        <v>1.06421502</v>
      </c>
      <c r="I49" s="13">
        <f t="shared" si="8"/>
        <v>532.10751000000005</v>
      </c>
      <c r="J49" s="24"/>
      <c r="L49" s="20"/>
      <c r="M49" s="21"/>
      <c r="N49" s="22"/>
    </row>
    <row r="50" spans="1:14" ht="15.75" hidden="1" customHeight="1">
      <c r="A50" s="45">
        <v>16</v>
      </c>
      <c r="B50" s="76" t="s">
        <v>35</v>
      </c>
      <c r="C50" s="65" t="s">
        <v>105</v>
      </c>
      <c r="D50" s="76" t="s">
        <v>41</v>
      </c>
      <c r="E50" s="77">
        <v>5592.26</v>
      </c>
      <c r="F50" s="78">
        <f>SUM(E50*2/1000)</f>
        <v>11.184520000000001</v>
      </c>
      <c r="G50" s="13">
        <v>579.48</v>
      </c>
      <c r="H50" s="79">
        <f t="shared" si="7"/>
        <v>6.4812056496000006</v>
      </c>
      <c r="I50" s="13">
        <f t="shared" si="8"/>
        <v>3240.6028248000002</v>
      </c>
      <c r="J50" s="24"/>
      <c r="L50" s="20"/>
      <c r="M50" s="21"/>
      <c r="N50" s="22"/>
    </row>
    <row r="51" spans="1:14" ht="15.75" hidden="1" customHeight="1">
      <c r="A51" s="45">
        <v>17</v>
      </c>
      <c r="B51" s="76" t="s">
        <v>36</v>
      </c>
      <c r="C51" s="65" t="s">
        <v>105</v>
      </c>
      <c r="D51" s="76" t="s">
        <v>41</v>
      </c>
      <c r="E51" s="77">
        <v>2817.65</v>
      </c>
      <c r="F51" s="78">
        <f>SUM(E51*2/1000)</f>
        <v>5.6353</v>
      </c>
      <c r="G51" s="13">
        <v>606.77</v>
      </c>
      <c r="H51" s="79">
        <f t="shared" si="7"/>
        <v>3.4193309809999999</v>
      </c>
      <c r="I51" s="13">
        <f>F51/2*G51</f>
        <v>1709.6654905</v>
      </c>
      <c r="J51" s="24"/>
      <c r="L51" s="20"/>
      <c r="M51" s="21"/>
      <c r="N51" s="22"/>
    </row>
    <row r="52" spans="1:14" ht="15.75" customHeight="1">
      <c r="A52" s="45">
        <v>14</v>
      </c>
      <c r="B52" s="76" t="s">
        <v>55</v>
      </c>
      <c r="C52" s="65" t="s">
        <v>105</v>
      </c>
      <c r="D52" s="76" t="s">
        <v>178</v>
      </c>
      <c r="E52" s="77">
        <v>3280.8</v>
      </c>
      <c r="F52" s="78">
        <f>SUM(E52*5/1000)</f>
        <v>16.404</v>
      </c>
      <c r="G52" s="120">
        <v>1739.68</v>
      </c>
      <c r="H52" s="79">
        <f t="shared" si="7"/>
        <v>28.53771072</v>
      </c>
      <c r="I52" s="13">
        <f>F52/5*G52</f>
        <v>5707.5421440000009</v>
      </c>
      <c r="J52" s="24"/>
      <c r="L52" s="20"/>
      <c r="M52" s="21"/>
      <c r="N52" s="22"/>
    </row>
    <row r="53" spans="1:14" ht="31.5" hidden="1" customHeight="1">
      <c r="A53" s="45">
        <v>14</v>
      </c>
      <c r="B53" s="76" t="s">
        <v>112</v>
      </c>
      <c r="C53" s="65" t="s">
        <v>105</v>
      </c>
      <c r="D53" s="76" t="s">
        <v>41</v>
      </c>
      <c r="E53" s="77">
        <v>3280.8</v>
      </c>
      <c r="F53" s="78">
        <f>SUM(E53*2/1000)</f>
        <v>6.5616000000000003</v>
      </c>
      <c r="G53" s="13">
        <v>1213.55</v>
      </c>
      <c r="H53" s="79">
        <f t="shared" si="7"/>
        <v>7.9628296799999996</v>
      </c>
      <c r="I53" s="13">
        <f>F53/2*G53</f>
        <v>3981.4148399999999</v>
      </c>
      <c r="J53" s="24"/>
      <c r="L53" s="20"/>
      <c r="M53" s="21"/>
      <c r="N53" s="22"/>
    </row>
    <row r="54" spans="1:14" ht="31.5" hidden="1" customHeight="1">
      <c r="A54" s="45">
        <v>15</v>
      </c>
      <c r="B54" s="76" t="s">
        <v>128</v>
      </c>
      <c r="C54" s="65" t="s">
        <v>37</v>
      </c>
      <c r="D54" s="76" t="s">
        <v>41</v>
      </c>
      <c r="E54" s="77">
        <v>40</v>
      </c>
      <c r="F54" s="78">
        <f>SUM(E54*2/100)</f>
        <v>0.8</v>
      </c>
      <c r="G54" s="13">
        <v>2730.49</v>
      </c>
      <c r="H54" s="79">
        <f t="shared" si="7"/>
        <v>2.1843919999999999</v>
      </c>
      <c r="I54" s="13">
        <f>F54/2*G54</f>
        <v>1092.1959999999999</v>
      </c>
      <c r="J54" s="24"/>
      <c r="L54" s="20"/>
      <c r="M54" s="21"/>
      <c r="N54" s="22"/>
    </row>
    <row r="55" spans="1:14" ht="15.75" hidden="1" customHeight="1">
      <c r="A55" s="45">
        <v>16</v>
      </c>
      <c r="B55" s="76" t="s">
        <v>38</v>
      </c>
      <c r="C55" s="65" t="s">
        <v>39</v>
      </c>
      <c r="D55" s="76" t="s">
        <v>41</v>
      </c>
      <c r="E55" s="77">
        <v>1</v>
      </c>
      <c r="F55" s="78">
        <v>0.02</v>
      </c>
      <c r="G55" s="13">
        <v>5652.13</v>
      </c>
      <c r="H55" s="79">
        <f t="shared" si="7"/>
        <v>0.11304260000000001</v>
      </c>
      <c r="I55" s="13">
        <f>F55/2*G55</f>
        <v>56.521300000000004</v>
      </c>
      <c r="J55" s="24"/>
      <c r="L55" s="20"/>
      <c r="M55" s="21"/>
      <c r="N55" s="22"/>
    </row>
    <row r="56" spans="1:14" ht="15.75" hidden="1" customHeight="1">
      <c r="A56" s="45">
        <v>17</v>
      </c>
      <c r="B56" s="76" t="s">
        <v>40</v>
      </c>
      <c r="C56" s="65" t="s">
        <v>113</v>
      </c>
      <c r="D56" s="76" t="s">
        <v>70</v>
      </c>
      <c r="E56" s="77">
        <v>238</v>
      </c>
      <c r="F56" s="78">
        <f>SUM(E56)*3</f>
        <v>714</v>
      </c>
      <c r="G56" s="13">
        <v>65.67</v>
      </c>
      <c r="H56" s="79">
        <f t="shared" si="7"/>
        <v>46.888380000000005</v>
      </c>
      <c r="I56" s="13">
        <f>E56*G56</f>
        <v>15629.460000000001</v>
      </c>
      <c r="J56" s="24"/>
      <c r="L56" s="20"/>
      <c r="M56" s="21"/>
      <c r="N56" s="22"/>
    </row>
    <row r="57" spans="1:14" ht="15.75" customHeight="1">
      <c r="A57" s="185" t="s">
        <v>137</v>
      </c>
      <c r="B57" s="186"/>
      <c r="C57" s="186"/>
      <c r="D57" s="186"/>
      <c r="E57" s="186"/>
      <c r="F57" s="186"/>
      <c r="G57" s="186"/>
      <c r="H57" s="186"/>
      <c r="I57" s="187"/>
      <c r="J57" s="24"/>
      <c r="L57" s="20"/>
      <c r="M57" s="21"/>
      <c r="N57" s="22"/>
    </row>
    <row r="58" spans="1:14" ht="15.75" hidden="1" customHeight="1">
      <c r="A58" s="105"/>
      <c r="B58" s="52" t="s">
        <v>42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15.75" hidden="1" customHeight="1">
      <c r="A59" s="45">
        <v>15</v>
      </c>
      <c r="B59" s="76" t="s">
        <v>130</v>
      </c>
      <c r="C59" s="65" t="s">
        <v>98</v>
      </c>
      <c r="D59" s="76" t="s">
        <v>53</v>
      </c>
      <c r="E59" s="85">
        <v>1640.4</v>
      </c>
      <c r="F59" s="13">
        <f>E59/100</f>
        <v>16.404</v>
      </c>
      <c r="G59" s="78">
        <v>472.59</v>
      </c>
      <c r="H59" s="79">
        <f>SUM(F59*G59/1000)</f>
        <v>7.7523663599999999</v>
      </c>
      <c r="I59" s="13">
        <v>0</v>
      </c>
      <c r="J59" s="24"/>
      <c r="L59" s="20"/>
      <c r="M59" s="21"/>
      <c r="N59" s="22"/>
    </row>
    <row r="60" spans="1:14" ht="31.5" hidden="1" customHeight="1">
      <c r="A60" s="45">
        <v>17</v>
      </c>
      <c r="B60" s="76" t="s">
        <v>131</v>
      </c>
      <c r="C60" s="65" t="s">
        <v>98</v>
      </c>
      <c r="D60" s="76" t="s">
        <v>132</v>
      </c>
      <c r="E60" s="77">
        <v>164.04</v>
      </c>
      <c r="F60" s="13">
        <f>E60*6/100</f>
        <v>9.8423999999999996</v>
      </c>
      <c r="G60" s="86">
        <v>1547.28</v>
      </c>
      <c r="H60" s="79">
        <f>F60*G60/1000</f>
        <v>15.228948671999998</v>
      </c>
      <c r="I60" s="13">
        <f>F60/6*G60</f>
        <v>2538.1581119999996</v>
      </c>
      <c r="J60" s="24"/>
      <c r="L60" s="20"/>
      <c r="M60" s="21"/>
      <c r="N60" s="22"/>
    </row>
    <row r="61" spans="1:14" ht="15.75" hidden="1" customHeight="1">
      <c r="A61" s="45">
        <v>15</v>
      </c>
      <c r="B61" s="62" t="s">
        <v>89</v>
      </c>
      <c r="C61" s="57" t="s">
        <v>98</v>
      </c>
      <c r="D61" s="62" t="s">
        <v>178</v>
      </c>
      <c r="E61" s="108">
        <v>8</v>
      </c>
      <c r="F61" s="109">
        <f>E61*6/100</f>
        <v>0.48</v>
      </c>
      <c r="G61" s="156">
        <v>2218.11</v>
      </c>
      <c r="H61" s="91">
        <f>F61*G61/1000</f>
        <v>1.0646928</v>
      </c>
      <c r="I61" s="13">
        <f>F61/6*G61</f>
        <v>177.44880000000001</v>
      </c>
      <c r="J61" s="24"/>
      <c r="L61" s="20"/>
      <c r="M61" s="21"/>
      <c r="N61" s="22"/>
    </row>
    <row r="62" spans="1:14" ht="15.75" hidden="1" customHeight="1">
      <c r="A62" s="45"/>
      <c r="B62" s="87" t="s">
        <v>93</v>
      </c>
      <c r="C62" s="88" t="s">
        <v>94</v>
      </c>
      <c r="D62" s="87" t="s">
        <v>41</v>
      </c>
      <c r="E62" s="89">
        <v>8</v>
      </c>
      <c r="F62" s="90">
        <v>16</v>
      </c>
      <c r="G62" s="92">
        <v>180.78</v>
      </c>
      <c r="H62" s="91">
        <f>F62*G62/1000</f>
        <v>2.8924799999999999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103" t="s">
        <v>43</v>
      </c>
      <c r="C63" s="103"/>
      <c r="D63" s="103"/>
      <c r="E63" s="103"/>
      <c r="F63" s="103"/>
      <c r="G63" s="103"/>
      <c r="H63" s="103"/>
      <c r="I63" s="37"/>
      <c r="J63" s="24"/>
      <c r="L63" s="20"/>
      <c r="M63" s="21"/>
      <c r="N63" s="22"/>
    </row>
    <row r="64" spans="1:14" ht="15.75" customHeight="1">
      <c r="A64" s="45">
        <v>15</v>
      </c>
      <c r="B64" s="87" t="s">
        <v>90</v>
      </c>
      <c r="C64" s="88" t="s">
        <v>25</v>
      </c>
      <c r="D64" s="87" t="s">
        <v>178</v>
      </c>
      <c r="E64" s="89">
        <v>329.4</v>
      </c>
      <c r="F64" s="90">
        <v>2400</v>
      </c>
      <c r="G64" s="93">
        <v>1.4</v>
      </c>
      <c r="H64" s="91">
        <f>G64*F64</f>
        <v>3360</v>
      </c>
      <c r="I64" s="13">
        <f>F64/12*G64</f>
        <v>280</v>
      </c>
      <c r="J64" s="24"/>
      <c r="L64" s="20"/>
      <c r="M64" s="21"/>
      <c r="N64" s="22"/>
    </row>
    <row r="65" spans="1:22" ht="15.75" hidden="1" customHeight="1">
      <c r="A65" s="45"/>
      <c r="B65" s="87" t="s">
        <v>44</v>
      </c>
      <c r="C65" s="88" t="s">
        <v>25</v>
      </c>
      <c r="D65" s="87" t="s">
        <v>53</v>
      </c>
      <c r="E65" s="89">
        <v>1640.4</v>
      </c>
      <c r="F65" s="90">
        <v>16.404</v>
      </c>
      <c r="G65" s="94">
        <v>739.61</v>
      </c>
      <c r="H65" s="91">
        <f>G65*F65/1000</f>
        <v>12.132562439999999</v>
      </c>
      <c r="I65" s="13">
        <v>0</v>
      </c>
      <c r="J65" s="24"/>
      <c r="L65" s="20"/>
      <c r="M65" s="21"/>
      <c r="N65" s="22"/>
    </row>
    <row r="66" spans="1:22" ht="15.75" customHeight="1">
      <c r="A66" s="45"/>
      <c r="B66" s="103" t="s">
        <v>45</v>
      </c>
      <c r="C66" s="17"/>
      <c r="D66" s="41"/>
      <c r="E66" s="41"/>
      <c r="F66" s="16"/>
      <c r="G66" s="30"/>
      <c r="H66" s="30"/>
      <c r="I66" s="19"/>
      <c r="J66" s="24"/>
      <c r="L66" s="20"/>
      <c r="M66" s="21"/>
      <c r="N66" s="22"/>
    </row>
    <row r="67" spans="1:22" ht="15.75" customHeight="1">
      <c r="A67" s="45">
        <v>16</v>
      </c>
      <c r="B67" s="15" t="s">
        <v>46</v>
      </c>
      <c r="C67" s="17" t="s">
        <v>113</v>
      </c>
      <c r="D67" s="15" t="s">
        <v>183</v>
      </c>
      <c r="E67" s="19">
        <v>40</v>
      </c>
      <c r="F67" s="78">
        <v>40</v>
      </c>
      <c r="G67" s="120">
        <v>318.82</v>
      </c>
      <c r="H67" s="73">
        <f t="shared" ref="H67:H74" si="9">SUM(F67*G67/1000)</f>
        <v>12.752799999999999</v>
      </c>
      <c r="I67" s="13">
        <f>G67*3</f>
        <v>956.46</v>
      </c>
      <c r="J67" s="24"/>
      <c r="L67" s="20"/>
      <c r="M67" s="21"/>
      <c r="N67" s="22"/>
    </row>
    <row r="68" spans="1:22" ht="15.75" hidden="1" customHeight="1">
      <c r="A68" s="30">
        <v>29</v>
      </c>
      <c r="B68" s="15" t="s">
        <v>47</v>
      </c>
      <c r="C68" s="17" t="s">
        <v>113</v>
      </c>
      <c r="D68" s="15" t="s">
        <v>65</v>
      </c>
      <c r="E68" s="19">
        <v>15</v>
      </c>
      <c r="F68" s="78">
        <v>15</v>
      </c>
      <c r="G68" s="13">
        <v>76.25</v>
      </c>
      <c r="H68" s="73">
        <f t="shared" si="9"/>
        <v>1.14375</v>
      </c>
      <c r="I68" s="13">
        <v>0</v>
      </c>
      <c r="J68" s="24"/>
      <c r="L68" s="20"/>
      <c r="M68" s="21"/>
      <c r="N68" s="22"/>
    </row>
    <row r="69" spans="1:22" ht="15.75" hidden="1" customHeight="1">
      <c r="A69" s="30">
        <v>26</v>
      </c>
      <c r="B69" s="15" t="s">
        <v>48</v>
      </c>
      <c r="C69" s="17" t="s">
        <v>114</v>
      </c>
      <c r="D69" s="15" t="s">
        <v>53</v>
      </c>
      <c r="E69" s="77">
        <v>24648</v>
      </c>
      <c r="F69" s="13">
        <f>SUM(E69/100)</f>
        <v>246.48</v>
      </c>
      <c r="G69" s="13">
        <v>212.15</v>
      </c>
      <c r="H69" s="73">
        <f t="shared" si="9"/>
        <v>52.290731999999998</v>
      </c>
      <c r="I69" s="13">
        <f>F69*G69</f>
        <v>52290.731999999996</v>
      </c>
      <c r="J69" s="24"/>
      <c r="L69" s="20"/>
      <c r="M69" s="21"/>
      <c r="N69" s="22"/>
    </row>
    <row r="70" spans="1:22" ht="15.75" hidden="1" customHeight="1">
      <c r="A70" s="30">
        <v>27</v>
      </c>
      <c r="B70" s="15" t="s">
        <v>49</v>
      </c>
      <c r="C70" s="17" t="s">
        <v>115</v>
      </c>
      <c r="D70" s="15"/>
      <c r="E70" s="77">
        <v>24648</v>
      </c>
      <c r="F70" s="13">
        <f>SUM(E70/1000)</f>
        <v>24.648</v>
      </c>
      <c r="G70" s="13">
        <v>165.21</v>
      </c>
      <c r="H70" s="73">
        <f t="shared" si="9"/>
        <v>4.0720960800000006</v>
      </c>
      <c r="I70" s="13">
        <f t="shared" ref="I70:I73" si="10">F70*G70</f>
        <v>4072.0960800000003</v>
      </c>
      <c r="J70" s="24"/>
      <c r="L70" s="20"/>
      <c r="M70" s="21"/>
      <c r="N70" s="22"/>
    </row>
    <row r="71" spans="1:22" ht="15.75" hidden="1" customHeight="1">
      <c r="A71" s="30">
        <v>28</v>
      </c>
      <c r="B71" s="15" t="s">
        <v>50</v>
      </c>
      <c r="C71" s="17" t="s">
        <v>74</v>
      </c>
      <c r="D71" s="15" t="s">
        <v>53</v>
      </c>
      <c r="E71" s="77">
        <v>2730</v>
      </c>
      <c r="F71" s="13">
        <f>SUM(E71/100)</f>
        <v>27.3</v>
      </c>
      <c r="G71" s="13">
        <v>2074.63</v>
      </c>
      <c r="H71" s="73">
        <f t="shared" si="9"/>
        <v>56.637399000000002</v>
      </c>
      <c r="I71" s="13">
        <f t="shared" si="10"/>
        <v>56637.399000000005</v>
      </c>
      <c r="J71" s="24"/>
      <c r="L71" s="20"/>
    </row>
    <row r="72" spans="1:22" ht="15.75" hidden="1" customHeight="1">
      <c r="A72" s="30">
        <v>29</v>
      </c>
      <c r="B72" s="95" t="s">
        <v>116</v>
      </c>
      <c r="C72" s="17" t="s">
        <v>33</v>
      </c>
      <c r="D72" s="15"/>
      <c r="E72" s="77">
        <v>20.28</v>
      </c>
      <c r="F72" s="13">
        <f>SUM(E72)</f>
        <v>20.28</v>
      </c>
      <c r="G72" s="13">
        <v>45.32</v>
      </c>
      <c r="H72" s="73">
        <f t="shared" si="9"/>
        <v>0.91908960000000006</v>
      </c>
      <c r="I72" s="13">
        <f t="shared" si="10"/>
        <v>919.08960000000002</v>
      </c>
    </row>
    <row r="73" spans="1:22" ht="15.75" hidden="1" customHeight="1">
      <c r="A73" s="30">
        <v>30</v>
      </c>
      <c r="B73" s="95" t="s">
        <v>140</v>
      </c>
      <c r="C73" s="17" t="s">
        <v>33</v>
      </c>
      <c r="D73" s="15"/>
      <c r="E73" s="77">
        <v>20.28</v>
      </c>
      <c r="F73" s="13">
        <f>SUM(E73)</f>
        <v>20.28</v>
      </c>
      <c r="G73" s="13">
        <v>42.28</v>
      </c>
      <c r="H73" s="73">
        <f t="shared" si="9"/>
        <v>0.85743840000000016</v>
      </c>
      <c r="I73" s="13">
        <f t="shared" si="10"/>
        <v>857.43840000000012</v>
      </c>
    </row>
    <row r="74" spans="1:22" ht="15.75" hidden="1" customHeight="1">
      <c r="A74" s="30">
        <v>21</v>
      </c>
      <c r="B74" s="15" t="s">
        <v>56</v>
      </c>
      <c r="C74" s="17" t="s">
        <v>57</v>
      </c>
      <c r="D74" s="15" t="s">
        <v>53</v>
      </c>
      <c r="E74" s="19">
        <v>12</v>
      </c>
      <c r="F74" s="78">
        <f>SUM(E74)</f>
        <v>12</v>
      </c>
      <c r="G74" s="13">
        <v>49.88</v>
      </c>
      <c r="H74" s="73">
        <f t="shared" si="9"/>
        <v>0.59856000000000009</v>
      </c>
      <c r="I74" s="13">
        <f>G74*12</f>
        <v>598.56000000000006</v>
      </c>
    </row>
    <row r="75" spans="1:22" ht="15.75" customHeight="1">
      <c r="A75" s="30"/>
      <c r="B75" s="135" t="s">
        <v>188</v>
      </c>
      <c r="C75" s="42"/>
      <c r="D75" s="41"/>
      <c r="E75" s="18"/>
      <c r="F75" s="136"/>
      <c r="G75" s="38"/>
      <c r="H75" s="73"/>
      <c r="I75" s="13"/>
    </row>
    <row r="76" spans="1:22" ht="30" customHeight="1">
      <c r="A76" s="30">
        <v>17</v>
      </c>
      <c r="B76" s="41" t="s">
        <v>189</v>
      </c>
      <c r="C76" s="45" t="s">
        <v>190</v>
      </c>
      <c r="D76" s="41"/>
      <c r="E76" s="18">
        <v>5926.8</v>
      </c>
      <c r="F76" s="38">
        <f>E76*12</f>
        <v>71121.600000000006</v>
      </c>
      <c r="G76" s="38">
        <v>2.4900000000000002</v>
      </c>
      <c r="H76" s="13"/>
      <c r="I76" s="13">
        <f>G76*F76/12</f>
        <v>14757.732000000004</v>
      </c>
    </row>
    <row r="77" spans="1:22" ht="15.75" hidden="1" customHeight="1">
      <c r="A77" s="105"/>
      <c r="B77" s="103" t="s">
        <v>117</v>
      </c>
      <c r="C77" s="103"/>
      <c r="D77" s="103"/>
      <c r="E77" s="103"/>
      <c r="F77" s="103"/>
      <c r="G77" s="103"/>
      <c r="H77" s="103"/>
      <c r="I77" s="1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9"/>
    </row>
    <row r="78" spans="1:22" ht="15.75" hidden="1" customHeight="1">
      <c r="A78" s="30">
        <v>16</v>
      </c>
      <c r="B78" s="76" t="s">
        <v>118</v>
      </c>
      <c r="C78" s="17"/>
      <c r="D78" s="15"/>
      <c r="E78" s="74"/>
      <c r="F78" s="13">
        <v>1</v>
      </c>
      <c r="G78" s="13">
        <v>27356</v>
      </c>
      <c r="H78" s="73">
        <f>G78*F78/1000</f>
        <v>27.356000000000002</v>
      </c>
      <c r="I78" s="13">
        <f>G78</f>
        <v>27356</v>
      </c>
      <c r="J78" s="26"/>
      <c r="K78" s="26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2" ht="15.75" customHeight="1">
      <c r="A79" s="30"/>
      <c r="B79" s="53" t="s">
        <v>71</v>
      </c>
      <c r="C79" s="53"/>
      <c r="D79" s="53"/>
      <c r="E79" s="53"/>
      <c r="F79" s="19"/>
      <c r="G79" s="30"/>
      <c r="H79" s="30"/>
      <c r="I79" s="19"/>
      <c r="J79" s="3"/>
      <c r="K79" s="3"/>
      <c r="L79" s="3"/>
      <c r="M79" s="3"/>
      <c r="N79" s="3"/>
      <c r="O79" s="3"/>
      <c r="P79" s="3"/>
      <c r="Q79" s="3"/>
      <c r="S79" s="3"/>
      <c r="T79" s="3"/>
      <c r="U79" s="3"/>
    </row>
    <row r="80" spans="1:22" ht="15.75" hidden="1" customHeight="1">
      <c r="A80" s="30"/>
      <c r="B80" s="15" t="s">
        <v>83</v>
      </c>
      <c r="C80" s="17" t="s">
        <v>31</v>
      </c>
      <c r="D80" s="15"/>
      <c r="E80" s="19">
        <v>2</v>
      </c>
      <c r="F80" s="78">
        <f>SUM(E80)</f>
        <v>2</v>
      </c>
      <c r="G80" s="13">
        <v>358.51</v>
      </c>
      <c r="H80" s="73">
        <f>SUM(F80*G80/1000)</f>
        <v>0.71701999999999999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178"/>
      <c r="S80" s="178"/>
      <c r="T80" s="178"/>
      <c r="U80" s="178"/>
    </row>
    <row r="81" spans="1:21" ht="15.75" hidden="1" customHeight="1">
      <c r="A81" s="30"/>
      <c r="B81" s="15" t="s">
        <v>72</v>
      </c>
      <c r="C81" s="17" t="s">
        <v>31</v>
      </c>
      <c r="D81" s="15"/>
      <c r="E81" s="19">
        <v>1</v>
      </c>
      <c r="F81" s="13">
        <v>1</v>
      </c>
      <c r="G81" s="13">
        <v>852.99</v>
      </c>
      <c r="H81" s="73">
        <f>F81*G81/1000</f>
        <v>0.85299000000000003</v>
      </c>
      <c r="I81" s="13">
        <v>0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32.25" customHeight="1">
      <c r="A82" s="30">
        <v>18</v>
      </c>
      <c r="B82" s="41" t="s">
        <v>191</v>
      </c>
      <c r="C82" s="42" t="s">
        <v>113</v>
      </c>
      <c r="D82" s="41" t="s">
        <v>179</v>
      </c>
      <c r="E82" s="18">
        <v>2</v>
      </c>
      <c r="F82" s="38">
        <f>E82*12</f>
        <v>24</v>
      </c>
      <c r="G82" s="38">
        <v>404</v>
      </c>
      <c r="H82" s="73"/>
      <c r="I82" s="13">
        <f>G82*F82/12</f>
        <v>808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31.5" customHeight="1">
      <c r="A83" s="30">
        <v>19</v>
      </c>
      <c r="B83" s="41" t="s">
        <v>192</v>
      </c>
      <c r="C83" s="42" t="s">
        <v>113</v>
      </c>
      <c r="D83" s="41" t="s">
        <v>179</v>
      </c>
      <c r="E83" s="18">
        <v>1</v>
      </c>
      <c r="F83" s="38">
        <f>E83*12</f>
        <v>12</v>
      </c>
      <c r="G83" s="38">
        <v>1759</v>
      </c>
      <c r="H83" s="73"/>
      <c r="I83" s="13">
        <f>G83*F83/12</f>
        <v>1759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15.75" hidden="1" customHeight="1">
      <c r="A84" s="30"/>
      <c r="B84" s="54" t="s">
        <v>73</v>
      </c>
      <c r="C84" s="42"/>
      <c r="D84" s="30"/>
      <c r="E84" s="30"/>
      <c r="F84" s="19"/>
      <c r="G84" s="38" t="s">
        <v>134</v>
      </c>
      <c r="H84" s="38"/>
      <c r="I84" s="19"/>
    </row>
    <row r="85" spans="1:21" ht="15.75" hidden="1" customHeight="1">
      <c r="A85" s="30">
        <v>39</v>
      </c>
      <c r="B85" s="56" t="s">
        <v>119</v>
      </c>
      <c r="C85" s="17" t="s">
        <v>74</v>
      </c>
      <c r="D85" s="15"/>
      <c r="E85" s="19"/>
      <c r="F85" s="13">
        <v>1.35</v>
      </c>
      <c r="G85" s="13">
        <v>2759.44</v>
      </c>
      <c r="H85" s="73">
        <f>SUM(F85*G85/1000)</f>
        <v>3.725244</v>
      </c>
      <c r="I85" s="13">
        <v>0</v>
      </c>
    </row>
    <row r="86" spans="1:21" ht="15.75" customHeight="1">
      <c r="A86" s="169" t="s">
        <v>138</v>
      </c>
      <c r="B86" s="170"/>
      <c r="C86" s="170"/>
      <c r="D86" s="170"/>
      <c r="E86" s="170"/>
      <c r="F86" s="170"/>
      <c r="G86" s="170"/>
      <c r="H86" s="170"/>
      <c r="I86" s="171"/>
    </row>
    <row r="87" spans="1:21" ht="15.75" customHeight="1">
      <c r="A87" s="30">
        <v>20</v>
      </c>
      <c r="B87" s="41" t="s">
        <v>120</v>
      </c>
      <c r="C87" s="42" t="s">
        <v>54</v>
      </c>
      <c r="D87" s="146"/>
      <c r="E87" s="38">
        <v>5926.8</v>
      </c>
      <c r="F87" s="38">
        <f>SUM(E87*12)</f>
        <v>71121.600000000006</v>
      </c>
      <c r="G87" s="142">
        <v>3.38</v>
      </c>
      <c r="H87" s="13">
        <f>SUM(F87*G87/1000)</f>
        <v>240.391008</v>
      </c>
      <c r="I87" s="13">
        <f>F87/12*G87</f>
        <v>20032.583999999999</v>
      </c>
    </row>
    <row r="88" spans="1:21" ht="31.5" customHeight="1">
      <c r="A88" s="30">
        <v>21</v>
      </c>
      <c r="B88" s="143" t="s">
        <v>193</v>
      </c>
      <c r="C88" s="137"/>
      <c r="D88" s="144"/>
      <c r="E88" s="145">
        <f>E87</f>
        <v>5926.8</v>
      </c>
      <c r="F88" s="139">
        <f>E88*12</f>
        <v>71121.600000000006</v>
      </c>
      <c r="G88" s="139">
        <v>3.05</v>
      </c>
      <c r="H88" s="130">
        <f>F88*G88/1000</f>
        <v>216.92088000000001</v>
      </c>
      <c r="I88" s="131">
        <f>F88/12*G88</f>
        <v>18076.739999999998</v>
      </c>
    </row>
    <row r="89" spans="1:21" ht="15.75" customHeight="1">
      <c r="A89" s="105"/>
      <c r="B89" s="43" t="s">
        <v>76</v>
      </c>
      <c r="C89" s="45"/>
      <c r="D89" s="16"/>
      <c r="E89" s="16"/>
      <c r="F89" s="16"/>
      <c r="G89" s="19"/>
      <c r="H89" s="19"/>
      <c r="I89" s="32">
        <f>I88+I87+I83+I82+I76+I67+I64+I52+I46+I45+I44+I43+I41+I40+I39+I27+I21+I20+I18+I17+I16</f>
        <v>100306.45599113333</v>
      </c>
    </row>
    <row r="90" spans="1:21" ht="15.75" customHeight="1">
      <c r="A90" s="172" t="s">
        <v>59</v>
      </c>
      <c r="B90" s="173"/>
      <c r="C90" s="173"/>
      <c r="D90" s="173"/>
      <c r="E90" s="173"/>
      <c r="F90" s="173"/>
      <c r="G90" s="173"/>
      <c r="H90" s="173"/>
      <c r="I90" s="174"/>
    </row>
    <row r="91" spans="1:21" ht="28.5" customHeight="1">
      <c r="A91" s="30">
        <v>22</v>
      </c>
      <c r="B91" s="97" t="s">
        <v>84</v>
      </c>
      <c r="C91" s="98" t="s">
        <v>86</v>
      </c>
      <c r="D91" s="63" t="s">
        <v>327</v>
      </c>
      <c r="E91" s="38"/>
      <c r="F91" s="38">
        <v>4</v>
      </c>
      <c r="G91" s="38">
        <v>670.51</v>
      </c>
      <c r="H91" s="73"/>
      <c r="I91" s="13">
        <f>G91*1</f>
        <v>670.51</v>
      </c>
    </row>
    <row r="92" spans="1:21" ht="29.25" customHeight="1">
      <c r="A92" s="30">
        <v>23</v>
      </c>
      <c r="B92" s="97" t="s">
        <v>280</v>
      </c>
      <c r="C92" s="98" t="s">
        <v>86</v>
      </c>
      <c r="D92" s="41" t="s">
        <v>325</v>
      </c>
      <c r="E92" s="38"/>
      <c r="F92" s="38">
        <v>3</v>
      </c>
      <c r="G92" s="38">
        <v>587.65</v>
      </c>
      <c r="H92" s="96"/>
      <c r="I92" s="106">
        <f>G92*2</f>
        <v>1175.3</v>
      </c>
    </row>
    <row r="93" spans="1:21" ht="19.5" customHeight="1">
      <c r="A93" s="30">
        <v>24</v>
      </c>
      <c r="B93" s="159" t="s">
        <v>159</v>
      </c>
      <c r="C93" s="98" t="s">
        <v>167</v>
      </c>
      <c r="D93" s="63" t="s">
        <v>358</v>
      </c>
      <c r="E93" s="38"/>
      <c r="F93" s="38">
        <v>104</v>
      </c>
      <c r="G93" s="38">
        <v>284</v>
      </c>
      <c r="H93" s="96"/>
      <c r="I93" s="13">
        <v>0</v>
      </c>
    </row>
    <row r="94" spans="1:21" ht="18" customHeight="1">
      <c r="A94" s="30">
        <v>25</v>
      </c>
      <c r="B94" s="97" t="s">
        <v>324</v>
      </c>
      <c r="C94" s="98" t="s">
        <v>113</v>
      </c>
      <c r="D94" s="63" t="s">
        <v>326</v>
      </c>
      <c r="E94" s="38"/>
      <c r="F94" s="38">
        <v>1</v>
      </c>
      <c r="G94" s="38">
        <v>220.1</v>
      </c>
      <c r="H94" s="96"/>
      <c r="I94" s="13">
        <f>G94*1</f>
        <v>220.1</v>
      </c>
    </row>
    <row r="95" spans="1:21" ht="18.75" customHeight="1">
      <c r="A95" s="30">
        <v>26</v>
      </c>
      <c r="B95" s="97" t="s">
        <v>209</v>
      </c>
      <c r="C95" s="98" t="s">
        <v>39</v>
      </c>
      <c r="D95" s="63" t="s">
        <v>178</v>
      </c>
      <c r="E95" s="38"/>
      <c r="F95" s="160">
        <v>0.13</v>
      </c>
      <c r="G95" s="38">
        <v>27139.18</v>
      </c>
      <c r="H95" s="96"/>
      <c r="I95" s="13">
        <v>0</v>
      </c>
    </row>
    <row r="96" spans="1:21" ht="15.75" customHeight="1">
      <c r="A96" s="30"/>
      <c r="B96" s="50" t="s">
        <v>51</v>
      </c>
      <c r="C96" s="46"/>
      <c r="D96" s="59"/>
      <c r="E96" s="59"/>
      <c r="F96" s="46">
        <v>1</v>
      </c>
      <c r="G96" s="46"/>
      <c r="H96" s="46"/>
      <c r="I96" s="32">
        <f>SUM(I91:I95)</f>
        <v>2065.91</v>
      </c>
    </row>
    <row r="97" spans="1:9" ht="16.5" customHeight="1">
      <c r="A97" s="30"/>
      <c r="B97" s="56" t="s">
        <v>75</v>
      </c>
      <c r="C97" s="16"/>
      <c r="D97" s="16"/>
      <c r="E97" s="16"/>
      <c r="F97" s="47"/>
      <c r="G97" s="48"/>
      <c r="H97" s="48"/>
      <c r="I97" s="18">
        <v>0</v>
      </c>
    </row>
    <row r="98" spans="1:9" ht="18" customHeight="1">
      <c r="A98" s="60"/>
      <c r="B98" s="51" t="s">
        <v>141</v>
      </c>
      <c r="C98" s="36"/>
      <c r="D98" s="36"/>
      <c r="E98" s="36"/>
      <c r="F98" s="36"/>
      <c r="G98" s="36"/>
      <c r="H98" s="36"/>
      <c r="I98" s="49">
        <f>I89+I96</f>
        <v>102372.36599113334</v>
      </c>
    </row>
    <row r="99" spans="1:9" ht="16.5" customHeight="1">
      <c r="A99" s="188" t="s">
        <v>359</v>
      </c>
      <c r="B99" s="188"/>
      <c r="C99" s="188"/>
      <c r="D99" s="188"/>
      <c r="E99" s="188"/>
      <c r="F99" s="188"/>
      <c r="G99" s="188"/>
      <c r="H99" s="188"/>
      <c r="I99" s="188"/>
    </row>
    <row r="100" spans="1:9" ht="18.75" customHeight="1">
      <c r="A100" s="72"/>
      <c r="B100" s="180" t="s">
        <v>360</v>
      </c>
      <c r="C100" s="180"/>
      <c r="D100" s="180"/>
      <c r="E100" s="180"/>
      <c r="F100" s="180"/>
      <c r="G100" s="180"/>
      <c r="H100" s="75"/>
      <c r="I100" s="3"/>
    </row>
    <row r="101" spans="1:9" ht="19.5" customHeight="1">
      <c r="A101" s="101"/>
      <c r="B101" s="176" t="s">
        <v>6</v>
      </c>
      <c r="C101" s="176"/>
      <c r="D101" s="176"/>
      <c r="E101" s="176"/>
      <c r="F101" s="176"/>
      <c r="G101" s="176"/>
      <c r="H101" s="25"/>
      <c r="I101" s="5"/>
    </row>
    <row r="102" spans="1:9" ht="16.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6.5" customHeight="1">
      <c r="A103" s="181" t="s">
        <v>7</v>
      </c>
      <c r="B103" s="181"/>
      <c r="C103" s="181"/>
      <c r="D103" s="181"/>
      <c r="E103" s="181"/>
      <c r="F103" s="181"/>
      <c r="G103" s="181"/>
      <c r="H103" s="181"/>
      <c r="I103" s="181"/>
    </row>
    <row r="104" spans="1:9" ht="16.5" customHeight="1">
      <c r="A104" s="181" t="s">
        <v>8</v>
      </c>
      <c r="B104" s="181"/>
      <c r="C104" s="181"/>
      <c r="D104" s="181"/>
      <c r="E104" s="181"/>
      <c r="F104" s="181"/>
      <c r="G104" s="181"/>
      <c r="H104" s="181"/>
      <c r="I104" s="181"/>
    </row>
    <row r="105" spans="1:9" ht="16.5" customHeight="1">
      <c r="A105" s="182" t="s">
        <v>60</v>
      </c>
      <c r="B105" s="182"/>
      <c r="C105" s="182"/>
      <c r="D105" s="182"/>
      <c r="E105" s="182"/>
      <c r="F105" s="182"/>
      <c r="G105" s="182"/>
      <c r="H105" s="182"/>
      <c r="I105" s="182"/>
    </row>
    <row r="106" spans="1:9" ht="45" customHeight="1">
      <c r="A106" s="11"/>
    </row>
    <row r="107" spans="1:9" ht="19.5" customHeight="1">
      <c r="A107" s="183" t="s">
        <v>9</v>
      </c>
      <c r="B107" s="183"/>
      <c r="C107" s="183"/>
      <c r="D107" s="183"/>
      <c r="E107" s="183"/>
      <c r="F107" s="183"/>
      <c r="G107" s="183"/>
      <c r="H107" s="183"/>
      <c r="I107" s="183"/>
    </row>
    <row r="108" spans="1:9" ht="34.5" customHeight="1">
      <c r="A108" s="4"/>
    </row>
    <row r="109" spans="1:9" ht="18" customHeight="1">
      <c r="B109" s="102" t="s">
        <v>10</v>
      </c>
      <c r="C109" s="175" t="s">
        <v>314</v>
      </c>
      <c r="D109" s="175"/>
      <c r="E109" s="175"/>
      <c r="F109" s="175"/>
      <c r="I109" s="100"/>
    </row>
    <row r="110" spans="1:9" ht="15.75" customHeight="1">
      <c r="A110" s="101"/>
      <c r="C110" s="176" t="s">
        <v>11</v>
      </c>
      <c r="D110" s="176"/>
      <c r="E110" s="176"/>
      <c r="F110" s="176"/>
      <c r="I110" s="99" t="s">
        <v>12</v>
      </c>
    </row>
    <row r="111" spans="1:9" ht="15.75" customHeight="1">
      <c r="A111" s="26"/>
      <c r="C111" s="12"/>
      <c r="D111" s="12"/>
      <c r="E111" s="12"/>
      <c r="G111" s="12"/>
      <c r="H111" s="12"/>
    </row>
    <row r="112" spans="1:9" ht="15.75" customHeight="1">
      <c r="B112" s="102" t="s">
        <v>13</v>
      </c>
      <c r="C112" s="177"/>
      <c r="D112" s="177"/>
      <c r="E112" s="177"/>
      <c r="F112" s="177"/>
      <c r="I112" s="100"/>
    </row>
    <row r="113" spans="1:9" ht="15.75" customHeight="1">
      <c r="A113" s="101"/>
      <c r="C113" s="178" t="s">
        <v>11</v>
      </c>
      <c r="D113" s="178"/>
      <c r="E113" s="178"/>
      <c r="F113" s="178"/>
      <c r="I113" s="99" t="s">
        <v>12</v>
      </c>
    </row>
    <row r="114" spans="1:9" ht="15.75" customHeight="1">
      <c r="A114" s="4" t="s">
        <v>14</v>
      </c>
    </row>
    <row r="115" spans="1:9" ht="15.75" customHeight="1">
      <c r="A115" s="179" t="s">
        <v>15</v>
      </c>
      <c r="B115" s="179"/>
      <c r="C115" s="179"/>
      <c r="D115" s="179"/>
      <c r="E115" s="179"/>
      <c r="F115" s="179"/>
      <c r="G115" s="179"/>
      <c r="H115" s="179"/>
      <c r="I115" s="179"/>
    </row>
    <row r="116" spans="1:9" ht="15.75" customHeight="1">
      <c r="A116" s="168" t="s">
        <v>16</v>
      </c>
      <c r="B116" s="168"/>
      <c r="C116" s="168"/>
      <c r="D116" s="168"/>
      <c r="E116" s="168"/>
      <c r="F116" s="168"/>
      <c r="G116" s="168"/>
      <c r="H116" s="168"/>
      <c r="I116" s="168"/>
    </row>
    <row r="117" spans="1:9" ht="15.75" customHeight="1">
      <c r="A117" s="168" t="s">
        <v>17</v>
      </c>
      <c r="B117" s="168"/>
      <c r="C117" s="168"/>
      <c r="D117" s="168"/>
      <c r="E117" s="168"/>
      <c r="F117" s="168"/>
      <c r="G117" s="168"/>
      <c r="H117" s="168"/>
      <c r="I117" s="168"/>
    </row>
    <row r="118" spans="1:9" ht="15.75" customHeight="1">
      <c r="A118" s="168" t="s">
        <v>21</v>
      </c>
      <c r="B118" s="168"/>
      <c r="C118" s="168"/>
      <c r="D118" s="168"/>
      <c r="E118" s="168"/>
      <c r="F118" s="168"/>
      <c r="G118" s="168"/>
      <c r="H118" s="168"/>
      <c r="I118" s="168"/>
    </row>
    <row r="119" spans="1:9" ht="15.75" customHeight="1">
      <c r="A119" s="168" t="s">
        <v>20</v>
      </c>
      <c r="B119" s="168"/>
      <c r="C119" s="168"/>
      <c r="D119" s="168"/>
      <c r="E119" s="168"/>
      <c r="F119" s="168"/>
      <c r="G119" s="168"/>
      <c r="H119" s="168"/>
      <c r="I119" s="168"/>
    </row>
    <row r="120" spans="1:9" ht="15.75" customHeight="1"/>
    <row r="121" spans="1:9" ht="15.75" customHeight="1"/>
    <row r="122" spans="1:9" ht="15.75" customHeight="1"/>
    <row r="123" spans="1:9" ht="15.75" customHeight="1"/>
    <row r="124" spans="1:9" ht="15.75" customHeight="1"/>
    <row r="125" spans="1:9" ht="15.75" customHeight="1"/>
    <row r="126" spans="1:9" ht="15.75" customHeight="1"/>
    <row r="127" spans="1:9" ht="15.75" customHeight="1"/>
    <row r="128" spans="1:9" ht="15.75" customHeight="1"/>
    <row r="130" ht="45" customHeight="1"/>
    <row r="131" ht="30" customHeight="1"/>
    <row r="132" ht="30" customHeight="1"/>
    <row r="133" ht="15" customHeight="1"/>
  </sheetData>
  <autoFilter ref="I12:I73"/>
  <mergeCells count="29">
    <mergeCell ref="A14:I14"/>
    <mergeCell ref="A15:I15"/>
    <mergeCell ref="A29:I29"/>
    <mergeCell ref="A47:I47"/>
    <mergeCell ref="A57:I57"/>
    <mergeCell ref="A3:I3"/>
    <mergeCell ref="A4:I4"/>
    <mergeCell ref="A5:I5"/>
    <mergeCell ref="A8:I8"/>
    <mergeCell ref="A10:I10"/>
    <mergeCell ref="R80:U80"/>
    <mergeCell ref="C113:F113"/>
    <mergeCell ref="A90:I90"/>
    <mergeCell ref="A99:I99"/>
    <mergeCell ref="B100:G100"/>
    <mergeCell ref="B101:G101"/>
    <mergeCell ref="A103:I103"/>
    <mergeCell ref="A104:I104"/>
    <mergeCell ref="A105:I105"/>
    <mergeCell ref="A107:I107"/>
    <mergeCell ref="C109:F109"/>
    <mergeCell ref="C110:F110"/>
    <mergeCell ref="C112:F112"/>
    <mergeCell ref="A86:I86"/>
    <mergeCell ref="A115:I115"/>
    <mergeCell ref="A116:I116"/>
    <mergeCell ref="A117:I117"/>
    <mergeCell ref="A118:I118"/>
    <mergeCell ref="A119:I1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31"/>
  <sheetViews>
    <sheetView topLeftCell="A94" workbookViewId="0">
      <selection activeCell="I112" sqref="I112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9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142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226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31">
        <v>43890</v>
      </c>
      <c r="J6" s="2"/>
      <c r="K6" s="2"/>
      <c r="L6" s="2"/>
      <c r="M6" s="2"/>
    </row>
    <row r="7" spans="1:13" ht="15.75" customHeight="1">
      <c r="B7" s="66"/>
      <c r="C7" s="66"/>
      <c r="D7" s="66"/>
      <c r="E7" s="66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186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175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7" si="0">SUM(F16*G16/1000)</f>
        <v>62.943028199999993</v>
      </c>
      <c r="I16" s="13">
        <f>F16/12*G16</f>
        <v>5245.2523499999998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176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F17/12*G17</f>
        <v>13987.339599999998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177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F18/18*1*G18</f>
        <v>5803.9207499999993</v>
      </c>
      <c r="J18" s="23"/>
      <c r="K18" s="8"/>
      <c r="L18" s="8"/>
      <c r="M18" s="8"/>
    </row>
    <row r="19" spans="1:13" ht="15.75" hidden="1" customHeight="1">
      <c r="A19" s="30"/>
      <c r="B19" s="76" t="s">
        <v>99</v>
      </c>
      <c r="C19" s="65" t="s">
        <v>100</v>
      </c>
      <c r="D19" s="76" t="s">
        <v>101</v>
      </c>
      <c r="E19" s="77">
        <v>38.4</v>
      </c>
      <c r="F19" s="78">
        <f>SUM(E19/10)</f>
        <v>3.84</v>
      </c>
      <c r="G19" s="78">
        <v>170.16</v>
      </c>
      <c r="H19" s="79">
        <f t="shared" si="0"/>
        <v>0.65341439999999995</v>
      </c>
      <c r="I19" s="13">
        <f>F19/2*G19</f>
        <v>326.7072</v>
      </c>
      <c r="J19" s="23"/>
      <c r="K19" s="8"/>
      <c r="L19" s="8"/>
      <c r="M19" s="8"/>
    </row>
    <row r="20" spans="1:13" ht="15.75" customHeight="1">
      <c r="A20" s="30">
        <v>4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5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hidden="1" customHeight="1">
      <c r="A22" s="30"/>
      <c r="B22" s="76" t="s">
        <v>102</v>
      </c>
      <c r="C22" s="65" t="s">
        <v>52</v>
      </c>
      <c r="D22" s="76" t="s">
        <v>101</v>
      </c>
      <c r="E22" s="77">
        <v>822.72</v>
      </c>
      <c r="F22" s="78">
        <f>SUM(E22/100)</f>
        <v>8.2271999999999998</v>
      </c>
      <c r="G22" s="78">
        <v>269.26</v>
      </c>
      <c r="H22" s="79">
        <f t="shared" si="0"/>
        <v>2.2152558719999997</v>
      </c>
      <c r="I22" s="13">
        <f>F22*G22</f>
        <v>2215.2558719999997</v>
      </c>
      <c r="J22" s="23"/>
      <c r="K22" s="8"/>
      <c r="L22" s="8"/>
      <c r="M22" s="8"/>
    </row>
    <row r="23" spans="1:13" ht="15.75" hidden="1" customHeight="1">
      <c r="A23" s="30"/>
      <c r="B23" s="76" t="s">
        <v>103</v>
      </c>
      <c r="C23" s="65" t="s">
        <v>52</v>
      </c>
      <c r="D23" s="76" t="s">
        <v>101</v>
      </c>
      <c r="E23" s="80">
        <v>96.6</v>
      </c>
      <c r="F23" s="78">
        <f>SUM(E23/100)</f>
        <v>0.96599999999999997</v>
      </c>
      <c r="G23" s="78">
        <v>44.29</v>
      </c>
      <c r="H23" s="79">
        <f t="shared" si="0"/>
        <v>4.2784139999999998E-2</v>
      </c>
      <c r="I23" s="13">
        <f>F23*G23</f>
        <v>42.784140000000001</v>
      </c>
      <c r="J23" s="23"/>
      <c r="K23" s="8"/>
      <c r="L23" s="8"/>
      <c r="M23" s="8"/>
    </row>
    <row r="24" spans="1:13" ht="15.75" hidden="1" customHeight="1">
      <c r="A24" s="30">
        <v>6</v>
      </c>
      <c r="B24" s="76" t="s">
        <v>95</v>
      </c>
      <c r="C24" s="65" t="s">
        <v>52</v>
      </c>
      <c r="D24" s="76" t="s">
        <v>178</v>
      </c>
      <c r="E24" s="81">
        <v>32</v>
      </c>
      <c r="F24" s="78">
        <f>32*12/1000</f>
        <v>0.38400000000000001</v>
      </c>
      <c r="G24" s="78">
        <v>389.42</v>
      </c>
      <c r="H24" s="79">
        <f>G24*F24/100</f>
        <v>1.4953728000000002</v>
      </c>
      <c r="I24" s="13">
        <f>F24/12*G24</f>
        <v>12.461440000000001</v>
      </c>
      <c r="J24" s="23"/>
      <c r="K24" s="8"/>
      <c r="L24" s="8"/>
      <c r="M24" s="8"/>
    </row>
    <row r="25" spans="1:13" ht="15.75" hidden="1" customHeight="1">
      <c r="A25" s="45">
        <v>6</v>
      </c>
      <c r="B25" s="76" t="s">
        <v>122</v>
      </c>
      <c r="C25" s="65" t="s">
        <v>52</v>
      </c>
      <c r="D25" s="76" t="s">
        <v>53</v>
      </c>
      <c r="E25" s="82">
        <v>38</v>
      </c>
      <c r="F25" s="78">
        <v>0.38</v>
      </c>
      <c r="G25" s="78">
        <v>216.12</v>
      </c>
      <c r="H25" s="79">
        <f>G25*F25/1000</f>
        <v>8.2125600000000007E-2</v>
      </c>
      <c r="I25" s="13">
        <f>F25*G25</f>
        <v>82.125600000000006</v>
      </c>
      <c r="J25" s="23"/>
      <c r="K25" s="8"/>
      <c r="L25" s="8"/>
      <c r="M25" s="8"/>
    </row>
    <row r="26" spans="1:13" ht="15.75" hidden="1" customHeight="1">
      <c r="A26" s="45">
        <v>7</v>
      </c>
      <c r="B26" s="76" t="s">
        <v>96</v>
      </c>
      <c r="C26" s="65" t="s">
        <v>52</v>
      </c>
      <c r="D26" s="76" t="s">
        <v>179</v>
      </c>
      <c r="E26" s="77">
        <v>17</v>
      </c>
      <c r="F26" s="78">
        <f>SUM(E26*12/100)</f>
        <v>2.04</v>
      </c>
      <c r="G26" s="78">
        <v>520.79999999999995</v>
      </c>
      <c r="H26" s="79">
        <f t="shared" si="0"/>
        <v>1.062432</v>
      </c>
      <c r="I26" s="13">
        <f>F26/12*G26</f>
        <v>88.536000000000001</v>
      </c>
      <c r="J26" s="23"/>
      <c r="K26" s="8"/>
      <c r="L26" s="8"/>
      <c r="M26" s="8"/>
    </row>
    <row r="27" spans="1:13" ht="15.75" customHeight="1">
      <c r="A27" s="45">
        <v>6</v>
      </c>
      <c r="B27" s="34" t="s">
        <v>174</v>
      </c>
      <c r="C27" s="44" t="s">
        <v>33</v>
      </c>
      <c r="D27" s="34" t="s">
        <v>182</v>
      </c>
      <c r="E27" s="125">
        <v>0.2</v>
      </c>
      <c r="F27" s="33">
        <f>E27*258</f>
        <v>51.6</v>
      </c>
      <c r="G27" s="33">
        <v>289.5</v>
      </c>
      <c r="H27" s="79">
        <f t="shared" si="0"/>
        <v>14.9382</v>
      </c>
      <c r="I27" s="13">
        <f>F27/12*G27</f>
        <v>1244.8499999999999</v>
      </c>
      <c r="J27" s="23"/>
      <c r="K27" s="8"/>
      <c r="L27" s="8"/>
      <c r="M27" s="8"/>
    </row>
    <row r="28" spans="1:13" ht="15.75" customHeight="1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  <c r="J28" s="23"/>
      <c r="K28" s="8"/>
      <c r="L28" s="8"/>
      <c r="M28" s="8"/>
    </row>
    <row r="29" spans="1:13" ht="15.75" hidden="1" customHeight="1">
      <c r="A29" s="45"/>
      <c r="B29" s="55" t="s">
        <v>28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76" t="s">
        <v>104</v>
      </c>
      <c r="C30" s="65" t="s">
        <v>105</v>
      </c>
      <c r="D30" s="76" t="s">
        <v>125</v>
      </c>
      <c r="E30" s="78">
        <v>2732.4</v>
      </c>
      <c r="F30" s="78">
        <f>SUM(E30*26/1000)</f>
        <v>71.042400000000015</v>
      </c>
      <c r="G30" s="78">
        <v>155.88999999999999</v>
      </c>
      <c r="H30" s="79">
        <f t="shared" ref="H30:H32" si="1">SUM(F30*G30/1000)</f>
        <v>11.074799736000001</v>
      </c>
      <c r="I30" s="13">
        <v>0</v>
      </c>
      <c r="J30" s="23"/>
      <c r="K30" s="8"/>
      <c r="L30" s="8"/>
      <c r="M30" s="8"/>
    </row>
    <row r="31" spans="1:13" ht="31.5" hidden="1" customHeight="1">
      <c r="A31" s="45">
        <v>3</v>
      </c>
      <c r="B31" s="76" t="s">
        <v>126</v>
      </c>
      <c r="C31" s="65" t="s">
        <v>105</v>
      </c>
      <c r="D31" s="76" t="s">
        <v>106</v>
      </c>
      <c r="E31" s="78">
        <v>547.85</v>
      </c>
      <c r="F31" s="78">
        <f>SUM(E31*78/1000)</f>
        <v>42.732300000000002</v>
      </c>
      <c r="G31" s="78">
        <v>258.63</v>
      </c>
      <c r="H31" s="79">
        <f t="shared" si="1"/>
        <v>11.051854749</v>
      </c>
      <c r="I31" s="13">
        <v>0</v>
      </c>
      <c r="J31" s="23"/>
      <c r="K31" s="8"/>
      <c r="L31" s="8"/>
      <c r="M31" s="8"/>
    </row>
    <row r="32" spans="1:13" ht="15.75" hidden="1" customHeight="1">
      <c r="A32" s="45">
        <v>4</v>
      </c>
      <c r="B32" s="76" t="s">
        <v>27</v>
      </c>
      <c r="C32" s="65" t="s">
        <v>105</v>
      </c>
      <c r="D32" s="76" t="s">
        <v>53</v>
      </c>
      <c r="E32" s="78">
        <v>2732.4</v>
      </c>
      <c r="F32" s="78">
        <f>SUM(E32/1000)</f>
        <v>2.7324000000000002</v>
      </c>
      <c r="G32" s="78">
        <v>3020.33</v>
      </c>
      <c r="H32" s="79">
        <f t="shared" si="1"/>
        <v>8.2527496920000001</v>
      </c>
      <c r="I32" s="13">
        <v>0</v>
      </c>
      <c r="J32" s="23"/>
      <c r="K32" s="8"/>
      <c r="L32" s="8"/>
      <c r="M32" s="8"/>
    </row>
    <row r="33" spans="1:14" ht="15.75" hidden="1" customHeight="1">
      <c r="A33" s="45"/>
      <c r="B33" s="76" t="s">
        <v>124</v>
      </c>
      <c r="C33" s="65" t="s">
        <v>39</v>
      </c>
      <c r="D33" s="76" t="s">
        <v>62</v>
      </c>
      <c r="E33" s="78">
        <v>8</v>
      </c>
      <c r="F33" s="78">
        <v>12.4</v>
      </c>
      <c r="G33" s="78">
        <v>1302.02</v>
      </c>
      <c r="H33" s="79">
        <v>16.145</v>
      </c>
      <c r="I33" s="13">
        <v>0</v>
      </c>
      <c r="J33" s="23"/>
      <c r="K33" s="8"/>
      <c r="L33" s="8"/>
      <c r="M33" s="8"/>
    </row>
    <row r="34" spans="1:14" ht="15.75" hidden="1" customHeight="1">
      <c r="A34" s="45">
        <v>5</v>
      </c>
      <c r="B34" s="76" t="s">
        <v>139</v>
      </c>
      <c r="C34" s="65" t="s">
        <v>31</v>
      </c>
      <c r="D34" s="76" t="s">
        <v>62</v>
      </c>
      <c r="E34" s="84">
        <v>1</v>
      </c>
      <c r="F34" s="78">
        <v>155</v>
      </c>
      <c r="G34" s="78">
        <v>56.69</v>
      </c>
      <c r="H34" s="79">
        <f>SUM(G34*155/1000)</f>
        <v>8.7869499999999992</v>
      </c>
      <c r="I34" s="13">
        <v>0</v>
      </c>
      <c r="J34" s="23"/>
      <c r="K34" s="8"/>
      <c r="L34" s="8"/>
      <c r="M34" s="8"/>
    </row>
    <row r="35" spans="1:14" ht="15.75" hidden="1" customHeight="1">
      <c r="A35" s="45">
        <v>4</v>
      </c>
      <c r="B35" s="76" t="s">
        <v>63</v>
      </c>
      <c r="C35" s="65" t="s">
        <v>33</v>
      </c>
      <c r="D35" s="76" t="s">
        <v>65</v>
      </c>
      <c r="E35" s="77"/>
      <c r="F35" s="78">
        <v>2</v>
      </c>
      <c r="G35" s="78">
        <v>191.32</v>
      </c>
      <c r="H35" s="79">
        <f t="shared" ref="H35:H36" si="2">SUM(F35*G35/1000)</f>
        <v>0.38263999999999998</v>
      </c>
      <c r="I35" s="13">
        <v>0</v>
      </c>
      <c r="J35" s="23"/>
      <c r="K35" s="8"/>
    </row>
    <row r="36" spans="1:14" ht="15.75" hidden="1" customHeight="1">
      <c r="A36" s="30">
        <v>8</v>
      </c>
      <c r="B36" s="76" t="s">
        <v>64</v>
      </c>
      <c r="C36" s="65" t="s">
        <v>32</v>
      </c>
      <c r="D36" s="76" t="s">
        <v>65</v>
      </c>
      <c r="E36" s="77"/>
      <c r="F36" s="78">
        <v>3</v>
      </c>
      <c r="G36" s="78">
        <v>1136.32</v>
      </c>
      <c r="H36" s="79">
        <f t="shared" si="2"/>
        <v>3.40896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6.5" customHeight="1">
      <c r="A38" s="35">
        <v>7</v>
      </c>
      <c r="B38" s="76" t="s">
        <v>26</v>
      </c>
      <c r="C38" s="65" t="s">
        <v>32</v>
      </c>
      <c r="D38" s="76" t="s">
        <v>227</v>
      </c>
      <c r="E38" s="77"/>
      <c r="F38" s="78">
        <v>15</v>
      </c>
      <c r="G38" s="33">
        <v>1855</v>
      </c>
      <c r="H38" s="79">
        <f>SUM(F38*G38/1000)</f>
        <v>27.824999999999999</v>
      </c>
      <c r="I38" s="13">
        <f>G38*1.2</f>
        <v>2226</v>
      </c>
      <c r="J38" s="24"/>
    </row>
    <row r="39" spans="1:14" ht="15.75" customHeight="1">
      <c r="A39" s="35">
        <v>8</v>
      </c>
      <c r="B39" s="152" t="s">
        <v>66</v>
      </c>
      <c r="C39" s="153" t="s">
        <v>29</v>
      </c>
      <c r="D39" s="152" t="s">
        <v>205</v>
      </c>
      <c r="E39" s="155">
        <v>214.34</v>
      </c>
      <c r="F39" s="155">
        <f>SUM(E39*30/1000)</f>
        <v>6.4302000000000001</v>
      </c>
      <c r="G39" s="155">
        <v>3014.36</v>
      </c>
      <c r="H39" s="79">
        <f t="shared" ref="H39:H41" si="3">SUM(F39*G39/1000)</f>
        <v>19.382937672000001</v>
      </c>
      <c r="I39" s="13">
        <f t="shared" ref="I39:I40" si="4">F39/6*G39</f>
        <v>3230.4896120000003</v>
      </c>
      <c r="J39" s="24"/>
    </row>
    <row r="40" spans="1:14" ht="15.75" customHeight="1">
      <c r="A40" s="35">
        <v>9</v>
      </c>
      <c r="B40" s="34" t="s">
        <v>67</v>
      </c>
      <c r="C40" s="44" t="s">
        <v>29</v>
      </c>
      <c r="D40" s="34" t="s">
        <v>181</v>
      </c>
      <c r="E40" s="33">
        <v>214.34</v>
      </c>
      <c r="F40" s="155">
        <f>SUM(E40*155/1000)</f>
        <v>33.222699999999996</v>
      </c>
      <c r="G40" s="33">
        <v>502.82</v>
      </c>
      <c r="H40" s="79">
        <f t="shared" si="3"/>
        <v>16.705038013999999</v>
      </c>
      <c r="I40" s="13">
        <f t="shared" si="4"/>
        <v>2784.173002333333</v>
      </c>
      <c r="J40" s="24"/>
    </row>
    <row r="41" spans="1:14" ht="31.5" customHeight="1">
      <c r="A41" s="35">
        <v>10</v>
      </c>
      <c r="B41" s="34" t="s">
        <v>79</v>
      </c>
      <c r="C41" s="44" t="s">
        <v>105</v>
      </c>
      <c r="D41" s="34" t="s">
        <v>205</v>
      </c>
      <c r="E41" s="33">
        <v>86.04</v>
      </c>
      <c r="F41" s="155">
        <f>SUM(E41*30/1000)</f>
        <v>2.5812000000000004</v>
      </c>
      <c r="G41" s="33">
        <v>8319.2999999999993</v>
      </c>
      <c r="H41" s="79">
        <f t="shared" si="3"/>
        <v>21.473777160000001</v>
      </c>
      <c r="I41" s="13">
        <f>F41/6*G41</f>
        <v>3578.9628600000005</v>
      </c>
      <c r="J41" s="24"/>
    </row>
    <row r="42" spans="1:14" ht="15.75" customHeight="1">
      <c r="A42" s="35">
        <v>11</v>
      </c>
      <c r="B42" s="34" t="s">
        <v>110</v>
      </c>
      <c r="C42" s="44" t="s">
        <v>105</v>
      </c>
      <c r="D42" s="34" t="s">
        <v>228</v>
      </c>
      <c r="E42" s="33">
        <v>214.34</v>
      </c>
      <c r="F42" s="155">
        <f>SUM(E42*30/1000)</f>
        <v>6.4302000000000001</v>
      </c>
      <c r="G42" s="33">
        <v>614.55999999999995</v>
      </c>
      <c r="H42" s="79">
        <f t="shared" ref="H42:H43" si="5">SUM(F42*G42/1000)</f>
        <v>3.9517437119999999</v>
      </c>
      <c r="I42" s="13">
        <f>G42*F42/30</f>
        <v>131.72479039999999</v>
      </c>
      <c r="J42" s="24"/>
    </row>
    <row r="43" spans="1:14" ht="15.75" customHeight="1">
      <c r="A43" s="35">
        <v>12</v>
      </c>
      <c r="B43" s="152" t="s">
        <v>69</v>
      </c>
      <c r="C43" s="153" t="s">
        <v>33</v>
      </c>
      <c r="D43" s="152"/>
      <c r="E43" s="154"/>
      <c r="F43" s="155">
        <v>0.9</v>
      </c>
      <c r="G43" s="155">
        <v>800</v>
      </c>
      <c r="H43" s="79">
        <f t="shared" si="5"/>
        <v>0.72</v>
      </c>
      <c r="I43" s="13">
        <f>G43*F43/30</f>
        <v>24</v>
      </c>
      <c r="J43" s="24"/>
      <c r="L43" s="20"/>
      <c r="M43" s="21"/>
      <c r="N43" s="22"/>
    </row>
    <row r="44" spans="1:14" ht="31.5" customHeight="1">
      <c r="A44" s="149">
        <v>13</v>
      </c>
      <c r="B44" s="152" t="s">
        <v>204</v>
      </c>
      <c r="C44" s="153" t="s">
        <v>105</v>
      </c>
      <c r="D44" s="152" t="s">
        <v>177</v>
      </c>
      <c r="E44" s="154">
        <v>1.2</v>
      </c>
      <c r="F44" s="155">
        <f>E44*12/1000</f>
        <v>1.4399999999999998E-2</v>
      </c>
      <c r="G44" s="155">
        <v>19757.060000000001</v>
      </c>
      <c r="H44" s="150"/>
      <c r="I44" s="151">
        <f>G44*F44/6</f>
        <v>47.416944000000001</v>
      </c>
      <c r="J44" s="24"/>
      <c r="L44" s="20"/>
      <c r="M44" s="21"/>
      <c r="N44" s="22"/>
    </row>
    <row r="45" spans="1:14" ht="15.75" customHeight="1">
      <c r="A45" s="149"/>
      <c r="B45" s="20"/>
      <c r="C45" s="161"/>
      <c r="D45" s="20"/>
      <c r="E45" s="74"/>
      <c r="F45" s="150"/>
      <c r="G45" s="150"/>
      <c r="H45" s="150"/>
      <c r="I45" s="151"/>
      <c r="J45" s="24"/>
      <c r="L45" s="20"/>
      <c r="M45" s="21"/>
      <c r="N45" s="22"/>
    </row>
    <row r="46" spans="1:14" ht="15.75" customHeight="1">
      <c r="A46" s="185" t="s">
        <v>136</v>
      </c>
      <c r="B46" s="186"/>
      <c r="C46" s="186"/>
      <c r="D46" s="186"/>
      <c r="E46" s="186"/>
      <c r="F46" s="186"/>
      <c r="G46" s="186"/>
      <c r="H46" s="186"/>
      <c r="I46" s="187"/>
      <c r="J46" s="24"/>
      <c r="L46" s="20"/>
      <c r="M46" s="21"/>
      <c r="N46" s="22"/>
    </row>
    <row r="47" spans="1:14" ht="15.75" hidden="1" customHeight="1">
      <c r="A47" s="45">
        <v>15</v>
      </c>
      <c r="B47" s="76" t="s">
        <v>111</v>
      </c>
      <c r="C47" s="65" t="s">
        <v>105</v>
      </c>
      <c r="D47" s="76" t="s">
        <v>41</v>
      </c>
      <c r="E47" s="77">
        <v>1640.4</v>
      </c>
      <c r="F47" s="78">
        <f>SUM(E47*2/1000)</f>
        <v>3.2808000000000002</v>
      </c>
      <c r="G47" s="13">
        <v>849.49</v>
      </c>
      <c r="H47" s="79">
        <f t="shared" ref="H47:H55" si="6">SUM(F47*G47/1000)</f>
        <v>2.7870067920000001</v>
      </c>
      <c r="I47" s="13">
        <v>0</v>
      </c>
      <c r="J47" s="24"/>
      <c r="L47" s="20"/>
      <c r="M47" s="21"/>
      <c r="N47" s="22"/>
    </row>
    <row r="48" spans="1:14" ht="15.75" hidden="1" customHeight="1">
      <c r="A48" s="45"/>
      <c r="B48" s="76" t="s">
        <v>34</v>
      </c>
      <c r="C48" s="65" t="s">
        <v>105</v>
      </c>
      <c r="D48" s="76" t="s">
        <v>41</v>
      </c>
      <c r="E48" s="77">
        <v>918.25</v>
      </c>
      <c r="F48" s="78">
        <f>SUM(E48*2/1000)</f>
        <v>1.8365</v>
      </c>
      <c r="G48" s="13">
        <v>579.48</v>
      </c>
      <c r="H48" s="79">
        <f t="shared" si="6"/>
        <v>1.06421502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16</v>
      </c>
      <c r="B49" s="76" t="s">
        <v>35</v>
      </c>
      <c r="C49" s="65" t="s">
        <v>105</v>
      </c>
      <c r="D49" s="76" t="s">
        <v>41</v>
      </c>
      <c r="E49" s="77">
        <v>5592.26</v>
      </c>
      <c r="F49" s="78">
        <f>SUM(E49*2/1000)</f>
        <v>11.184520000000001</v>
      </c>
      <c r="G49" s="13">
        <v>579.48</v>
      </c>
      <c r="H49" s="79">
        <f t="shared" si="6"/>
        <v>6.4812056496000006</v>
      </c>
      <c r="I49" s="13">
        <v>0</v>
      </c>
      <c r="J49" s="24"/>
      <c r="L49" s="20"/>
      <c r="M49" s="21"/>
      <c r="N49" s="22"/>
    </row>
    <row r="50" spans="1:14" ht="15.75" hidden="1" customHeight="1">
      <c r="A50" s="45">
        <v>17</v>
      </c>
      <c r="B50" s="76" t="s">
        <v>36</v>
      </c>
      <c r="C50" s="65" t="s">
        <v>105</v>
      </c>
      <c r="D50" s="76" t="s">
        <v>41</v>
      </c>
      <c r="E50" s="77">
        <v>2817.65</v>
      </c>
      <c r="F50" s="78">
        <f>SUM(E50*2/1000)</f>
        <v>5.6353</v>
      </c>
      <c r="G50" s="13">
        <v>606.77</v>
      </c>
      <c r="H50" s="79">
        <f t="shared" si="6"/>
        <v>3.4193309809999999</v>
      </c>
      <c r="I50" s="13">
        <v>0</v>
      </c>
      <c r="J50" s="24"/>
      <c r="L50" s="20"/>
      <c r="M50" s="21"/>
      <c r="N50" s="22"/>
    </row>
    <row r="51" spans="1:14" ht="15.75" customHeight="1">
      <c r="A51" s="45">
        <v>14</v>
      </c>
      <c r="B51" s="76" t="s">
        <v>55</v>
      </c>
      <c r="C51" s="65" t="s">
        <v>105</v>
      </c>
      <c r="D51" s="76" t="s">
        <v>178</v>
      </c>
      <c r="E51" s="77">
        <v>3280.8</v>
      </c>
      <c r="F51" s="78">
        <f>SUM(E51*5/1000)</f>
        <v>16.404</v>
      </c>
      <c r="G51" s="120">
        <v>1739.68</v>
      </c>
      <c r="H51" s="79">
        <f t="shared" ref="H51" si="7">SUM(F51*G51/1000)</f>
        <v>28.53771072</v>
      </c>
      <c r="I51" s="13">
        <f>F51/5*G51</f>
        <v>5707.5421440000009</v>
      </c>
      <c r="J51" s="24"/>
      <c r="L51" s="20"/>
      <c r="M51" s="21"/>
      <c r="N51" s="22"/>
    </row>
    <row r="52" spans="1:14" ht="31.5" hidden="1" customHeight="1">
      <c r="A52" s="45">
        <v>13</v>
      </c>
      <c r="B52" s="76" t="s">
        <v>112</v>
      </c>
      <c r="C52" s="65" t="s">
        <v>105</v>
      </c>
      <c r="D52" s="76" t="s">
        <v>41</v>
      </c>
      <c r="E52" s="77">
        <v>3280.8</v>
      </c>
      <c r="F52" s="78">
        <f>SUM(E52*2/1000)</f>
        <v>6.5616000000000003</v>
      </c>
      <c r="G52" s="13">
        <v>1213.55</v>
      </c>
      <c r="H52" s="79">
        <f t="shared" si="6"/>
        <v>7.9628296799999996</v>
      </c>
      <c r="I52" s="13">
        <v>0</v>
      </c>
      <c r="J52" s="24"/>
      <c r="L52" s="20"/>
      <c r="M52" s="21"/>
      <c r="N52" s="22"/>
    </row>
    <row r="53" spans="1:14" ht="31.5" hidden="1" customHeight="1">
      <c r="A53" s="45">
        <v>14</v>
      </c>
      <c r="B53" s="76" t="s">
        <v>128</v>
      </c>
      <c r="C53" s="65" t="s">
        <v>37</v>
      </c>
      <c r="D53" s="76" t="s">
        <v>41</v>
      </c>
      <c r="E53" s="77">
        <v>40</v>
      </c>
      <c r="F53" s="78">
        <f>SUM(E53*2/100)</f>
        <v>0.8</v>
      </c>
      <c r="G53" s="13">
        <v>2730.49</v>
      </c>
      <c r="H53" s="79">
        <f t="shared" si="6"/>
        <v>2.1843919999999999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15</v>
      </c>
      <c r="B54" s="76" t="s">
        <v>38</v>
      </c>
      <c r="C54" s="65" t="s">
        <v>39</v>
      </c>
      <c r="D54" s="76" t="s">
        <v>41</v>
      </c>
      <c r="E54" s="77">
        <v>1</v>
      </c>
      <c r="F54" s="78">
        <v>0.02</v>
      </c>
      <c r="G54" s="13">
        <v>5652.13</v>
      </c>
      <c r="H54" s="79">
        <f t="shared" si="6"/>
        <v>0.11304260000000001</v>
      </c>
      <c r="I54" s="13">
        <v>0</v>
      </c>
      <c r="J54" s="24"/>
      <c r="L54" s="20"/>
      <c r="M54" s="21"/>
      <c r="N54" s="22"/>
    </row>
    <row r="55" spans="1:14" ht="15.75" hidden="1" customHeight="1">
      <c r="A55" s="45">
        <v>17</v>
      </c>
      <c r="B55" s="76" t="s">
        <v>40</v>
      </c>
      <c r="C55" s="65" t="s">
        <v>113</v>
      </c>
      <c r="D55" s="76" t="s">
        <v>70</v>
      </c>
      <c r="E55" s="77">
        <v>238</v>
      </c>
      <c r="F55" s="78">
        <f>SUM(E55)*3</f>
        <v>714</v>
      </c>
      <c r="G55" s="13">
        <v>65.67</v>
      </c>
      <c r="H55" s="79">
        <f t="shared" si="6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185" t="s">
        <v>137</v>
      </c>
      <c r="B56" s="186"/>
      <c r="C56" s="186"/>
      <c r="D56" s="186"/>
      <c r="E56" s="186"/>
      <c r="F56" s="186"/>
      <c r="G56" s="186"/>
      <c r="H56" s="186"/>
      <c r="I56" s="187"/>
      <c r="J56" s="24"/>
      <c r="L56" s="20"/>
      <c r="M56" s="21"/>
      <c r="N56" s="22"/>
    </row>
    <row r="57" spans="1:14" ht="15.75" customHeight="1">
      <c r="A57" s="58"/>
      <c r="B57" s="52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15.75" hidden="1" customHeight="1">
      <c r="A58" s="45">
        <v>15</v>
      </c>
      <c r="B58" s="76" t="s">
        <v>130</v>
      </c>
      <c r="C58" s="65" t="s">
        <v>98</v>
      </c>
      <c r="D58" s="76" t="s">
        <v>53</v>
      </c>
      <c r="E58" s="85">
        <v>1640.4</v>
      </c>
      <c r="F58" s="13">
        <f>E58/100</f>
        <v>16.404</v>
      </c>
      <c r="G58" s="78">
        <v>472.59</v>
      </c>
      <c r="H58" s="79">
        <f>SUM(F58*G58/1000)</f>
        <v>7.7523663599999999</v>
      </c>
      <c r="I58" s="13">
        <v>0</v>
      </c>
      <c r="J58" s="24"/>
      <c r="L58" s="20"/>
      <c r="M58" s="21"/>
      <c r="N58" s="22"/>
    </row>
    <row r="59" spans="1:14" ht="35.25" customHeight="1">
      <c r="A59" s="45">
        <v>15</v>
      </c>
      <c r="B59" s="34" t="s">
        <v>131</v>
      </c>
      <c r="C59" s="44" t="s">
        <v>98</v>
      </c>
      <c r="D59" s="34"/>
      <c r="E59" s="132">
        <v>164.04</v>
      </c>
      <c r="F59" s="38">
        <f>E59*6/100</f>
        <v>9.8423999999999996</v>
      </c>
      <c r="G59" s="156">
        <v>2218.11</v>
      </c>
      <c r="H59" s="79">
        <f>F59*G59/1000</f>
        <v>21.831525864</v>
      </c>
      <c r="I59" s="13">
        <f>G59*0.98</f>
        <v>2173.7478000000001</v>
      </c>
      <c r="J59" s="24"/>
      <c r="L59" s="20"/>
      <c r="M59" s="21"/>
      <c r="N59" s="22"/>
    </row>
    <row r="60" spans="1:14" ht="15.75" customHeight="1">
      <c r="A60" s="45">
        <v>16</v>
      </c>
      <c r="B60" s="62" t="s">
        <v>89</v>
      </c>
      <c r="C60" s="57" t="s">
        <v>98</v>
      </c>
      <c r="D60" s="62" t="s">
        <v>177</v>
      </c>
      <c r="E60" s="108">
        <v>8</v>
      </c>
      <c r="F60" s="109">
        <f>E60*6/100</f>
        <v>0.48</v>
      </c>
      <c r="G60" s="156">
        <v>2218.11</v>
      </c>
      <c r="H60" s="91">
        <f>F60*G60/1000</f>
        <v>1.0646928</v>
      </c>
      <c r="I60" s="13">
        <f>G60*F60/6*2</f>
        <v>354.89760000000001</v>
      </c>
      <c r="J60" s="24"/>
      <c r="L60" s="20"/>
      <c r="M60" s="21"/>
      <c r="N60" s="22"/>
    </row>
    <row r="61" spans="1:14" ht="15.75" hidden="1" customHeight="1">
      <c r="A61" s="45"/>
      <c r="B61" s="87" t="s">
        <v>93</v>
      </c>
      <c r="C61" s="88" t="s">
        <v>94</v>
      </c>
      <c r="D61" s="87" t="s">
        <v>41</v>
      </c>
      <c r="E61" s="89">
        <v>8</v>
      </c>
      <c r="F61" s="90">
        <v>16</v>
      </c>
      <c r="G61" s="92">
        <v>180.78</v>
      </c>
      <c r="H61" s="91">
        <f>F61*G61/1000</f>
        <v>2.8924799999999999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71" t="s">
        <v>43</v>
      </c>
      <c r="C62" s="71"/>
      <c r="D62" s="71"/>
      <c r="E62" s="71"/>
      <c r="F62" s="71"/>
      <c r="G62" s="71"/>
      <c r="H62" s="71"/>
      <c r="I62" s="37"/>
      <c r="J62" s="24"/>
      <c r="L62" s="20"/>
      <c r="M62" s="21"/>
      <c r="N62" s="22"/>
    </row>
    <row r="63" spans="1:14" ht="15.75" customHeight="1">
      <c r="A63" s="45">
        <v>17</v>
      </c>
      <c r="B63" s="62" t="s">
        <v>90</v>
      </c>
      <c r="C63" s="57" t="s">
        <v>25</v>
      </c>
      <c r="D63" s="62" t="s">
        <v>178</v>
      </c>
      <c r="E63" s="108">
        <v>200</v>
      </c>
      <c r="F63" s="109">
        <f>E63*12</f>
        <v>2400</v>
      </c>
      <c r="G63" s="64">
        <v>1.4</v>
      </c>
      <c r="H63" s="91">
        <f>G63*F63</f>
        <v>3360</v>
      </c>
      <c r="I63" s="13">
        <f>F63/12*G63</f>
        <v>280</v>
      </c>
      <c r="J63" s="24"/>
      <c r="L63" s="20"/>
      <c r="M63" s="21"/>
      <c r="N63" s="22"/>
    </row>
    <row r="64" spans="1:14" ht="15.75" hidden="1" customHeight="1">
      <c r="A64" s="45"/>
      <c r="B64" s="87" t="s">
        <v>44</v>
      </c>
      <c r="C64" s="88" t="s">
        <v>25</v>
      </c>
      <c r="D64" s="87" t="s">
        <v>53</v>
      </c>
      <c r="E64" s="89">
        <v>1640.4</v>
      </c>
      <c r="F64" s="90">
        <v>16.404</v>
      </c>
      <c r="G64" s="94">
        <v>739.61</v>
      </c>
      <c r="H64" s="91">
        <f>G64*F64/1000</f>
        <v>12.132562439999999</v>
      </c>
      <c r="I64" s="13">
        <v>0</v>
      </c>
      <c r="J64" s="24"/>
      <c r="L64" s="20"/>
      <c r="M64" s="21"/>
      <c r="N64" s="22"/>
    </row>
    <row r="65" spans="1:22" ht="15.75" customHeight="1">
      <c r="A65" s="45"/>
      <c r="B65" s="71" t="s">
        <v>45</v>
      </c>
      <c r="C65" s="17"/>
      <c r="D65" s="41"/>
      <c r="E65" s="41"/>
      <c r="F65" s="16"/>
      <c r="G65" s="30"/>
      <c r="H65" s="30"/>
      <c r="I65" s="19"/>
      <c r="J65" s="24"/>
      <c r="L65" s="20"/>
      <c r="M65" s="21"/>
      <c r="N65" s="22"/>
    </row>
    <row r="66" spans="1:22" ht="15.75" customHeight="1">
      <c r="A66" s="45">
        <v>18</v>
      </c>
      <c r="B66" s="15" t="s">
        <v>46</v>
      </c>
      <c r="C66" s="17" t="s">
        <v>113</v>
      </c>
      <c r="D66" s="15" t="s">
        <v>178</v>
      </c>
      <c r="E66" s="19">
        <v>40</v>
      </c>
      <c r="F66" s="78">
        <v>40</v>
      </c>
      <c r="G66" s="120">
        <v>318.82</v>
      </c>
      <c r="H66" s="73">
        <f t="shared" ref="H66:H73" si="8">SUM(F66*G66/1000)</f>
        <v>12.752799999999999</v>
      </c>
      <c r="I66" s="13">
        <f>G66*1</f>
        <v>318.82</v>
      </c>
      <c r="J66" s="24"/>
      <c r="L66" s="20"/>
      <c r="M66" s="21"/>
      <c r="N66" s="22"/>
    </row>
    <row r="67" spans="1:22" ht="15.75" hidden="1" customHeight="1">
      <c r="A67" s="30">
        <v>29</v>
      </c>
      <c r="B67" s="15" t="s">
        <v>47</v>
      </c>
      <c r="C67" s="17" t="s">
        <v>113</v>
      </c>
      <c r="D67" s="15" t="s">
        <v>65</v>
      </c>
      <c r="E67" s="19">
        <v>15</v>
      </c>
      <c r="F67" s="78">
        <v>15</v>
      </c>
      <c r="G67" s="13">
        <v>76.25</v>
      </c>
      <c r="H67" s="73">
        <f t="shared" si="8"/>
        <v>1.14375</v>
      </c>
      <c r="I67" s="13">
        <v>0</v>
      </c>
      <c r="J67" s="24"/>
      <c r="L67" s="20"/>
      <c r="M67" s="21"/>
      <c r="N67" s="22"/>
    </row>
    <row r="68" spans="1:22" ht="15.75" hidden="1" customHeight="1">
      <c r="A68" s="30">
        <v>8</v>
      </c>
      <c r="B68" s="15" t="s">
        <v>48</v>
      </c>
      <c r="C68" s="17" t="s">
        <v>114</v>
      </c>
      <c r="D68" s="15" t="s">
        <v>53</v>
      </c>
      <c r="E68" s="77">
        <v>24648</v>
      </c>
      <c r="F68" s="13">
        <f>SUM(E68/100)</f>
        <v>246.48</v>
      </c>
      <c r="G68" s="13">
        <v>212.15</v>
      </c>
      <c r="H68" s="73">
        <f t="shared" si="8"/>
        <v>52.290731999999998</v>
      </c>
      <c r="I68" s="13">
        <v>0</v>
      </c>
      <c r="J68" s="24"/>
      <c r="L68" s="20"/>
      <c r="M68" s="21"/>
      <c r="N68" s="22"/>
    </row>
    <row r="69" spans="1:22" ht="15.75" hidden="1" customHeight="1">
      <c r="A69" s="30">
        <v>9</v>
      </c>
      <c r="B69" s="15" t="s">
        <v>49</v>
      </c>
      <c r="C69" s="17" t="s">
        <v>115</v>
      </c>
      <c r="D69" s="15"/>
      <c r="E69" s="77">
        <v>24648</v>
      </c>
      <c r="F69" s="13">
        <f>SUM(E69/1000)</f>
        <v>24.648</v>
      </c>
      <c r="G69" s="13">
        <v>165.21</v>
      </c>
      <c r="H69" s="73">
        <f t="shared" si="8"/>
        <v>4.0720960800000006</v>
      </c>
      <c r="I69" s="13">
        <v>0</v>
      </c>
      <c r="J69" s="24"/>
      <c r="L69" s="20"/>
      <c r="M69" s="21"/>
      <c r="N69" s="22"/>
    </row>
    <row r="70" spans="1:22" ht="15.75" hidden="1" customHeight="1">
      <c r="A70" s="30">
        <v>10</v>
      </c>
      <c r="B70" s="15" t="s">
        <v>50</v>
      </c>
      <c r="C70" s="17" t="s">
        <v>74</v>
      </c>
      <c r="D70" s="15" t="s">
        <v>53</v>
      </c>
      <c r="E70" s="77">
        <v>2730</v>
      </c>
      <c r="F70" s="13">
        <f>SUM(E70/100)</f>
        <v>27.3</v>
      </c>
      <c r="G70" s="13">
        <v>2074.63</v>
      </c>
      <c r="H70" s="73">
        <f t="shared" si="8"/>
        <v>56.637399000000002</v>
      </c>
      <c r="I70" s="13">
        <v>0</v>
      </c>
      <c r="J70" s="24"/>
      <c r="L70" s="20"/>
    </row>
    <row r="71" spans="1:22" ht="15.75" hidden="1" customHeight="1">
      <c r="A71" s="30">
        <v>11</v>
      </c>
      <c r="B71" s="95" t="s">
        <v>116</v>
      </c>
      <c r="C71" s="17" t="s">
        <v>33</v>
      </c>
      <c r="D71" s="15"/>
      <c r="E71" s="77">
        <v>20.28</v>
      </c>
      <c r="F71" s="13">
        <f>SUM(E71)</f>
        <v>20.28</v>
      </c>
      <c r="G71" s="13">
        <v>45.32</v>
      </c>
      <c r="H71" s="73">
        <f t="shared" si="8"/>
        <v>0.91908960000000006</v>
      </c>
      <c r="I71" s="13">
        <v>0</v>
      </c>
    </row>
    <row r="72" spans="1:22" ht="15.75" hidden="1" customHeight="1">
      <c r="A72" s="30">
        <v>12</v>
      </c>
      <c r="B72" s="95" t="s">
        <v>140</v>
      </c>
      <c r="C72" s="17" t="s">
        <v>33</v>
      </c>
      <c r="D72" s="15"/>
      <c r="E72" s="77">
        <v>20.28</v>
      </c>
      <c r="F72" s="13">
        <f>SUM(E72)</f>
        <v>20.28</v>
      </c>
      <c r="G72" s="13">
        <v>42.28</v>
      </c>
      <c r="H72" s="73">
        <f t="shared" si="8"/>
        <v>0.85743840000000016</v>
      </c>
      <c r="I72" s="13">
        <v>0</v>
      </c>
    </row>
    <row r="73" spans="1:22" ht="15.75" hidden="1" customHeight="1">
      <c r="A73" s="30">
        <v>13</v>
      </c>
      <c r="B73" s="15" t="s">
        <v>56</v>
      </c>
      <c r="C73" s="17" t="s">
        <v>57</v>
      </c>
      <c r="D73" s="15" t="s">
        <v>53</v>
      </c>
      <c r="E73" s="19">
        <v>12</v>
      </c>
      <c r="F73" s="78">
        <f>SUM(E73)</f>
        <v>12</v>
      </c>
      <c r="G73" s="13">
        <v>49.88</v>
      </c>
      <c r="H73" s="73">
        <f t="shared" si="8"/>
        <v>0.59856000000000009</v>
      </c>
      <c r="I73" s="13">
        <v>0</v>
      </c>
    </row>
    <row r="74" spans="1:22" ht="15.75" customHeight="1">
      <c r="A74" s="30"/>
      <c r="B74" s="135" t="s">
        <v>188</v>
      </c>
      <c r="C74" s="42"/>
      <c r="D74" s="41"/>
      <c r="E74" s="18"/>
      <c r="F74" s="136"/>
      <c r="G74" s="38"/>
      <c r="H74" s="73"/>
      <c r="I74" s="13"/>
    </row>
    <row r="75" spans="1:22" ht="32.25" customHeight="1">
      <c r="A75" s="30">
        <v>19</v>
      </c>
      <c r="B75" s="41" t="s">
        <v>189</v>
      </c>
      <c r="C75" s="45" t="s">
        <v>190</v>
      </c>
      <c r="D75" s="41"/>
      <c r="E75" s="18">
        <v>5926.8</v>
      </c>
      <c r="F75" s="38">
        <f>E75*12</f>
        <v>71121.600000000006</v>
      </c>
      <c r="G75" s="38">
        <v>2.4900000000000002</v>
      </c>
      <c r="H75" s="13"/>
      <c r="I75" s="13">
        <f>G75*F75/12</f>
        <v>14757.732000000004</v>
      </c>
    </row>
    <row r="76" spans="1:22" ht="15.75" hidden="1" customHeight="1">
      <c r="A76" s="58"/>
      <c r="B76" s="71" t="s">
        <v>117</v>
      </c>
      <c r="C76" s="71"/>
      <c r="D76" s="71"/>
      <c r="E76" s="71"/>
      <c r="F76" s="71"/>
      <c r="G76" s="71"/>
      <c r="H76" s="71"/>
      <c r="I76" s="1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9"/>
    </row>
    <row r="77" spans="1:22" ht="15.75" hidden="1" customHeight="1">
      <c r="A77" s="30">
        <v>20</v>
      </c>
      <c r="B77" s="76" t="s">
        <v>118</v>
      </c>
      <c r="C77" s="17"/>
      <c r="D77" s="15"/>
      <c r="E77" s="74"/>
      <c r="F77" s="13">
        <v>1</v>
      </c>
      <c r="G77" s="40">
        <v>28996</v>
      </c>
      <c r="H77" s="73">
        <f>G77*F77/1000</f>
        <v>28.995999999999999</v>
      </c>
      <c r="I77" s="13">
        <v>7230</v>
      </c>
      <c r="J77" s="26"/>
      <c r="K77" s="26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2" ht="15.75" customHeight="1">
      <c r="A78" s="30"/>
      <c r="B78" s="53" t="s">
        <v>71</v>
      </c>
      <c r="C78" s="53"/>
      <c r="D78" s="53"/>
      <c r="E78" s="53"/>
      <c r="F78" s="19"/>
      <c r="G78" s="30"/>
      <c r="H78" s="30"/>
      <c r="I78" s="19"/>
      <c r="J78" s="3"/>
      <c r="K78" s="3"/>
      <c r="L78" s="3"/>
      <c r="M78" s="3"/>
      <c r="N78" s="3"/>
      <c r="O78" s="3"/>
      <c r="P78" s="3"/>
      <c r="Q78" s="3"/>
      <c r="S78" s="3"/>
      <c r="T78" s="3"/>
      <c r="U78" s="3"/>
    </row>
    <row r="79" spans="1:22" ht="15.75" hidden="1" customHeight="1">
      <c r="A79" s="30"/>
      <c r="B79" s="15" t="s">
        <v>83</v>
      </c>
      <c r="C79" s="17" t="s">
        <v>31</v>
      </c>
      <c r="D79" s="15"/>
      <c r="E79" s="19">
        <v>2</v>
      </c>
      <c r="F79" s="78">
        <f>SUM(E79)</f>
        <v>2</v>
      </c>
      <c r="G79" s="13">
        <v>358.51</v>
      </c>
      <c r="H79" s="73">
        <f>SUM(F79*G79/1000)</f>
        <v>0.71701999999999999</v>
      </c>
      <c r="I79" s="13">
        <v>0</v>
      </c>
      <c r="J79" s="5"/>
      <c r="K79" s="5"/>
      <c r="L79" s="5"/>
      <c r="M79" s="5"/>
      <c r="N79" s="5"/>
      <c r="O79" s="5"/>
      <c r="P79" s="5"/>
      <c r="Q79" s="5"/>
      <c r="R79" s="178"/>
      <c r="S79" s="178"/>
      <c r="T79" s="178"/>
      <c r="U79" s="178"/>
    </row>
    <row r="80" spans="1:22" ht="15.75" hidden="1" customHeight="1">
      <c r="A80" s="30"/>
      <c r="B80" s="15" t="s">
        <v>72</v>
      </c>
      <c r="C80" s="17" t="s">
        <v>31</v>
      </c>
      <c r="D80" s="15"/>
      <c r="E80" s="19">
        <v>1</v>
      </c>
      <c r="F80" s="13">
        <v>1</v>
      </c>
      <c r="G80" s="13">
        <v>852.99</v>
      </c>
      <c r="H80" s="73">
        <f>F80*G80/1000</f>
        <v>0.85299000000000003</v>
      </c>
      <c r="I80" s="13">
        <v>0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 ht="15.75" customHeight="1">
      <c r="A81" s="30">
        <v>20</v>
      </c>
      <c r="B81" s="41" t="s">
        <v>191</v>
      </c>
      <c r="C81" s="42" t="s">
        <v>113</v>
      </c>
      <c r="D81" s="41" t="s">
        <v>179</v>
      </c>
      <c r="E81" s="18">
        <v>2</v>
      </c>
      <c r="F81" s="38">
        <f>E81*12</f>
        <v>24</v>
      </c>
      <c r="G81" s="38">
        <v>404</v>
      </c>
      <c r="H81" s="73"/>
      <c r="I81" s="13">
        <f>G81*F81/12</f>
        <v>808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customHeight="1">
      <c r="A82" s="30">
        <v>21</v>
      </c>
      <c r="B82" s="41" t="s">
        <v>192</v>
      </c>
      <c r="C82" s="42" t="s">
        <v>113</v>
      </c>
      <c r="D82" s="41" t="s">
        <v>179</v>
      </c>
      <c r="E82" s="18">
        <v>1</v>
      </c>
      <c r="F82" s="38">
        <f>E82*12</f>
        <v>12</v>
      </c>
      <c r="G82" s="38">
        <v>1759</v>
      </c>
      <c r="H82" s="73"/>
      <c r="I82" s="13">
        <f>G82*F82/12</f>
        <v>1759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5.75" hidden="1" customHeight="1">
      <c r="A83" s="30"/>
      <c r="B83" s="54" t="s">
        <v>73</v>
      </c>
      <c r="C83" s="42"/>
      <c r="D83" s="30"/>
      <c r="E83" s="30"/>
      <c r="F83" s="19"/>
      <c r="G83" s="38" t="s">
        <v>134</v>
      </c>
      <c r="H83" s="38"/>
      <c r="I83" s="19"/>
    </row>
    <row r="84" spans="1:21" ht="15.75" hidden="1" customHeight="1">
      <c r="A84" s="30">
        <v>39</v>
      </c>
      <c r="B84" s="56" t="s">
        <v>119</v>
      </c>
      <c r="C84" s="17" t="s">
        <v>74</v>
      </c>
      <c r="D84" s="15"/>
      <c r="E84" s="19"/>
      <c r="F84" s="13">
        <v>1.35</v>
      </c>
      <c r="G84" s="13">
        <v>2759.44</v>
      </c>
      <c r="H84" s="73">
        <f>SUM(F84*G84/1000)</f>
        <v>3.725244</v>
      </c>
      <c r="I84" s="13">
        <v>0</v>
      </c>
    </row>
    <row r="85" spans="1:21" ht="15.75" customHeight="1">
      <c r="A85" s="169" t="s">
        <v>138</v>
      </c>
      <c r="B85" s="170"/>
      <c r="C85" s="170"/>
      <c r="D85" s="170"/>
      <c r="E85" s="170"/>
      <c r="F85" s="170"/>
      <c r="G85" s="170"/>
      <c r="H85" s="170"/>
      <c r="I85" s="171"/>
    </row>
    <row r="86" spans="1:21" ht="15.75" customHeight="1">
      <c r="A86" s="30">
        <v>22</v>
      </c>
      <c r="B86" s="41" t="s">
        <v>120</v>
      </c>
      <c r="C86" s="42" t="s">
        <v>54</v>
      </c>
      <c r="D86" s="146"/>
      <c r="E86" s="38">
        <v>5926.8</v>
      </c>
      <c r="F86" s="38">
        <f>SUM(E86*12)</f>
        <v>71121.600000000006</v>
      </c>
      <c r="G86" s="38">
        <v>3.38</v>
      </c>
      <c r="H86" s="13">
        <f>SUM(F86*G86/1000)</f>
        <v>240.391008</v>
      </c>
      <c r="I86" s="13">
        <f>F86/12*G86</f>
        <v>20032.583999999999</v>
      </c>
    </row>
    <row r="87" spans="1:21" ht="31.5" customHeight="1">
      <c r="A87" s="30">
        <v>23</v>
      </c>
      <c r="B87" s="143" t="s">
        <v>193</v>
      </c>
      <c r="C87" s="137"/>
      <c r="D87" s="144"/>
      <c r="E87" s="145">
        <f>E86</f>
        <v>5926.8</v>
      </c>
      <c r="F87" s="139">
        <f>E87*12</f>
        <v>71121.600000000006</v>
      </c>
      <c r="G87" s="139">
        <v>3.05</v>
      </c>
      <c r="H87" s="130">
        <f>F87*G87/1000</f>
        <v>216.92088000000001</v>
      </c>
      <c r="I87" s="131">
        <f>F87/12*G87</f>
        <v>18076.739999999998</v>
      </c>
    </row>
    <row r="88" spans="1:21" ht="15.75" customHeight="1">
      <c r="A88" s="58"/>
      <c r="B88" s="43" t="s">
        <v>76</v>
      </c>
      <c r="C88" s="45"/>
      <c r="D88" s="16"/>
      <c r="E88" s="16"/>
      <c r="F88" s="16"/>
      <c r="G88" s="19"/>
      <c r="H88" s="19"/>
      <c r="I88" s="32">
        <f>I87+I86+I82+I81+I75+I63+I60+I59+I51+I44+I43+I42+I41+I40+I39+I38+I27+I21+I20+I18+I17+I16+I66</f>
        <v>102783.73660073333</v>
      </c>
    </row>
    <row r="89" spans="1:21" ht="15.75" customHeight="1">
      <c r="A89" s="172" t="s">
        <v>59</v>
      </c>
      <c r="B89" s="173"/>
      <c r="C89" s="173"/>
      <c r="D89" s="173"/>
      <c r="E89" s="173"/>
      <c r="F89" s="173"/>
      <c r="G89" s="173"/>
      <c r="H89" s="173"/>
      <c r="I89" s="174"/>
    </row>
    <row r="90" spans="1:21" ht="15.75" customHeight="1">
      <c r="A90" s="30">
        <v>24</v>
      </c>
      <c r="B90" s="97" t="s">
        <v>78</v>
      </c>
      <c r="C90" s="98" t="s">
        <v>113</v>
      </c>
      <c r="D90" s="56"/>
      <c r="E90" s="13"/>
      <c r="F90" s="13">
        <v>968</v>
      </c>
      <c r="G90" s="38">
        <v>215.85</v>
      </c>
      <c r="H90" s="73">
        <f>G90*F90/1000</f>
        <v>208.94279999999998</v>
      </c>
      <c r="I90" s="13">
        <f>G90*1</f>
        <v>215.85</v>
      </c>
    </row>
    <row r="91" spans="1:21" ht="29.25" customHeight="1">
      <c r="A91" s="30">
        <v>25</v>
      </c>
      <c r="B91" s="97" t="s">
        <v>170</v>
      </c>
      <c r="C91" s="98" t="s">
        <v>167</v>
      </c>
      <c r="D91" s="15" t="s">
        <v>242</v>
      </c>
      <c r="E91" s="13"/>
      <c r="F91" s="13"/>
      <c r="G91" s="38">
        <v>1523.6</v>
      </c>
      <c r="H91" s="73"/>
      <c r="I91" s="13">
        <f>G91*1</f>
        <v>1523.6</v>
      </c>
    </row>
    <row r="92" spans="1:21" ht="31.5" customHeight="1">
      <c r="A92" s="30">
        <v>26</v>
      </c>
      <c r="B92" s="97" t="s">
        <v>172</v>
      </c>
      <c r="C92" s="98" t="s">
        <v>167</v>
      </c>
      <c r="D92" s="56" t="s">
        <v>244</v>
      </c>
      <c r="E92" s="13"/>
      <c r="F92" s="13"/>
      <c r="G92" s="38">
        <v>1327.8</v>
      </c>
      <c r="H92" s="73"/>
      <c r="I92" s="13">
        <f>G92*3</f>
        <v>3983.3999999999996</v>
      </c>
    </row>
    <row r="93" spans="1:21" ht="28.5" customHeight="1">
      <c r="A93" s="30">
        <v>27</v>
      </c>
      <c r="B93" s="97" t="s">
        <v>171</v>
      </c>
      <c r="C93" s="98" t="s">
        <v>167</v>
      </c>
      <c r="D93" s="15" t="s">
        <v>245</v>
      </c>
      <c r="E93" s="13"/>
      <c r="F93" s="13"/>
      <c r="G93" s="38">
        <v>1421.68</v>
      </c>
      <c r="H93" s="73"/>
      <c r="I93" s="13">
        <f>G93*4</f>
        <v>5686.72</v>
      </c>
    </row>
    <row r="94" spans="1:21" ht="29.25" customHeight="1">
      <c r="A94" s="30">
        <v>28</v>
      </c>
      <c r="B94" s="97" t="s">
        <v>229</v>
      </c>
      <c r="C94" s="98" t="s">
        <v>113</v>
      </c>
      <c r="D94" s="56" t="s">
        <v>243</v>
      </c>
      <c r="E94" s="13"/>
      <c r="F94" s="13"/>
      <c r="G94" s="38">
        <v>945.36</v>
      </c>
      <c r="H94" s="73"/>
      <c r="I94" s="13">
        <f>G94*3</f>
        <v>2836.08</v>
      </c>
    </row>
    <row r="95" spans="1:21" ht="29.25" customHeight="1">
      <c r="A95" s="30">
        <v>29</v>
      </c>
      <c r="B95" s="97" t="s">
        <v>230</v>
      </c>
      <c r="C95" s="98" t="s">
        <v>77</v>
      </c>
      <c r="D95" s="56" t="s">
        <v>243</v>
      </c>
      <c r="E95" s="13"/>
      <c r="F95" s="13"/>
      <c r="G95" s="38">
        <v>796</v>
      </c>
      <c r="H95" s="73"/>
      <c r="I95" s="13">
        <f>G95*1.5</f>
        <v>1194</v>
      </c>
    </row>
    <row r="96" spans="1:21" ht="15.75" customHeight="1">
      <c r="A96" s="30">
        <v>30</v>
      </c>
      <c r="B96" s="159" t="s">
        <v>231</v>
      </c>
      <c r="C96" s="98" t="s">
        <v>113</v>
      </c>
      <c r="D96" s="56"/>
      <c r="E96" s="13"/>
      <c r="F96" s="13"/>
      <c r="G96" s="38">
        <v>125</v>
      </c>
      <c r="H96" s="73"/>
      <c r="I96" s="13">
        <f>G96*1</f>
        <v>125</v>
      </c>
    </row>
    <row r="97" spans="1:9" ht="15.75" customHeight="1">
      <c r="A97" s="30">
        <v>31</v>
      </c>
      <c r="B97" s="159" t="s">
        <v>232</v>
      </c>
      <c r="C97" s="98" t="s">
        <v>113</v>
      </c>
      <c r="D97" s="56"/>
      <c r="E97" s="13"/>
      <c r="F97" s="13"/>
      <c r="G97" s="38">
        <v>235</v>
      </c>
      <c r="H97" s="73"/>
      <c r="I97" s="13">
        <f>G97*1</f>
        <v>235</v>
      </c>
    </row>
    <row r="98" spans="1:9" ht="15.75" customHeight="1">
      <c r="A98" s="30">
        <v>32</v>
      </c>
      <c r="B98" s="159" t="s">
        <v>233</v>
      </c>
      <c r="C98" s="98" t="s">
        <v>113</v>
      </c>
      <c r="D98" s="56"/>
      <c r="E98" s="13"/>
      <c r="F98" s="13"/>
      <c r="G98" s="38">
        <v>49</v>
      </c>
      <c r="H98" s="73"/>
      <c r="I98" s="13">
        <f>G98*1</f>
        <v>49</v>
      </c>
    </row>
    <row r="99" spans="1:9" ht="15.75" customHeight="1">
      <c r="A99" s="30">
        <v>33</v>
      </c>
      <c r="B99" s="159" t="s">
        <v>169</v>
      </c>
      <c r="C99" s="98" t="s">
        <v>113</v>
      </c>
      <c r="D99" s="56"/>
      <c r="E99" s="13"/>
      <c r="F99" s="13"/>
      <c r="G99" s="38">
        <v>22</v>
      </c>
      <c r="H99" s="73"/>
      <c r="I99" s="13">
        <f>G99*2</f>
        <v>44</v>
      </c>
    </row>
    <row r="100" spans="1:9" ht="15.75" customHeight="1">
      <c r="A100" s="30">
        <v>34</v>
      </c>
      <c r="B100" s="159" t="s">
        <v>234</v>
      </c>
      <c r="C100" s="98" t="s">
        <v>113</v>
      </c>
      <c r="D100" s="56"/>
      <c r="E100" s="13"/>
      <c r="F100" s="13"/>
      <c r="G100" s="38">
        <v>70</v>
      </c>
      <c r="H100" s="73"/>
      <c r="I100" s="13">
        <f>G100*3</f>
        <v>210</v>
      </c>
    </row>
    <row r="101" spans="1:9" ht="15.75" customHeight="1">
      <c r="A101" s="30">
        <v>35</v>
      </c>
      <c r="B101" s="159" t="s">
        <v>235</v>
      </c>
      <c r="C101" s="98" t="s">
        <v>113</v>
      </c>
      <c r="D101" s="56"/>
      <c r="E101" s="13"/>
      <c r="F101" s="13"/>
      <c r="G101" s="38">
        <v>43</v>
      </c>
      <c r="H101" s="73"/>
      <c r="I101" s="13">
        <f>G101*1</f>
        <v>43</v>
      </c>
    </row>
    <row r="102" spans="1:9" ht="15.75" customHeight="1">
      <c r="A102" s="30">
        <v>36</v>
      </c>
      <c r="B102" s="159" t="s">
        <v>236</v>
      </c>
      <c r="C102" s="98" t="s">
        <v>113</v>
      </c>
      <c r="D102" s="56"/>
      <c r="E102" s="13"/>
      <c r="F102" s="13"/>
      <c r="G102" s="38">
        <v>239</v>
      </c>
      <c r="H102" s="73"/>
      <c r="I102" s="13">
        <f>G102*1</f>
        <v>239</v>
      </c>
    </row>
    <row r="103" spans="1:9" ht="15.75" customHeight="1">
      <c r="A103" s="30">
        <v>37</v>
      </c>
      <c r="B103" s="159" t="s">
        <v>237</v>
      </c>
      <c r="C103" s="98" t="s">
        <v>113</v>
      </c>
      <c r="D103" s="63"/>
      <c r="E103" s="38"/>
      <c r="F103" s="38">
        <v>2</v>
      </c>
      <c r="G103" s="38">
        <v>67</v>
      </c>
      <c r="H103" s="96">
        <f>G103*F103/1000</f>
        <v>0.13400000000000001</v>
      </c>
      <c r="I103" s="13">
        <f>G103*1</f>
        <v>67</v>
      </c>
    </row>
    <row r="104" spans="1:9" ht="15.75" customHeight="1">
      <c r="A104" s="30">
        <v>38</v>
      </c>
      <c r="B104" s="97" t="s">
        <v>238</v>
      </c>
      <c r="C104" s="98" t="s">
        <v>168</v>
      </c>
      <c r="D104" s="63"/>
      <c r="E104" s="38"/>
      <c r="F104" s="38">
        <v>1</v>
      </c>
      <c r="G104" s="38">
        <v>667.05</v>
      </c>
      <c r="H104" s="96">
        <f t="shared" ref="H104:H106" si="9">G104*F104/1000</f>
        <v>0.66704999999999992</v>
      </c>
      <c r="I104" s="13">
        <f>G104*0.1</f>
        <v>66.704999999999998</v>
      </c>
    </row>
    <row r="105" spans="1:9" ht="15" customHeight="1">
      <c r="A105" s="30">
        <v>39</v>
      </c>
      <c r="B105" s="97" t="s">
        <v>239</v>
      </c>
      <c r="C105" s="124" t="s">
        <v>146</v>
      </c>
      <c r="D105" s="56" t="s">
        <v>241</v>
      </c>
      <c r="E105" s="38"/>
      <c r="F105" s="38">
        <v>6</v>
      </c>
      <c r="G105" s="38">
        <v>335.5</v>
      </c>
      <c r="H105" s="96">
        <f t="shared" si="9"/>
        <v>2.0129999999999999</v>
      </c>
      <c r="I105" s="13">
        <f>G105*1</f>
        <v>335.5</v>
      </c>
    </row>
    <row r="106" spans="1:9" ht="30" customHeight="1">
      <c r="A106" s="30">
        <v>40</v>
      </c>
      <c r="B106" s="97" t="s">
        <v>194</v>
      </c>
      <c r="C106" s="98" t="s">
        <v>37</v>
      </c>
      <c r="D106" s="63" t="s">
        <v>178</v>
      </c>
      <c r="E106" s="38"/>
      <c r="F106" s="38">
        <v>0.01</v>
      </c>
      <c r="G106" s="38">
        <v>4070.89</v>
      </c>
      <c r="H106" s="96">
        <f t="shared" si="9"/>
        <v>4.0708899999999999E-2</v>
      </c>
      <c r="I106" s="13">
        <v>0</v>
      </c>
    </row>
    <row r="107" spans="1:9" ht="17.25" customHeight="1">
      <c r="A107" s="30">
        <v>41</v>
      </c>
      <c r="B107" s="97" t="s">
        <v>209</v>
      </c>
      <c r="C107" s="98" t="s">
        <v>39</v>
      </c>
      <c r="D107" s="63" t="s">
        <v>240</v>
      </c>
      <c r="E107" s="38"/>
      <c r="F107" s="38"/>
      <c r="G107" s="38">
        <v>27139.18</v>
      </c>
      <c r="H107" s="96"/>
      <c r="I107" s="13">
        <v>0</v>
      </c>
    </row>
    <row r="108" spans="1:9" ht="15.75" customHeight="1">
      <c r="A108" s="30"/>
      <c r="B108" s="50" t="s">
        <v>51</v>
      </c>
      <c r="C108" s="46"/>
      <c r="D108" s="59"/>
      <c r="E108" s="59"/>
      <c r="F108" s="46">
        <v>1</v>
      </c>
      <c r="G108" s="46"/>
      <c r="H108" s="46"/>
      <c r="I108" s="32">
        <f>SUM(I90:I107)</f>
        <v>16853.855000000003</v>
      </c>
    </row>
    <row r="109" spans="1:9" ht="15.75" customHeight="1">
      <c r="A109" s="30"/>
      <c r="B109" s="56" t="s">
        <v>75</v>
      </c>
      <c r="C109" s="16"/>
      <c r="D109" s="16"/>
      <c r="E109" s="16"/>
      <c r="F109" s="47"/>
      <c r="G109" s="48"/>
      <c r="H109" s="48"/>
      <c r="I109" s="18">
        <v>0</v>
      </c>
    </row>
    <row r="110" spans="1:9" ht="15.75" customHeight="1">
      <c r="A110" s="60"/>
      <c r="B110" s="51" t="s">
        <v>141</v>
      </c>
      <c r="C110" s="36"/>
      <c r="D110" s="36"/>
      <c r="E110" s="36"/>
      <c r="F110" s="36"/>
      <c r="G110" s="36"/>
      <c r="H110" s="36"/>
      <c r="I110" s="49">
        <f>I88+I108</f>
        <v>119637.59160073334</v>
      </c>
    </row>
    <row r="111" spans="1:9" ht="15.75" customHeight="1">
      <c r="A111" s="188" t="s">
        <v>330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15.75" customHeight="1">
      <c r="A112" s="72"/>
      <c r="B112" s="180" t="s">
        <v>331</v>
      </c>
      <c r="C112" s="180"/>
      <c r="D112" s="180"/>
      <c r="E112" s="180"/>
      <c r="F112" s="180"/>
      <c r="G112" s="180"/>
      <c r="H112" s="75"/>
      <c r="I112" s="3"/>
    </row>
    <row r="113" spans="1:9" ht="15.75" customHeight="1">
      <c r="A113" s="67"/>
      <c r="B113" s="176" t="s">
        <v>6</v>
      </c>
      <c r="C113" s="176"/>
      <c r="D113" s="176"/>
      <c r="E113" s="176"/>
      <c r="F113" s="176"/>
      <c r="G113" s="176"/>
      <c r="H113" s="25"/>
      <c r="I113" s="5"/>
    </row>
    <row r="114" spans="1:9" ht="7.5" customHeight="1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5.75" customHeight="1">
      <c r="A115" s="181" t="s">
        <v>7</v>
      </c>
      <c r="B115" s="181"/>
      <c r="C115" s="181"/>
      <c r="D115" s="181"/>
      <c r="E115" s="181"/>
      <c r="F115" s="181"/>
      <c r="G115" s="181"/>
      <c r="H115" s="181"/>
      <c r="I115" s="181"/>
    </row>
    <row r="116" spans="1:9" ht="15.75" customHeight="1">
      <c r="A116" s="181" t="s">
        <v>8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15.75" customHeight="1">
      <c r="A117" s="182" t="s">
        <v>60</v>
      </c>
      <c r="B117" s="182"/>
      <c r="C117" s="182"/>
      <c r="D117" s="182"/>
      <c r="E117" s="182"/>
      <c r="F117" s="182"/>
      <c r="G117" s="182"/>
      <c r="H117" s="182"/>
      <c r="I117" s="182"/>
    </row>
    <row r="118" spans="1:9" ht="15.75" customHeight="1">
      <c r="A118" s="11"/>
    </row>
    <row r="119" spans="1:9" ht="15.75" customHeight="1">
      <c r="A119" s="183" t="s">
        <v>9</v>
      </c>
      <c r="B119" s="183"/>
      <c r="C119" s="183"/>
      <c r="D119" s="183"/>
      <c r="E119" s="183"/>
      <c r="F119" s="183"/>
      <c r="G119" s="183"/>
      <c r="H119" s="183"/>
      <c r="I119" s="183"/>
    </row>
    <row r="120" spans="1:9" ht="15.75" customHeight="1">
      <c r="A120" s="4"/>
    </row>
    <row r="121" spans="1:9" ht="15.75" customHeight="1">
      <c r="B121" s="66" t="s">
        <v>10</v>
      </c>
      <c r="C121" s="175" t="s">
        <v>85</v>
      </c>
      <c r="D121" s="175"/>
      <c r="E121" s="175"/>
      <c r="F121" s="175"/>
      <c r="I121" s="69"/>
    </row>
    <row r="122" spans="1:9" ht="15.75" customHeight="1">
      <c r="A122" s="67"/>
      <c r="C122" s="176" t="s">
        <v>11</v>
      </c>
      <c r="D122" s="176"/>
      <c r="E122" s="176"/>
      <c r="F122" s="176"/>
      <c r="I122" s="68" t="s">
        <v>12</v>
      </c>
    </row>
    <row r="123" spans="1:9" ht="15.75" customHeight="1">
      <c r="A123" s="26"/>
      <c r="C123" s="12"/>
      <c r="D123" s="12"/>
      <c r="E123" s="12"/>
      <c r="G123" s="12"/>
      <c r="H123" s="12"/>
    </row>
    <row r="124" spans="1:9" ht="15.75" customHeight="1">
      <c r="B124" s="66" t="s">
        <v>13</v>
      </c>
      <c r="C124" s="177"/>
      <c r="D124" s="177"/>
      <c r="E124" s="177"/>
      <c r="F124" s="177"/>
      <c r="I124" s="69"/>
    </row>
    <row r="125" spans="1:9" ht="15.75" customHeight="1">
      <c r="A125" s="67"/>
      <c r="C125" s="178" t="s">
        <v>11</v>
      </c>
      <c r="D125" s="178"/>
      <c r="E125" s="178"/>
      <c r="F125" s="178"/>
      <c r="I125" s="68" t="s">
        <v>12</v>
      </c>
    </row>
    <row r="126" spans="1:9" ht="15.75" customHeight="1">
      <c r="A126" s="4" t="s">
        <v>14</v>
      </c>
    </row>
    <row r="127" spans="1:9">
      <c r="A127" s="179" t="s">
        <v>15</v>
      </c>
      <c r="B127" s="179"/>
      <c r="C127" s="179"/>
      <c r="D127" s="179"/>
      <c r="E127" s="179"/>
      <c r="F127" s="179"/>
      <c r="G127" s="179"/>
      <c r="H127" s="179"/>
      <c r="I127" s="179"/>
    </row>
    <row r="128" spans="1:9" ht="45" customHeight="1">
      <c r="A128" s="168" t="s">
        <v>16</v>
      </c>
      <c r="B128" s="168"/>
      <c r="C128" s="168"/>
      <c r="D128" s="168"/>
      <c r="E128" s="168"/>
      <c r="F128" s="168"/>
      <c r="G128" s="168"/>
      <c r="H128" s="168"/>
      <c r="I128" s="168"/>
    </row>
    <row r="129" spans="1:9" ht="30" customHeight="1">
      <c r="A129" s="168" t="s">
        <v>17</v>
      </c>
      <c r="B129" s="168"/>
      <c r="C129" s="168"/>
      <c r="D129" s="168"/>
      <c r="E129" s="168"/>
      <c r="F129" s="168"/>
      <c r="G129" s="168"/>
      <c r="H129" s="168"/>
      <c r="I129" s="168"/>
    </row>
    <row r="130" spans="1:9" ht="30" customHeight="1">
      <c r="A130" s="168" t="s">
        <v>21</v>
      </c>
      <c r="B130" s="168"/>
      <c r="C130" s="168"/>
      <c r="D130" s="168"/>
      <c r="E130" s="168"/>
      <c r="F130" s="168"/>
      <c r="G130" s="168"/>
      <c r="H130" s="168"/>
      <c r="I130" s="168"/>
    </row>
    <row r="131" spans="1:9" ht="15" customHeight="1">
      <c r="A131" s="168" t="s">
        <v>20</v>
      </c>
      <c r="B131" s="168"/>
      <c r="C131" s="168"/>
      <c r="D131" s="168"/>
      <c r="E131" s="168"/>
      <c r="F131" s="168"/>
      <c r="G131" s="168"/>
      <c r="H131" s="168"/>
      <c r="I131" s="168"/>
    </row>
  </sheetData>
  <autoFilter ref="I12:I72"/>
  <mergeCells count="29">
    <mergeCell ref="A14:I14"/>
    <mergeCell ref="A15:I15"/>
    <mergeCell ref="A28:I28"/>
    <mergeCell ref="A46:I46"/>
    <mergeCell ref="A56:I56"/>
    <mergeCell ref="A3:I3"/>
    <mergeCell ref="A4:I4"/>
    <mergeCell ref="A5:I5"/>
    <mergeCell ref="A8:I8"/>
    <mergeCell ref="A10:I10"/>
    <mergeCell ref="R79:U79"/>
    <mergeCell ref="C125:F125"/>
    <mergeCell ref="A89:I89"/>
    <mergeCell ref="A111:I111"/>
    <mergeCell ref="B112:G112"/>
    <mergeCell ref="B113:G113"/>
    <mergeCell ref="A115:I115"/>
    <mergeCell ref="A116:I116"/>
    <mergeCell ref="A117:I117"/>
    <mergeCell ref="A119:I119"/>
    <mergeCell ref="C121:F121"/>
    <mergeCell ref="C122:F122"/>
    <mergeCell ref="C124:F124"/>
    <mergeCell ref="A85:I85"/>
    <mergeCell ref="A127:I127"/>
    <mergeCell ref="A128:I128"/>
    <mergeCell ref="A129:I129"/>
    <mergeCell ref="A130:I130"/>
    <mergeCell ref="A131:I13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17"/>
  <sheetViews>
    <sheetView topLeftCell="A87" workbookViewId="0">
      <selection activeCell="A102" sqref="A102:I102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143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246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31">
        <v>43921</v>
      </c>
      <c r="J6" s="2"/>
      <c r="K6" s="2"/>
      <c r="L6" s="2"/>
      <c r="M6" s="2"/>
    </row>
    <row r="7" spans="1:13" ht="15.75" customHeight="1">
      <c r="B7" s="66"/>
      <c r="C7" s="66"/>
      <c r="D7" s="66"/>
      <c r="E7" s="66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186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175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7" si="0">SUM(F16*G16/1000)</f>
        <v>62.943028199999993</v>
      </c>
      <c r="I16" s="13">
        <f>F16/12*G16</f>
        <v>5245.2523499999998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176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F17/12*G17</f>
        <v>13987.339599999998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177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F18/18*1*G18</f>
        <v>5803.9207499999993</v>
      </c>
      <c r="J18" s="23"/>
      <c r="K18" s="8"/>
      <c r="L18" s="8"/>
      <c r="M18" s="8"/>
    </row>
    <row r="19" spans="1:13" ht="15.75" hidden="1" customHeight="1">
      <c r="A19" s="30"/>
      <c r="B19" s="76" t="s">
        <v>99</v>
      </c>
      <c r="C19" s="65" t="s">
        <v>100</v>
      </c>
      <c r="D19" s="76" t="s">
        <v>101</v>
      </c>
      <c r="E19" s="77">
        <v>38.4</v>
      </c>
      <c r="F19" s="78">
        <f>SUM(E19/10)</f>
        <v>3.84</v>
      </c>
      <c r="G19" s="78">
        <v>170.16</v>
      </c>
      <c r="H19" s="79">
        <f t="shared" si="0"/>
        <v>0.65341439999999995</v>
      </c>
      <c r="I19" s="13">
        <f>F19/2*G19</f>
        <v>326.7072</v>
      </c>
      <c r="J19" s="23"/>
      <c r="K19" s="8"/>
      <c r="L19" s="8"/>
      <c r="M19" s="8"/>
    </row>
    <row r="20" spans="1:13" ht="15.75" customHeight="1">
      <c r="A20" s="30">
        <v>4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5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hidden="1" customHeight="1">
      <c r="A22" s="30"/>
      <c r="B22" s="76" t="s">
        <v>102</v>
      </c>
      <c r="C22" s="65" t="s">
        <v>52</v>
      </c>
      <c r="D22" s="76" t="s">
        <v>101</v>
      </c>
      <c r="E22" s="77">
        <v>822.72</v>
      </c>
      <c r="F22" s="78">
        <f>SUM(E22/100)</f>
        <v>8.2271999999999998</v>
      </c>
      <c r="G22" s="78">
        <v>269.26</v>
      </c>
      <c r="H22" s="79">
        <f t="shared" si="0"/>
        <v>2.2152558719999997</v>
      </c>
      <c r="I22" s="13">
        <f>F22*G22</f>
        <v>2215.2558719999997</v>
      </c>
      <c r="J22" s="23"/>
      <c r="K22" s="8"/>
      <c r="L22" s="8"/>
      <c r="M22" s="8"/>
    </row>
    <row r="23" spans="1:13" ht="15.75" hidden="1" customHeight="1">
      <c r="A23" s="30"/>
      <c r="B23" s="76" t="s">
        <v>103</v>
      </c>
      <c r="C23" s="65" t="s">
        <v>52</v>
      </c>
      <c r="D23" s="76" t="s">
        <v>101</v>
      </c>
      <c r="E23" s="80">
        <v>96.6</v>
      </c>
      <c r="F23" s="78">
        <f>SUM(E23/100)</f>
        <v>0.96599999999999997</v>
      </c>
      <c r="G23" s="78">
        <v>44.29</v>
      </c>
      <c r="H23" s="79">
        <f t="shared" si="0"/>
        <v>4.2784139999999998E-2</v>
      </c>
      <c r="I23" s="13">
        <f>F23*G23</f>
        <v>42.784140000000001</v>
      </c>
      <c r="J23" s="23"/>
      <c r="K23" s="8"/>
      <c r="L23" s="8"/>
      <c r="M23" s="8"/>
    </row>
    <row r="24" spans="1:13" ht="15.75" hidden="1" customHeight="1">
      <c r="A24" s="30">
        <v>6</v>
      </c>
      <c r="B24" s="76" t="s">
        <v>95</v>
      </c>
      <c r="C24" s="65" t="s">
        <v>52</v>
      </c>
      <c r="D24" s="76" t="s">
        <v>178</v>
      </c>
      <c r="E24" s="81">
        <v>32</v>
      </c>
      <c r="F24" s="78">
        <f>32*12/1000</f>
        <v>0.38400000000000001</v>
      </c>
      <c r="G24" s="78">
        <v>389.42</v>
      </c>
      <c r="H24" s="79">
        <f>G24*F24/100</f>
        <v>1.4953728000000002</v>
      </c>
      <c r="I24" s="13">
        <f>F24/12*G24</f>
        <v>12.461440000000001</v>
      </c>
      <c r="J24" s="23"/>
      <c r="K24" s="8"/>
      <c r="L24" s="8"/>
      <c r="M24" s="8"/>
    </row>
    <row r="25" spans="1:13" ht="15.75" hidden="1" customHeight="1">
      <c r="A25" s="45">
        <v>6</v>
      </c>
      <c r="B25" s="76" t="s">
        <v>122</v>
      </c>
      <c r="C25" s="65" t="s">
        <v>52</v>
      </c>
      <c r="D25" s="76" t="s">
        <v>53</v>
      </c>
      <c r="E25" s="82">
        <v>38</v>
      </c>
      <c r="F25" s="78">
        <v>0.38</v>
      </c>
      <c r="G25" s="78">
        <v>216.12</v>
      </c>
      <c r="H25" s="79">
        <f>G25*F25/1000</f>
        <v>8.2125600000000007E-2</v>
      </c>
      <c r="I25" s="13">
        <f>F25*G25</f>
        <v>82.125600000000006</v>
      </c>
      <c r="J25" s="23"/>
      <c r="K25" s="8"/>
      <c r="L25" s="8"/>
      <c r="M25" s="8"/>
    </row>
    <row r="26" spans="1:13" ht="15.75" hidden="1" customHeight="1">
      <c r="A26" s="45">
        <v>7</v>
      </c>
      <c r="B26" s="76" t="s">
        <v>96</v>
      </c>
      <c r="C26" s="65" t="s">
        <v>52</v>
      </c>
      <c r="D26" s="76" t="s">
        <v>179</v>
      </c>
      <c r="E26" s="77">
        <v>17</v>
      </c>
      <c r="F26" s="78">
        <f>SUM(E26*12/100)</f>
        <v>2.04</v>
      </c>
      <c r="G26" s="78">
        <v>520.79999999999995</v>
      </c>
      <c r="H26" s="79">
        <f t="shared" si="0"/>
        <v>1.062432</v>
      </c>
      <c r="I26" s="13">
        <f>F26/12*G26</f>
        <v>88.536000000000001</v>
      </c>
      <c r="J26" s="23"/>
      <c r="K26" s="8"/>
      <c r="L26" s="8"/>
      <c r="M26" s="8"/>
    </row>
    <row r="27" spans="1:13" ht="15.75" customHeight="1">
      <c r="A27" s="45">
        <v>6</v>
      </c>
      <c r="B27" s="34" t="s">
        <v>174</v>
      </c>
      <c r="C27" s="44" t="s">
        <v>33</v>
      </c>
      <c r="D27" s="34" t="s">
        <v>182</v>
      </c>
      <c r="E27" s="125">
        <v>0.2</v>
      </c>
      <c r="F27" s="33">
        <f>E27*258</f>
        <v>51.6</v>
      </c>
      <c r="G27" s="33">
        <v>289.5</v>
      </c>
      <c r="H27" s="79">
        <f t="shared" si="0"/>
        <v>14.9382</v>
      </c>
      <c r="I27" s="13">
        <f>F27/12*G27</f>
        <v>1244.8499999999999</v>
      </c>
      <c r="J27" s="23"/>
      <c r="K27" s="8"/>
      <c r="L27" s="8"/>
      <c r="M27" s="8"/>
    </row>
    <row r="28" spans="1:13" ht="15.75" customHeight="1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  <c r="J28" s="23"/>
      <c r="K28" s="8"/>
      <c r="L28" s="8"/>
      <c r="M28" s="8"/>
    </row>
    <row r="29" spans="1:13" ht="15.75" hidden="1" customHeight="1">
      <c r="A29" s="45"/>
      <c r="B29" s="55" t="s">
        <v>28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76" t="s">
        <v>104</v>
      </c>
      <c r="C30" s="65" t="s">
        <v>105</v>
      </c>
      <c r="D30" s="76" t="s">
        <v>125</v>
      </c>
      <c r="E30" s="78">
        <v>2732.4</v>
      </c>
      <c r="F30" s="78">
        <f>SUM(E30*26/1000)</f>
        <v>71.042400000000015</v>
      </c>
      <c r="G30" s="78">
        <v>155.88999999999999</v>
      </c>
      <c r="H30" s="79">
        <f t="shared" ref="H30:H32" si="1">SUM(F30*G30/1000)</f>
        <v>11.074799736000001</v>
      </c>
      <c r="I30" s="13">
        <v>0</v>
      </c>
      <c r="J30" s="23"/>
      <c r="K30" s="8"/>
      <c r="L30" s="8"/>
      <c r="M30" s="8"/>
    </row>
    <row r="31" spans="1:13" ht="31.5" hidden="1" customHeight="1">
      <c r="A31" s="45">
        <v>3</v>
      </c>
      <c r="B31" s="76" t="s">
        <v>126</v>
      </c>
      <c r="C31" s="65" t="s">
        <v>105</v>
      </c>
      <c r="D31" s="76" t="s">
        <v>106</v>
      </c>
      <c r="E31" s="78">
        <v>547.85</v>
      </c>
      <c r="F31" s="78">
        <f>SUM(E31*78/1000)</f>
        <v>42.732300000000002</v>
      </c>
      <c r="G31" s="78">
        <v>258.63</v>
      </c>
      <c r="H31" s="79">
        <f t="shared" si="1"/>
        <v>11.051854749</v>
      </c>
      <c r="I31" s="13">
        <v>0</v>
      </c>
      <c r="J31" s="23"/>
      <c r="K31" s="8"/>
      <c r="L31" s="8"/>
      <c r="M31" s="8"/>
    </row>
    <row r="32" spans="1:13" ht="15.75" hidden="1" customHeight="1">
      <c r="A32" s="45">
        <v>4</v>
      </c>
      <c r="B32" s="76" t="s">
        <v>27</v>
      </c>
      <c r="C32" s="65" t="s">
        <v>105</v>
      </c>
      <c r="D32" s="76" t="s">
        <v>53</v>
      </c>
      <c r="E32" s="78">
        <v>2732.4</v>
      </c>
      <c r="F32" s="78">
        <f>SUM(E32/1000)</f>
        <v>2.7324000000000002</v>
      </c>
      <c r="G32" s="78">
        <v>3020.33</v>
      </c>
      <c r="H32" s="79">
        <f t="shared" si="1"/>
        <v>8.2527496920000001</v>
      </c>
      <c r="I32" s="13">
        <v>0</v>
      </c>
      <c r="J32" s="23"/>
      <c r="K32" s="8"/>
      <c r="L32" s="8"/>
      <c r="M32" s="8"/>
    </row>
    <row r="33" spans="1:14" ht="15.75" hidden="1" customHeight="1">
      <c r="A33" s="45"/>
      <c r="B33" s="76" t="s">
        <v>124</v>
      </c>
      <c r="C33" s="65" t="s">
        <v>39</v>
      </c>
      <c r="D33" s="76" t="s">
        <v>62</v>
      </c>
      <c r="E33" s="78">
        <v>8</v>
      </c>
      <c r="F33" s="78">
        <v>12.4</v>
      </c>
      <c r="G33" s="78">
        <v>1302.02</v>
      </c>
      <c r="H33" s="79">
        <v>16.145</v>
      </c>
      <c r="I33" s="13">
        <v>0</v>
      </c>
      <c r="J33" s="23"/>
      <c r="K33" s="8"/>
      <c r="L33" s="8"/>
      <c r="M33" s="8"/>
    </row>
    <row r="34" spans="1:14" ht="15.75" hidden="1" customHeight="1">
      <c r="A34" s="45">
        <v>5</v>
      </c>
      <c r="B34" s="76" t="s">
        <v>139</v>
      </c>
      <c r="C34" s="65" t="s">
        <v>31</v>
      </c>
      <c r="D34" s="76" t="s">
        <v>62</v>
      </c>
      <c r="E34" s="84">
        <v>1</v>
      </c>
      <c r="F34" s="78">
        <v>155</v>
      </c>
      <c r="G34" s="78">
        <v>56.69</v>
      </c>
      <c r="H34" s="79">
        <f>SUM(G34*155/1000)</f>
        <v>8.7869499999999992</v>
      </c>
      <c r="I34" s="13">
        <v>0</v>
      </c>
      <c r="J34" s="23"/>
      <c r="K34" s="8"/>
      <c r="L34" s="8"/>
      <c r="M34" s="8"/>
    </row>
    <row r="35" spans="1:14" ht="15.75" hidden="1" customHeight="1">
      <c r="A35" s="45">
        <v>4</v>
      </c>
      <c r="B35" s="76" t="s">
        <v>63</v>
      </c>
      <c r="C35" s="65" t="s">
        <v>33</v>
      </c>
      <c r="D35" s="76" t="s">
        <v>65</v>
      </c>
      <c r="E35" s="77"/>
      <c r="F35" s="78">
        <v>2</v>
      </c>
      <c r="G35" s="78">
        <v>191.32</v>
      </c>
      <c r="H35" s="79">
        <f t="shared" ref="H35:H36" si="2">SUM(F35*G35/1000)</f>
        <v>0.38263999999999998</v>
      </c>
      <c r="I35" s="13">
        <v>0</v>
      </c>
      <c r="J35" s="23"/>
      <c r="K35" s="8"/>
    </row>
    <row r="36" spans="1:14" ht="15.75" hidden="1" customHeight="1">
      <c r="A36" s="30">
        <v>8</v>
      </c>
      <c r="B36" s="76" t="s">
        <v>64</v>
      </c>
      <c r="C36" s="65" t="s">
        <v>32</v>
      </c>
      <c r="D36" s="76" t="s">
        <v>65</v>
      </c>
      <c r="E36" s="77"/>
      <c r="F36" s="78">
        <v>3</v>
      </c>
      <c r="G36" s="78">
        <v>1136.32</v>
      </c>
      <c r="H36" s="79">
        <f t="shared" si="2"/>
        <v>3.40896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customHeight="1">
      <c r="A38" s="35">
        <v>7</v>
      </c>
      <c r="B38" s="76" t="s">
        <v>26</v>
      </c>
      <c r="C38" s="65" t="s">
        <v>32</v>
      </c>
      <c r="D38" s="76" t="s">
        <v>247</v>
      </c>
      <c r="E38" s="77"/>
      <c r="F38" s="78">
        <v>15</v>
      </c>
      <c r="G38" s="33">
        <v>1855</v>
      </c>
      <c r="H38" s="79">
        <f>SUM(F38*G38/1000)</f>
        <v>27.824999999999999</v>
      </c>
      <c r="I38" s="13">
        <f>G38*0.4</f>
        <v>742</v>
      </c>
      <c r="J38" s="24"/>
    </row>
    <row r="39" spans="1:14" ht="15.75" customHeight="1">
      <c r="A39" s="35">
        <v>8</v>
      </c>
      <c r="B39" s="152" t="s">
        <v>66</v>
      </c>
      <c r="C39" s="153" t="s">
        <v>29</v>
      </c>
      <c r="D39" s="152" t="s">
        <v>205</v>
      </c>
      <c r="E39" s="155">
        <v>214.34</v>
      </c>
      <c r="F39" s="155">
        <f>SUM(E39*30/1000)</f>
        <v>6.4302000000000001</v>
      </c>
      <c r="G39" s="155">
        <v>3014.36</v>
      </c>
      <c r="H39" s="79">
        <f t="shared" ref="H39:H43" si="3">SUM(F39*G39/1000)</f>
        <v>19.382937672000001</v>
      </c>
      <c r="I39" s="13">
        <f t="shared" ref="I39:I40" si="4">F39/6*G39</f>
        <v>3230.4896120000003</v>
      </c>
      <c r="J39" s="24"/>
    </row>
    <row r="40" spans="1:14" ht="15.75" customHeight="1">
      <c r="A40" s="35">
        <v>9</v>
      </c>
      <c r="B40" s="34" t="s">
        <v>67</v>
      </c>
      <c r="C40" s="44" t="s">
        <v>29</v>
      </c>
      <c r="D40" s="34" t="s">
        <v>181</v>
      </c>
      <c r="E40" s="33">
        <v>214.34</v>
      </c>
      <c r="F40" s="155">
        <f>SUM(E40*155/1000)</f>
        <v>33.222699999999996</v>
      </c>
      <c r="G40" s="33">
        <v>502.82</v>
      </c>
      <c r="H40" s="79">
        <f t="shared" si="3"/>
        <v>16.705038013999999</v>
      </c>
      <c r="I40" s="13">
        <f t="shared" si="4"/>
        <v>2784.173002333333</v>
      </c>
      <c r="J40" s="24"/>
    </row>
    <row r="41" spans="1:14" ht="31.5" customHeight="1">
      <c r="A41" s="35">
        <v>10</v>
      </c>
      <c r="B41" s="34" t="s">
        <v>79</v>
      </c>
      <c r="C41" s="44" t="s">
        <v>105</v>
      </c>
      <c r="D41" s="34" t="s">
        <v>205</v>
      </c>
      <c r="E41" s="33">
        <v>86.04</v>
      </c>
      <c r="F41" s="155">
        <f>SUM(E41*30/1000)</f>
        <v>2.5812000000000004</v>
      </c>
      <c r="G41" s="33">
        <v>8319.2999999999993</v>
      </c>
      <c r="H41" s="79">
        <f t="shared" si="3"/>
        <v>21.473777160000001</v>
      </c>
      <c r="I41" s="13">
        <f>F41/6*G41</f>
        <v>3578.9628600000005</v>
      </c>
      <c r="J41" s="24"/>
    </row>
    <row r="42" spans="1:14" ht="15.75" customHeight="1">
      <c r="A42" s="35">
        <v>11</v>
      </c>
      <c r="B42" s="34" t="s">
        <v>110</v>
      </c>
      <c r="C42" s="44" t="s">
        <v>105</v>
      </c>
      <c r="D42" s="34" t="s">
        <v>248</v>
      </c>
      <c r="E42" s="33">
        <v>214.34</v>
      </c>
      <c r="F42" s="155">
        <f>SUM(E42*30/1000)</f>
        <v>6.4302000000000001</v>
      </c>
      <c r="G42" s="33">
        <v>614.55999999999995</v>
      </c>
      <c r="H42" s="79">
        <f t="shared" si="3"/>
        <v>3.9517437119999999</v>
      </c>
      <c r="I42" s="13">
        <f>G42*F42/30</f>
        <v>131.72479039999999</v>
      </c>
      <c r="J42" s="24"/>
    </row>
    <row r="43" spans="1:14" ht="15.75" customHeight="1">
      <c r="A43" s="35">
        <v>12</v>
      </c>
      <c r="B43" s="152" t="s">
        <v>69</v>
      </c>
      <c r="C43" s="153" t="s">
        <v>33</v>
      </c>
      <c r="D43" s="152"/>
      <c r="E43" s="154"/>
      <c r="F43" s="155">
        <v>0.9</v>
      </c>
      <c r="G43" s="155">
        <v>800</v>
      </c>
      <c r="H43" s="79">
        <f t="shared" si="3"/>
        <v>0.72</v>
      </c>
      <c r="I43" s="13">
        <f>G43*F43/30</f>
        <v>24</v>
      </c>
      <c r="J43" s="24"/>
      <c r="L43" s="20"/>
      <c r="M43" s="21"/>
      <c r="N43" s="22"/>
    </row>
    <row r="44" spans="1:14" ht="15.75" hidden="1" customHeight="1">
      <c r="A44" s="185" t="s">
        <v>136</v>
      </c>
      <c r="B44" s="186"/>
      <c r="C44" s="186"/>
      <c r="D44" s="186"/>
      <c r="E44" s="186"/>
      <c r="F44" s="186"/>
      <c r="G44" s="186"/>
      <c r="H44" s="186"/>
      <c r="I44" s="187"/>
      <c r="J44" s="24"/>
      <c r="L44" s="20"/>
      <c r="M44" s="21"/>
      <c r="N44" s="22"/>
    </row>
    <row r="45" spans="1:14" ht="15.75" hidden="1" customHeight="1">
      <c r="A45" s="45">
        <v>15</v>
      </c>
      <c r="B45" s="76" t="s">
        <v>111</v>
      </c>
      <c r="C45" s="65" t="s">
        <v>105</v>
      </c>
      <c r="D45" s="76" t="s">
        <v>41</v>
      </c>
      <c r="E45" s="77">
        <v>1640.4</v>
      </c>
      <c r="F45" s="78">
        <f>SUM(E45*2/1000)</f>
        <v>3.2808000000000002</v>
      </c>
      <c r="G45" s="13">
        <v>849.49</v>
      </c>
      <c r="H45" s="79">
        <f t="shared" ref="H45:H53" si="5">SUM(F45*G45/1000)</f>
        <v>2.7870067920000001</v>
      </c>
      <c r="I45" s="13">
        <v>0</v>
      </c>
      <c r="J45" s="24"/>
      <c r="L45" s="20"/>
      <c r="M45" s="21"/>
      <c r="N45" s="22"/>
    </row>
    <row r="46" spans="1:14" ht="15.75" hidden="1" customHeight="1">
      <c r="A46" s="45"/>
      <c r="B46" s="76" t="s">
        <v>34</v>
      </c>
      <c r="C46" s="65" t="s">
        <v>105</v>
      </c>
      <c r="D46" s="76" t="s">
        <v>41</v>
      </c>
      <c r="E46" s="77">
        <v>918.25</v>
      </c>
      <c r="F46" s="78">
        <f>SUM(E46*2/1000)</f>
        <v>1.8365</v>
      </c>
      <c r="G46" s="13">
        <v>579.48</v>
      </c>
      <c r="H46" s="79">
        <f t="shared" si="5"/>
        <v>1.06421502</v>
      </c>
      <c r="I46" s="13">
        <v>0</v>
      </c>
      <c r="J46" s="24"/>
      <c r="L46" s="20"/>
      <c r="M46" s="21"/>
      <c r="N46" s="22"/>
    </row>
    <row r="47" spans="1:14" ht="15.75" hidden="1" customHeight="1">
      <c r="A47" s="45">
        <v>16</v>
      </c>
      <c r="B47" s="76" t="s">
        <v>35</v>
      </c>
      <c r="C47" s="65" t="s">
        <v>105</v>
      </c>
      <c r="D47" s="76" t="s">
        <v>41</v>
      </c>
      <c r="E47" s="77">
        <v>5592.26</v>
      </c>
      <c r="F47" s="78">
        <f>SUM(E47*2/1000)</f>
        <v>11.184520000000001</v>
      </c>
      <c r="G47" s="13">
        <v>579.48</v>
      </c>
      <c r="H47" s="79">
        <f t="shared" si="5"/>
        <v>6.4812056496000006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17</v>
      </c>
      <c r="B48" s="76" t="s">
        <v>36</v>
      </c>
      <c r="C48" s="65" t="s">
        <v>105</v>
      </c>
      <c r="D48" s="76" t="s">
        <v>41</v>
      </c>
      <c r="E48" s="77">
        <v>2817.65</v>
      </c>
      <c r="F48" s="78">
        <f>SUM(E48*2/1000)</f>
        <v>5.6353</v>
      </c>
      <c r="G48" s="13">
        <v>606.77</v>
      </c>
      <c r="H48" s="79">
        <f t="shared" si="5"/>
        <v>3.4193309809999999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16</v>
      </c>
      <c r="B49" s="76" t="s">
        <v>55</v>
      </c>
      <c r="C49" s="65" t="s">
        <v>105</v>
      </c>
      <c r="D49" s="76" t="s">
        <v>129</v>
      </c>
      <c r="E49" s="77">
        <v>3280.8</v>
      </c>
      <c r="F49" s="78">
        <f>SUM(E49*5/1000)</f>
        <v>16.404</v>
      </c>
      <c r="G49" s="13">
        <v>1213.55</v>
      </c>
      <c r="H49" s="79">
        <f t="shared" si="5"/>
        <v>19.9070742</v>
      </c>
      <c r="I49" s="13">
        <f>F49/5*G49</f>
        <v>3981.4148399999999</v>
      </c>
      <c r="J49" s="24"/>
      <c r="L49" s="20"/>
      <c r="M49" s="21"/>
      <c r="N49" s="22"/>
    </row>
    <row r="50" spans="1:14" ht="31.5" hidden="1" customHeight="1">
      <c r="A50" s="45">
        <v>13</v>
      </c>
      <c r="B50" s="76" t="s">
        <v>112</v>
      </c>
      <c r="C50" s="65" t="s">
        <v>105</v>
      </c>
      <c r="D50" s="76" t="s">
        <v>41</v>
      </c>
      <c r="E50" s="77">
        <v>3280.8</v>
      </c>
      <c r="F50" s="78">
        <f>SUM(E50*2/1000)</f>
        <v>6.5616000000000003</v>
      </c>
      <c r="G50" s="13">
        <v>1213.55</v>
      </c>
      <c r="H50" s="79">
        <f t="shared" si="5"/>
        <v>7.9628296799999996</v>
      </c>
      <c r="I50" s="13">
        <v>0</v>
      </c>
      <c r="J50" s="24"/>
      <c r="L50" s="20"/>
      <c r="M50" s="21"/>
      <c r="N50" s="22"/>
    </row>
    <row r="51" spans="1:14" ht="31.5" hidden="1" customHeight="1">
      <c r="A51" s="45">
        <v>14</v>
      </c>
      <c r="B51" s="76" t="s">
        <v>128</v>
      </c>
      <c r="C51" s="65" t="s">
        <v>37</v>
      </c>
      <c r="D51" s="76" t="s">
        <v>41</v>
      </c>
      <c r="E51" s="77">
        <v>40</v>
      </c>
      <c r="F51" s="78">
        <f>SUM(E51*2/100)</f>
        <v>0.8</v>
      </c>
      <c r="G51" s="13">
        <v>2730.49</v>
      </c>
      <c r="H51" s="79">
        <f t="shared" si="5"/>
        <v>2.1843919999999999</v>
      </c>
      <c r="I51" s="13">
        <v>0</v>
      </c>
      <c r="J51" s="24"/>
      <c r="L51" s="20"/>
      <c r="M51" s="21"/>
      <c r="N51" s="22"/>
    </row>
    <row r="52" spans="1:14" ht="15.75" hidden="1" customHeight="1">
      <c r="A52" s="45">
        <v>16</v>
      </c>
      <c r="B52" s="76" t="s">
        <v>38</v>
      </c>
      <c r="C52" s="65" t="s">
        <v>39</v>
      </c>
      <c r="D52" s="76" t="s">
        <v>41</v>
      </c>
      <c r="E52" s="77">
        <v>1</v>
      </c>
      <c r="F52" s="78">
        <v>0.02</v>
      </c>
      <c r="G52" s="13">
        <v>5652.13</v>
      </c>
      <c r="H52" s="79">
        <f t="shared" si="5"/>
        <v>0.11304260000000001</v>
      </c>
      <c r="I52" s="13">
        <f>F52/2*G52</f>
        <v>56.521300000000004</v>
      </c>
      <c r="J52" s="24"/>
      <c r="L52" s="20"/>
      <c r="M52" s="21"/>
      <c r="N52" s="22"/>
    </row>
    <row r="53" spans="1:14" ht="15.75" hidden="1" customHeight="1">
      <c r="A53" s="45">
        <v>17</v>
      </c>
      <c r="B53" s="76" t="s">
        <v>40</v>
      </c>
      <c r="C53" s="65" t="s">
        <v>113</v>
      </c>
      <c r="D53" s="76" t="s">
        <v>70</v>
      </c>
      <c r="E53" s="77">
        <v>238</v>
      </c>
      <c r="F53" s="78">
        <f>SUM(E53)*3</f>
        <v>714</v>
      </c>
      <c r="G53" s="13">
        <v>65.67</v>
      </c>
      <c r="H53" s="79">
        <f t="shared" si="5"/>
        <v>46.888380000000005</v>
      </c>
      <c r="I53" s="13">
        <f>E53*G53</f>
        <v>15629.460000000001</v>
      </c>
      <c r="J53" s="24"/>
      <c r="L53" s="20"/>
      <c r="M53" s="21"/>
      <c r="N53" s="22"/>
    </row>
    <row r="54" spans="1:14" ht="31.5" customHeight="1">
      <c r="A54" s="162">
        <v>13</v>
      </c>
      <c r="B54" s="152" t="s">
        <v>204</v>
      </c>
      <c r="C54" s="153" t="s">
        <v>105</v>
      </c>
      <c r="D54" s="152" t="s">
        <v>177</v>
      </c>
      <c r="E54" s="154">
        <v>1.2</v>
      </c>
      <c r="F54" s="155">
        <f>E54*12/1000</f>
        <v>1.4399999999999998E-2</v>
      </c>
      <c r="G54" s="155">
        <v>19757.060000000001</v>
      </c>
      <c r="H54" s="150"/>
      <c r="I54" s="151">
        <f>G54*F54/6</f>
        <v>47.416944000000001</v>
      </c>
      <c r="J54" s="24"/>
      <c r="L54" s="20"/>
      <c r="M54" s="21"/>
      <c r="N54" s="22"/>
    </row>
    <row r="55" spans="1:14" ht="18" customHeight="1">
      <c r="A55" s="185" t="s">
        <v>151</v>
      </c>
      <c r="B55" s="186"/>
      <c r="C55" s="186"/>
      <c r="D55" s="186"/>
      <c r="E55" s="186"/>
      <c r="F55" s="186"/>
      <c r="G55" s="186"/>
      <c r="H55" s="186"/>
      <c r="I55" s="187"/>
      <c r="J55" s="24"/>
      <c r="L55" s="20"/>
      <c r="M55" s="21"/>
      <c r="N55" s="22"/>
    </row>
    <row r="56" spans="1:14" ht="15.75" hidden="1" customHeight="1">
      <c r="A56" s="58"/>
      <c r="B56" s="52" t="s">
        <v>42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16</v>
      </c>
      <c r="B57" s="76" t="s">
        <v>131</v>
      </c>
      <c r="C57" s="65" t="s">
        <v>98</v>
      </c>
      <c r="D57" s="76" t="s">
        <v>166</v>
      </c>
      <c r="E57" s="77">
        <v>164.04</v>
      </c>
      <c r="F57" s="13">
        <f>E57*6/100</f>
        <v>9.8423999999999996</v>
      </c>
      <c r="G57" s="86">
        <v>1547.28</v>
      </c>
      <c r="H57" s="79">
        <f>F57*G57/1000</f>
        <v>15.228948671999998</v>
      </c>
      <c r="I57" s="13">
        <f>G57*0.6</f>
        <v>928.36799999999994</v>
      </c>
      <c r="J57" s="24"/>
      <c r="L57" s="20"/>
      <c r="M57" s="21"/>
      <c r="N57" s="22"/>
    </row>
    <row r="58" spans="1:14" ht="15.75" hidden="1" customHeight="1">
      <c r="A58" s="45">
        <v>15</v>
      </c>
      <c r="B58" s="87" t="s">
        <v>89</v>
      </c>
      <c r="C58" s="88" t="s">
        <v>98</v>
      </c>
      <c r="D58" s="87" t="s">
        <v>177</v>
      </c>
      <c r="E58" s="89">
        <v>8</v>
      </c>
      <c r="F58" s="90">
        <f>E58*8/100</f>
        <v>0.64</v>
      </c>
      <c r="G58" s="86">
        <v>1547.28</v>
      </c>
      <c r="H58" s="91">
        <f>F58*G58/1000</f>
        <v>0.99025920000000001</v>
      </c>
      <c r="I58" s="13">
        <f>F58/6*G58</f>
        <v>165.04320000000001</v>
      </c>
      <c r="J58" s="24"/>
      <c r="L58" s="20"/>
      <c r="M58" s="21"/>
      <c r="N58" s="22"/>
    </row>
    <row r="59" spans="1:14" ht="15.75" hidden="1" customHeight="1">
      <c r="A59" s="45">
        <v>18</v>
      </c>
      <c r="B59" s="87" t="s">
        <v>93</v>
      </c>
      <c r="C59" s="88" t="s">
        <v>94</v>
      </c>
      <c r="D59" s="87" t="s">
        <v>41</v>
      </c>
      <c r="E59" s="89">
        <v>8</v>
      </c>
      <c r="F59" s="90">
        <v>16</v>
      </c>
      <c r="G59" s="92">
        <v>180.78</v>
      </c>
      <c r="H59" s="91">
        <f>F59*G59/1000</f>
        <v>2.8924799999999999</v>
      </c>
      <c r="I59" s="13">
        <f>F59/2*G59</f>
        <v>1446.24</v>
      </c>
      <c r="J59" s="24"/>
      <c r="L59" s="20"/>
      <c r="M59" s="21"/>
      <c r="N59" s="22"/>
    </row>
    <row r="60" spans="1:14" ht="15.75" customHeight="1">
      <c r="A60" s="45"/>
      <c r="B60" s="71" t="s">
        <v>43</v>
      </c>
      <c r="C60" s="71"/>
      <c r="D60" s="71"/>
      <c r="E60" s="71"/>
      <c r="F60" s="71"/>
      <c r="G60" s="71"/>
      <c r="H60" s="71"/>
      <c r="I60" s="37"/>
      <c r="J60" s="24"/>
      <c r="L60" s="20"/>
      <c r="M60" s="21"/>
      <c r="N60" s="22"/>
    </row>
    <row r="61" spans="1:14" ht="15.75" customHeight="1">
      <c r="A61" s="45">
        <v>14</v>
      </c>
      <c r="B61" s="87" t="s">
        <v>90</v>
      </c>
      <c r="C61" s="88" t="s">
        <v>25</v>
      </c>
      <c r="D61" s="62" t="s">
        <v>178</v>
      </c>
      <c r="E61" s="108">
        <v>200</v>
      </c>
      <c r="F61" s="109">
        <f>E61*12</f>
        <v>2400</v>
      </c>
      <c r="G61" s="64">
        <v>1.4</v>
      </c>
      <c r="H61" s="91">
        <f>G61*F61</f>
        <v>3360</v>
      </c>
      <c r="I61" s="13">
        <f>F61/12*G61</f>
        <v>280</v>
      </c>
      <c r="J61" s="24"/>
      <c r="L61" s="20"/>
      <c r="M61" s="21"/>
      <c r="N61" s="22"/>
    </row>
    <row r="62" spans="1:14" ht="15.75" hidden="1" customHeight="1">
      <c r="A62" s="45"/>
      <c r="B62" s="87" t="s">
        <v>44</v>
      </c>
      <c r="C62" s="88" t="s">
        <v>25</v>
      </c>
      <c r="D62" s="87" t="s">
        <v>53</v>
      </c>
      <c r="E62" s="89">
        <v>1640.4</v>
      </c>
      <c r="F62" s="90">
        <v>16.404</v>
      </c>
      <c r="G62" s="94">
        <v>739.61</v>
      </c>
      <c r="H62" s="91">
        <f>G62*F62/1000</f>
        <v>12.132562439999999</v>
      </c>
      <c r="I62" s="13">
        <v>0</v>
      </c>
      <c r="J62" s="24"/>
      <c r="L62" s="20"/>
      <c r="M62" s="21"/>
      <c r="N62" s="22"/>
    </row>
    <row r="63" spans="1:14" ht="15.75" hidden="1" customHeight="1">
      <c r="A63" s="45"/>
      <c r="B63" s="71" t="s">
        <v>45</v>
      </c>
      <c r="C63" s="17"/>
      <c r="D63" s="41"/>
      <c r="E63" s="41"/>
      <c r="F63" s="16"/>
      <c r="G63" s="30"/>
      <c r="H63" s="30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46</v>
      </c>
      <c r="C64" s="17" t="s">
        <v>113</v>
      </c>
      <c r="D64" s="15" t="s">
        <v>183</v>
      </c>
      <c r="E64" s="19">
        <v>40</v>
      </c>
      <c r="F64" s="78">
        <v>40</v>
      </c>
      <c r="G64" s="13">
        <v>222.4</v>
      </c>
      <c r="H64" s="73">
        <f t="shared" ref="H64:H71" si="6">SUM(F64*G64/1000)</f>
        <v>8.8960000000000008</v>
      </c>
      <c r="I64" s="13">
        <f>G64*3</f>
        <v>667.2</v>
      </c>
      <c r="J64" s="24"/>
      <c r="L64" s="20"/>
      <c r="M64" s="21"/>
      <c r="N64" s="22"/>
    </row>
    <row r="65" spans="1:21" ht="15.75" hidden="1" customHeight="1">
      <c r="A65" s="30">
        <v>29</v>
      </c>
      <c r="B65" s="15" t="s">
        <v>47</v>
      </c>
      <c r="C65" s="17" t="s">
        <v>113</v>
      </c>
      <c r="D65" s="15" t="s">
        <v>65</v>
      </c>
      <c r="E65" s="19">
        <v>15</v>
      </c>
      <c r="F65" s="78">
        <v>15</v>
      </c>
      <c r="G65" s="13">
        <v>76.25</v>
      </c>
      <c r="H65" s="73">
        <f t="shared" si="6"/>
        <v>1.14375</v>
      </c>
      <c r="I65" s="13">
        <v>0</v>
      </c>
      <c r="J65" s="24"/>
      <c r="L65" s="20"/>
      <c r="M65" s="21"/>
      <c r="N65" s="22"/>
    </row>
    <row r="66" spans="1:21" ht="15.75" hidden="1" customHeight="1">
      <c r="A66" s="30">
        <v>8</v>
      </c>
      <c r="B66" s="15" t="s">
        <v>48</v>
      </c>
      <c r="C66" s="17" t="s">
        <v>114</v>
      </c>
      <c r="D66" s="15" t="s">
        <v>53</v>
      </c>
      <c r="E66" s="77">
        <v>24648</v>
      </c>
      <c r="F66" s="13">
        <f>SUM(E66/100)</f>
        <v>246.48</v>
      </c>
      <c r="G66" s="13">
        <v>212.15</v>
      </c>
      <c r="H66" s="73">
        <f t="shared" si="6"/>
        <v>52.290731999999998</v>
      </c>
      <c r="I66" s="13">
        <v>0</v>
      </c>
      <c r="J66" s="24"/>
      <c r="L66" s="20"/>
      <c r="M66" s="21"/>
      <c r="N66" s="22"/>
    </row>
    <row r="67" spans="1:21" ht="15.75" hidden="1" customHeight="1">
      <c r="A67" s="30">
        <v>9</v>
      </c>
      <c r="B67" s="15" t="s">
        <v>49</v>
      </c>
      <c r="C67" s="17" t="s">
        <v>115</v>
      </c>
      <c r="D67" s="15"/>
      <c r="E67" s="77">
        <v>24648</v>
      </c>
      <c r="F67" s="13">
        <f>SUM(E67/1000)</f>
        <v>24.648</v>
      </c>
      <c r="G67" s="13">
        <v>165.21</v>
      </c>
      <c r="H67" s="73">
        <f t="shared" si="6"/>
        <v>4.0720960800000006</v>
      </c>
      <c r="I67" s="13">
        <v>0</v>
      </c>
      <c r="J67" s="24"/>
      <c r="L67" s="20"/>
      <c r="M67" s="21"/>
      <c r="N67" s="22"/>
    </row>
    <row r="68" spans="1:21" ht="15.75" hidden="1" customHeight="1">
      <c r="A68" s="30">
        <v>10</v>
      </c>
      <c r="B68" s="15" t="s">
        <v>50</v>
      </c>
      <c r="C68" s="17" t="s">
        <v>74</v>
      </c>
      <c r="D68" s="15" t="s">
        <v>53</v>
      </c>
      <c r="E68" s="77">
        <v>2730</v>
      </c>
      <c r="F68" s="13">
        <f>SUM(E68/100)</f>
        <v>27.3</v>
      </c>
      <c r="G68" s="13">
        <v>2074.63</v>
      </c>
      <c r="H68" s="73">
        <f t="shared" si="6"/>
        <v>56.637399000000002</v>
      </c>
      <c r="I68" s="13">
        <v>0</v>
      </c>
      <c r="J68" s="24"/>
      <c r="L68" s="20"/>
    </row>
    <row r="69" spans="1:21" ht="15.75" hidden="1" customHeight="1">
      <c r="A69" s="30">
        <v>11</v>
      </c>
      <c r="B69" s="95" t="s">
        <v>116</v>
      </c>
      <c r="C69" s="17" t="s">
        <v>33</v>
      </c>
      <c r="D69" s="15"/>
      <c r="E69" s="77">
        <v>20.28</v>
      </c>
      <c r="F69" s="13">
        <f>SUM(E69)</f>
        <v>20.28</v>
      </c>
      <c r="G69" s="13">
        <v>45.32</v>
      </c>
      <c r="H69" s="73">
        <f t="shared" si="6"/>
        <v>0.91908960000000006</v>
      </c>
      <c r="I69" s="13">
        <v>0</v>
      </c>
    </row>
    <row r="70" spans="1:21" ht="15.75" hidden="1" customHeight="1">
      <c r="A70" s="30">
        <v>12</v>
      </c>
      <c r="B70" s="95" t="s">
        <v>140</v>
      </c>
      <c r="C70" s="17" t="s">
        <v>33</v>
      </c>
      <c r="D70" s="15"/>
      <c r="E70" s="77">
        <v>20.28</v>
      </c>
      <c r="F70" s="13">
        <f>SUM(E70)</f>
        <v>20.28</v>
      </c>
      <c r="G70" s="13">
        <v>42.28</v>
      </c>
      <c r="H70" s="73">
        <f t="shared" si="6"/>
        <v>0.85743840000000016</v>
      </c>
      <c r="I70" s="13">
        <v>0</v>
      </c>
    </row>
    <row r="71" spans="1:21" ht="15.75" hidden="1" customHeight="1">
      <c r="A71" s="30">
        <v>13</v>
      </c>
      <c r="B71" s="15" t="s">
        <v>56</v>
      </c>
      <c r="C71" s="17" t="s">
        <v>57</v>
      </c>
      <c r="D71" s="15" t="s">
        <v>53</v>
      </c>
      <c r="E71" s="19">
        <v>12</v>
      </c>
      <c r="F71" s="78">
        <f>SUM(E71)</f>
        <v>12</v>
      </c>
      <c r="G71" s="13">
        <v>49.88</v>
      </c>
      <c r="H71" s="73">
        <f t="shared" si="6"/>
        <v>0.59856000000000009</v>
      </c>
      <c r="I71" s="13">
        <v>0</v>
      </c>
    </row>
    <row r="72" spans="1:21" ht="15.75" customHeight="1">
      <c r="A72" s="30"/>
      <c r="B72" s="135" t="s">
        <v>188</v>
      </c>
      <c r="C72" s="42"/>
      <c r="D72" s="41"/>
      <c r="E72" s="18"/>
      <c r="F72" s="136"/>
      <c r="G72" s="38"/>
      <c r="H72" s="73"/>
      <c r="I72" s="13"/>
    </row>
    <row r="73" spans="1:21" ht="32.25" customHeight="1">
      <c r="A73" s="30">
        <v>15</v>
      </c>
      <c r="B73" s="41" t="s">
        <v>189</v>
      </c>
      <c r="C73" s="45" t="s">
        <v>190</v>
      </c>
      <c r="D73" s="41"/>
      <c r="E73" s="18">
        <v>5926.8</v>
      </c>
      <c r="F73" s="38">
        <f>E73*12</f>
        <v>71121.600000000006</v>
      </c>
      <c r="G73" s="38">
        <v>2.4900000000000002</v>
      </c>
      <c r="H73" s="13"/>
      <c r="I73" s="13">
        <f>G73*F73/12</f>
        <v>14757.732000000004</v>
      </c>
    </row>
    <row r="74" spans="1:21" ht="18" customHeight="1">
      <c r="A74" s="30"/>
      <c r="B74" s="53" t="s">
        <v>71</v>
      </c>
      <c r="C74" s="53"/>
      <c r="D74" s="53"/>
      <c r="E74" s="53"/>
      <c r="F74" s="19"/>
      <c r="G74" s="30"/>
      <c r="H74" s="30"/>
      <c r="I74" s="19"/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1" ht="15.75" hidden="1" customHeight="1">
      <c r="A75" s="30"/>
      <c r="B75" s="15" t="s">
        <v>83</v>
      </c>
      <c r="C75" s="17" t="s">
        <v>31</v>
      </c>
      <c r="D75" s="15"/>
      <c r="E75" s="19">
        <v>2</v>
      </c>
      <c r="F75" s="78">
        <f>SUM(E75)</f>
        <v>2</v>
      </c>
      <c r="G75" s="13">
        <v>358.51</v>
      </c>
      <c r="H75" s="73">
        <f>SUM(F75*G75/1000)</f>
        <v>0.71701999999999999</v>
      </c>
      <c r="I75" s="13">
        <v>0</v>
      </c>
      <c r="J75" s="5"/>
      <c r="K75" s="5"/>
      <c r="L75" s="5"/>
      <c r="M75" s="5"/>
      <c r="N75" s="5"/>
      <c r="O75" s="5"/>
      <c r="P75" s="5"/>
      <c r="Q75" s="5"/>
      <c r="R75" s="178"/>
      <c r="S75" s="178"/>
      <c r="T75" s="178"/>
      <c r="U75" s="178"/>
    </row>
    <row r="76" spans="1:21" ht="15.75" hidden="1" customHeight="1">
      <c r="A76" s="30"/>
      <c r="B76" s="15" t="s">
        <v>72</v>
      </c>
      <c r="C76" s="17" t="s">
        <v>31</v>
      </c>
      <c r="D76" s="15"/>
      <c r="E76" s="19">
        <v>1</v>
      </c>
      <c r="F76" s="13">
        <v>1</v>
      </c>
      <c r="G76" s="13">
        <v>852.99</v>
      </c>
      <c r="H76" s="73">
        <f>F76*G76/1000</f>
        <v>0.85299000000000003</v>
      </c>
      <c r="I76" s="13">
        <v>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ht="29.25" customHeight="1">
      <c r="A77" s="30">
        <v>16</v>
      </c>
      <c r="B77" s="41" t="s">
        <v>191</v>
      </c>
      <c r="C77" s="42" t="s">
        <v>113</v>
      </c>
      <c r="D77" s="41" t="s">
        <v>179</v>
      </c>
      <c r="E77" s="18">
        <v>2</v>
      </c>
      <c r="F77" s="38">
        <f>E77*12</f>
        <v>24</v>
      </c>
      <c r="G77" s="38">
        <v>404</v>
      </c>
      <c r="H77" s="73"/>
      <c r="I77" s="13">
        <f>G77*F77/12</f>
        <v>808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ht="15.75" customHeight="1">
      <c r="A78" s="30"/>
      <c r="B78" s="41" t="s">
        <v>192</v>
      </c>
      <c r="C78" s="42" t="s">
        <v>113</v>
      </c>
      <c r="D78" s="41" t="s">
        <v>179</v>
      </c>
      <c r="E78" s="18">
        <v>1</v>
      </c>
      <c r="F78" s="38">
        <f>E78*12</f>
        <v>12</v>
      </c>
      <c r="G78" s="38">
        <v>1759</v>
      </c>
      <c r="H78" s="73"/>
      <c r="I78" s="13">
        <f>G78*F78/12</f>
        <v>1759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ht="15.75" hidden="1" customHeight="1">
      <c r="A79" s="30"/>
      <c r="B79" s="54" t="s">
        <v>73</v>
      </c>
      <c r="C79" s="42"/>
      <c r="D79" s="30"/>
      <c r="E79" s="30"/>
      <c r="F79" s="19"/>
      <c r="G79" s="38" t="s">
        <v>134</v>
      </c>
      <c r="H79" s="38"/>
      <c r="I79" s="19"/>
    </row>
    <row r="80" spans="1:21" ht="15.75" hidden="1" customHeight="1">
      <c r="A80" s="30">
        <v>39</v>
      </c>
      <c r="B80" s="56" t="s">
        <v>119</v>
      </c>
      <c r="C80" s="17" t="s">
        <v>74</v>
      </c>
      <c r="D80" s="15"/>
      <c r="E80" s="19"/>
      <c r="F80" s="13">
        <v>1.35</v>
      </c>
      <c r="G80" s="13">
        <v>2759.44</v>
      </c>
      <c r="H80" s="73">
        <f>SUM(F80*G80/1000)</f>
        <v>3.725244</v>
      </c>
      <c r="I80" s="13">
        <v>0</v>
      </c>
    </row>
    <row r="81" spans="1:9" ht="15.75" customHeight="1">
      <c r="A81" s="169" t="s">
        <v>152</v>
      </c>
      <c r="B81" s="170"/>
      <c r="C81" s="170"/>
      <c r="D81" s="170"/>
      <c r="E81" s="170"/>
      <c r="F81" s="170"/>
      <c r="G81" s="170"/>
      <c r="H81" s="170"/>
      <c r="I81" s="171"/>
    </row>
    <row r="82" spans="1:9" ht="15.75" customHeight="1">
      <c r="A82" s="30">
        <v>17</v>
      </c>
      <c r="B82" s="41" t="s">
        <v>120</v>
      </c>
      <c r="C82" s="42" t="s">
        <v>54</v>
      </c>
      <c r="D82" s="146"/>
      <c r="E82" s="38">
        <v>5926.8</v>
      </c>
      <c r="F82" s="38">
        <f>SUM(E82*12)</f>
        <v>71121.600000000006</v>
      </c>
      <c r="G82" s="38">
        <v>3.38</v>
      </c>
      <c r="H82" s="13">
        <f>SUM(F82*G82/1000)</f>
        <v>240.391008</v>
      </c>
      <c r="I82" s="13">
        <f>F82/12*G82</f>
        <v>20032.583999999999</v>
      </c>
    </row>
    <row r="83" spans="1:9" ht="31.5" customHeight="1">
      <c r="A83" s="30">
        <v>18</v>
      </c>
      <c r="B83" s="143" t="s">
        <v>193</v>
      </c>
      <c r="C83" s="137"/>
      <c r="D83" s="144"/>
      <c r="E83" s="145">
        <f>E82</f>
        <v>5926.8</v>
      </c>
      <c r="F83" s="139">
        <f>E83*12</f>
        <v>71121.600000000006</v>
      </c>
      <c r="G83" s="139">
        <v>3.05</v>
      </c>
      <c r="H83" s="130">
        <f>F83*G83/1000</f>
        <v>216.92088000000001</v>
      </c>
      <c r="I83" s="131">
        <f>F83/12*G83</f>
        <v>18076.739999999998</v>
      </c>
    </row>
    <row r="84" spans="1:9" ht="15.75" customHeight="1">
      <c r="A84" s="58"/>
      <c r="B84" s="43" t="s">
        <v>76</v>
      </c>
      <c r="C84" s="45"/>
      <c r="D84" s="16"/>
      <c r="E84" s="16"/>
      <c r="F84" s="16"/>
      <c r="G84" s="19"/>
      <c r="H84" s="19"/>
      <c r="I84" s="32">
        <f>I83+I82+I78+I77+I73+I61+I54+I43+I42+I41+I40+I39+I38+I27+I21+I20+I18+I17+I16</f>
        <v>92744.729056733311</v>
      </c>
    </row>
    <row r="85" spans="1:9" ht="15.75" customHeight="1">
      <c r="A85" s="172" t="s">
        <v>59</v>
      </c>
      <c r="B85" s="173"/>
      <c r="C85" s="173"/>
      <c r="D85" s="173"/>
      <c r="E85" s="173"/>
      <c r="F85" s="173"/>
      <c r="G85" s="173"/>
      <c r="H85" s="173"/>
      <c r="I85" s="174"/>
    </row>
    <row r="86" spans="1:9" ht="15.75" customHeight="1">
      <c r="A86" s="30">
        <v>19</v>
      </c>
      <c r="B86" s="97" t="s">
        <v>78</v>
      </c>
      <c r="C86" s="98" t="s">
        <v>113</v>
      </c>
      <c r="D86" s="46"/>
      <c r="E86" s="46"/>
      <c r="F86" s="46"/>
      <c r="G86" s="38">
        <v>215.85</v>
      </c>
      <c r="H86" s="46"/>
      <c r="I86" s="46">
        <f>G86*3</f>
        <v>647.54999999999995</v>
      </c>
    </row>
    <row r="87" spans="1:9" ht="35.25" customHeight="1">
      <c r="A87" s="30">
        <v>20</v>
      </c>
      <c r="B87" s="97" t="s">
        <v>158</v>
      </c>
      <c r="C87" s="98" t="s">
        <v>80</v>
      </c>
      <c r="D87" s="46" t="s">
        <v>255</v>
      </c>
      <c r="E87" s="46"/>
      <c r="F87" s="46"/>
      <c r="G87" s="38">
        <v>222.63</v>
      </c>
      <c r="H87" s="46"/>
      <c r="I87" s="30">
        <f>G87*2</f>
        <v>445.26</v>
      </c>
    </row>
    <row r="88" spans="1:9" ht="31.5" customHeight="1">
      <c r="A88" s="30">
        <v>21</v>
      </c>
      <c r="B88" s="97" t="s">
        <v>171</v>
      </c>
      <c r="C88" s="98" t="s">
        <v>167</v>
      </c>
      <c r="D88" s="45" t="s">
        <v>249</v>
      </c>
      <c r="E88" s="38"/>
      <c r="F88" s="38">
        <v>7</v>
      </c>
      <c r="G88" s="38">
        <v>1421.68</v>
      </c>
      <c r="H88" s="46"/>
      <c r="I88" s="30">
        <f>G88*3</f>
        <v>4265.04</v>
      </c>
    </row>
    <row r="89" spans="1:9" ht="15.75" customHeight="1">
      <c r="A89" s="30">
        <v>22</v>
      </c>
      <c r="B89" s="159" t="s">
        <v>159</v>
      </c>
      <c r="C89" s="98" t="s">
        <v>167</v>
      </c>
      <c r="D89" s="63" t="s">
        <v>332</v>
      </c>
      <c r="E89" s="38"/>
      <c r="F89" s="38">
        <v>11</v>
      </c>
      <c r="G89" s="38">
        <v>284</v>
      </c>
      <c r="H89" s="46"/>
      <c r="I89" s="46">
        <v>0</v>
      </c>
    </row>
    <row r="90" spans="1:9" ht="15.75" customHeight="1">
      <c r="A90" s="30">
        <v>23</v>
      </c>
      <c r="B90" s="97" t="s">
        <v>333</v>
      </c>
      <c r="C90" s="98" t="s">
        <v>80</v>
      </c>
      <c r="D90" s="42" t="s">
        <v>198</v>
      </c>
      <c r="E90" s="38"/>
      <c r="F90" s="38">
        <v>1</v>
      </c>
      <c r="G90" s="38">
        <v>269.91000000000003</v>
      </c>
      <c r="H90" s="46"/>
      <c r="I90" s="46">
        <v>0</v>
      </c>
    </row>
    <row r="91" spans="1:9" ht="33" customHeight="1">
      <c r="A91" s="30">
        <v>24</v>
      </c>
      <c r="B91" s="107" t="s">
        <v>162</v>
      </c>
      <c r="C91" s="45" t="s">
        <v>163</v>
      </c>
      <c r="D91" s="63"/>
      <c r="E91" s="38"/>
      <c r="F91" s="38">
        <v>0.2</v>
      </c>
      <c r="G91" s="38">
        <v>1873.58</v>
      </c>
      <c r="H91" s="46"/>
      <c r="I91" s="61">
        <f>G91*0.2</f>
        <v>374.71600000000001</v>
      </c>
    </row>
    <row r="92" spans="1:9" ht="15.75" customHeight="1">
      <c r="A92" s="30">
        <v>25</v>
      </c>
      <c r="B92" s="97" t="s">
        <v>197</v>
      </c>
      <c r="C92" s="98" t="s">
        <v>198</v>
      </c>
      <c r="D92" s="63"/>
      <c r="E92" s="38"/>
      <c r="F92" s="38">
        <v>1</v>
      </c>
      <c r="G92" s="38">
        <v>923.85</v>
      </c>
      <c r="H92" s="46"/>
      <c r="I92" s="46">
        <f>G92*1</f>
        <v>923.85</v>
      </c>
    </row>
    <row r="93" spans="1:9" ht="15.75" customHeight="1">
      <c r="A93" s="30">
        <v>26</v>
      </c>
      <c r="B93" s="97" t="s">
        <v>38</v>
      </c>
      <c r="C93" s="98" t="s">
        <v>250</v>
      </c>
      <c r="D93" s="63" t="s">
        <v>177</v>
      </c>
      <c r="E93" s="38"/>
      <c r="F93" s="38">
        <v>0.02</v>
      </c>
      <c r="G93" s="38">
        <v>8426.7199999999993</v>
      </c>
      <c r="H93" s="46"/>
      <c r="I93" s="163">
        <v>0</v>
      </c>
    </row>
    <row r="94" spans="1:9" ht="15.75" customHeight="1">
      <c r="A94" s="30"/>
      <c r="B94" s="50" t="s">
        <v>51</v>
      </c>
      <c r="C94" s="46"/>
      <c r="D94" s="59"/>
      <c r="E94" s="59"/>
      <c r="F94" s="46">
        <v>1</v>
      </c>
      <c r="G94" s="46"/>
      <c r="H94" s="46"/>
      <c r="I94" s="32">
        <f>SUM(I86:I93)</f>
        <v>6656.4160000000011</v>
      </c>
    </row>
    <row r="95" spans="1:9" ht="15.75" customHeight="1">
      <c r="A95" s="30"/>
      <c r="B95" s="56" t="s">
        <v>75</v>
      </c>
      <c r="C95" s="16"/>
      <c r="D95" s="16"/>
      <c r="E95" s="16"/>
      <c r="F95" s="47"/>
      <c r="G95" s="48"/>
      <c r="H95" s="48"/>
      <c r="I95" s="18">
        <v>0</v>
      </c>
    </row>
    <row r="96" spans="1:9" ht="15.75" customHeight="1">
      <c r="A96" s="60"/>
      <c r="B96" s="51" t="s">
        <v>141</v>
      </c>
      <c r="C96" s="36"/>
      <c r="D96" s="36"/>
      <c r="E96" s="36"/>
      <c r="F96" s="36"/>
      <c r="G96" s="36"/>
      <c r="H96" s="36"/>
      <c r="I96" s="49">
        <f>I84+I94</f>
        <v>99401.145056733309</v>
      </c>
    </row>
    <row r="97" spans="1:9" ht="15.75" customHeight="1">
      <c r="A97" s="188" t="s">
        <v>334</v>
      </c>
      <c r="B97" s="188"/>
      <c r="C97" s="188"/>
      <c r="D97" s="188"/>
      <c r="E97" s="188"/>
      <c r="F97" s="188"/>
      <c r="G97" s="188"/>
      <c r="H97" s="188"/>
      <c r="I97" s="188"/>
    </row>
    <row r="98" spans="1:9" ht="15.75" customHeight="1">
      <c r="A98" s="72"/>
      <c r="B98" s="180" t="s">
        <v>335</v>
      </c>
      <c r="C98" s="180"/>
      <c r="D98" s="180"/>
      <c r="E98" s="180"/>
      <c r="F98" s="180"/>
      <c r="G98" s="180"/>
      <c r="H98" s="75"/>
      <c r="I98" s="3"/>
    </row>
    <row r="99" spans="1:9" ht="15.75" customHeight="1">
      <c r="A99" s="67"/>
      <c r="B99" s="176" t="s">
        <v>6</v>
      </c>
      <c r="C99" s="176"/>
      <c r="D99" s="176"/>
      <c r="E99" s="176"/>
      <c r="F99" s="176"/>
      <c r="G99" s="176"/>
      <c r="H99" s="25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81" t="s">
        <v>7</v>
      </c>
      <c r="B101" s="181"/>
      <c r="C101" s="181"/>
      <c r="D101" s="181"/>
      <c r="E101" s="181"/>
      <c r="F101" s="181"/>
      <c r="G101" s="181"/>
      <c r="H101" s="181"/>
      <c r="I101" s="181"/>
    </row>
    <row r="102" spans="1:9" ht="15.75" customHeight="1">
      <c r="A102" s="181" t="s">
        <v>8</v>
      </c>
      <c r="B102" s="181"/>
      <c r="C102" s="181"/>
      <c r="D102" s="181"/>
      <c r="E102" s="181"/>
      <c r="F102" s="181"/>
      <c r="G102" s="181"/>
      <c r="H102" s="181"/>
      <c r="I102" s="181"/>
    </row>
    <row r="103" spans="1:9" ht="15.75" customHeight="1">
      <c r="A103" s="182" t="s">
        <v>60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 customHeight="1">
      <c r="A104" s="11"/>
    </row>
    <row r="105" spans="1:9" ht="15.75" customHeight="1">
      <c r="A105" s="183" t="s">
        <v>9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 customHeight="1">
      <c r="A106" s="4"/>
    </row>
    <row r="107" spans="1:9" ht="15.75" customHeight="1">
      <c r="B107" s="66" t="s">
        <v>10</v>
      </c>
      <c r="C107" s="175" t="s">
        <v>85</v>
      </c>
      <c r="D107" s="175"/>
      <c r="E107" s="175"/>
      <c r="F107" s="175"/>
      <c r="I107" s="69"/>
    </row>
    <row r="108" spans="1:9" ht="15.75" customHeight="1">
      <c r="A108" s="67"/>
      <c r="C108" s="176" t="s">
        <v>11</v>
      </c>
      <c r="D108" s="176"/>
      <c r="E108" s="176"/>
      <c r="F108" s="176"/>
      <c r="I108" s="68" t="s">
        <v>12</v>
      </c>
    </row>
    <row r="109" spans="1:9" ht="15.75" customHeight="1">
      <c r="A109" s="26"/>
      <c r="C109" s="12"/>
      <c r="D109" s="12"/>
      <c r="E109" s="12"/>
      <c r="G109" s="12"/>
      <c r="H109" s="12"/>
    </row>
    <row r="110" spans="1:9" ht="15.75" customHeight="1">
      <c r="B110" s="66" t="s">
        <v>13</v>
      </c>
      <c r="C110" s="177"/>
      <c r="D110" s="177"/>
      <c r="E110" s="177"/>
      <c r="F110" s="177"/>
      <c r="I110" s="69"/>
    </row>
    <row r="111" spans="1:9" ht="15.75" customHeight="1">
      <c r="A111" s="67"/>
      <c r="C111" s="178" t="s">
        <v>11</v>
      </c>
      <c r="D111" s="178"/>
      <c r="E111" s="178"/>
      <c r="F111" s="178"/>
      <c r="I111" s="68" t="s">
        <v>12</v>
      </c>
    </row>
    <row r="112" spans="1:9" ht="15.75" customHeight="1">
      <c r="A112" s="4" t="s">
        <v>14</v>
      </c>
    </row>
    <row r="113" spans="1:9">
      <c r="A113" s="179" t="s">
        <v>15</v>
      </c>
      <c r="B113" s="179"/>
      <c r="C113" s="179"/>
      <c r="D113" s="179"/>
      <c r="E113" s="179"/>
      <c r="F113" s="179"/>
      <c r="G113" s="179"/>
      <c r="H113" s="179"/>
      <c r="I113" s="179"/>
    </row>
    <row r="114" spans="1:9" ht="45" customHeight="1">
      <c r="A114" s="168" t="s">
        <v>16</v>
      </c>
      <c r="B114" s="168"/>
      <c r="C114" s="168"/>
      <c r="D114" s="168"/>
      <c r="E114" s="168"/>
      <c r="F114" s="168"/>
      <c r="G114" s="168"/>
      <c r="H114" s="168"/>
      <c r="I114" s="168"/>
    </row>
    <row r="115" spans="1:9" ht="30" customHeight="1">
      <c r="A115" s="168" t="s">
        <v>17</v>
      </c>
      <c r="B115" s="168"/>
      <c r="C115" s="168"/>
      <c r="D115" s="168"/>
      <c r="E115" s="168"/>
      <c r="F115" s="168"/>
      <c r="G115" s="168"/>
      <c r="H115" s="168"/>
      <c r="I115" s="168"/>
    </row>
    <row r="116" spans="1:9" ht="30" customHeight="1">
      <c r="A116" s="168" t="s">
        <v>21</v>
      </c>
      <c r="B116" s="168"/>
      <c r="C116" s="168"/>
      <c r="D116" s="168"/>
      <c r="E116" s="168"/>
      <c r="F116" s="168"/>
      <c r="G116" s="168"/>
      <c r="H116" s="168"/>
      <c r="I116" s="168"/>
    </row>
    <row r="117" spans="1:9" ht="15" customHeight="1">
      <c r="A117" s="168" t="s">
        <v>20</v>
      </c>
      <c r="B117" s="168"/>
      <c r="C117" s="168"/>
      <c r="D117" s="168"/>
      <c r="E117" s="168"/>
      <c r="F117" s="168"/>
      <c r="G117" s="168"/>
      <c r="H117" s="168"/>
      <c r="I117" s="168"/>
    </row>
  </sheetData>
  <autoFilter ref="I12:I70"/>
  <mergeCells count="29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75:U75"/>
    <mergeCell ref="C111:F111"/>
    <mergeCell ref="A85:I85"/>
    <mergeCell ref="A97:I97"/>
    <mergeCell ref="B98:G98"/>
    <mergeCell ref="B99:G99"/>
    <mergeCell ref="A101:I101"/>
    <mergeCell ref="A102:I102"/>
    <mergeCell ref="A103:I103"/>
    <mergeCell ref="A105:I105"/>
    <mergeCell ref="C107:F107"/>
    <mergeCell ref="C108:F108"/>
    <mergeCell ref="C110:F110"/>
    <mergeCell ref="A81:I81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4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5"/>
  <sheetViews>
    <sheetView topLeftCell="A81" workbookViewId="0">
      <selection activeCell="D98" sqref="D98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9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144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251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31">
        <v>43951</v>
      </c>
      <c r="J6" s="2"/>
      <c r="K6" s="2"/>
      <c r="L6" s="2"/>
      <c r="M6" s="2"/>
    </row>
    <row r="7" spans="1:13" ht="15.75" customHeight="1">
      <c r="B7" s="66"/>
      <c r="C7" s="66"/>
      <c r="D7" s="66"/>
      <c r="E7" s="66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186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175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7" si="0">SUM(F16*G16/1000)</f>
        <v>62.943028199999993</v>
      </c>
      <c r="I16" s="13">
        <f>F16/12*G16</f>
        <v>5245.2523499999998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176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F17/12*G17</f>
        <v>13987.339599999998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177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F18/18*1*G18</f>
        <v>5803.9207499999993</v>
      </c>
      <c r="J18" s="23"/>
      <c r="K18" s="8"/>
      <c r="L18" s="8"/>
      <c r="M18" s="8"/>
    </row>
    <row r="19" spans="1:13" ht="15.75" hidden="1" customHeight="1">
      <c r="A19" s="30"/>
      <c r="B19" s="76" t="s">
        <v>99</v>
      </c>
      <c r="C19" s="65" t="s">
        <v>100</v>
      </c>
      <c r="D19" s="76" t="s">
        <v>101</v>
      </c>
      <c r="E19" s="77">
        <v>38.4</v>
      </c>
      <c r="F19" s="78">
        <f>SUM(E19/10)</f>
        <v>3.84</v>
      </c>
      <c r="G19" s="78">
        <v>170.16</v>
      </c>
      <c r="H19" s="79">
        <f t="shared" si="0"/>
        <v>0.65341439999999995</v>
      </c>
      <c r="I19" s="13">
        <f>F19/2*G19</f>
        <v>326.7072</v>
      </c>
      <c r="J19" s="23"/>
      <c r="K19" s="8"/>
      <c r="L19" s="8"/>
      <c r="M19" s="8"/>
    </row>
    <row r="20" spans="1:13" ht="15.75" customHeight="1">
      <c r="A20" s="30">
        <v>4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5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hidden="1" customHeight="1">
      <c r="A22" s="30"/>
      <c r="B22" s="76" t="s">
        <v>102</v>
      </c>
      <c r="C22" s="65" t="s">
        <v>52</v>
      </c>
      <c r="D22" s="76" t="s">
        <v>101</v>
      </c>
      <c r="E22" s="77">
        <v>822.72</v>
      </c>
      <c r="F22" s="78">
        <f>SUM(E22/100)</f>
        <v>8.2271999999999998</v>
      </c>
      <c r="G22" s="78">
        <v>269.26</v>
      </c>
      <c r="H22" s="79">
        <f t="shared" si="0"/>
        <v>2.2152558719999997</v>
      </c>
      <c r="I22" s="13">
        <f>F22*G22</f>
        <v>2215.2558719999997</v>
      </c>
      <c r="J22" s="23"/>
      <c r="K22" s="8"/>
      <c r="L22" s="8"/>
      <c r="M22" s="8"/>
    </row>
    <row r="23" spans="1:13" ht="15.75" hidden="1" customHeight="1">
      <c r="A23" s="30"/>
      <c r="B23" s="76" t="s">
        <v>103</v>
      </c>
      <c r="C23" s="65" t="s">
        <v>52</v>
      </c>
      <c r="D23" s="76" t="s">
        <v>101</v>
      </c>
      <c r="E23" s="80">
        <v>96.6</v>
      </c>
      <c r="F23" s="78">
        <f>SUM(E23/100)</f>
        <v>0.96599999999999997</v>
      </c>
      <c r="G23" s="78">
        <v>44.29</v>
      </c>
      <c r="H23" s="79">
        <f t="shared" si="0"/>
        <v>4.2784139999999998E-2</v>
      </c>
      <c r="I23" s="13">
        <f>F23*G23</f>
        <v>42.784140000000001</v>
      </c>
      <c r="J23" s="23"/>
      <c r="K23" s="8"/>
      <c r="L23" s="8"/>
      <c r="M23" s="8"/>
    </row>
    <row r="24" spans="1:13" ht="15.75" hidden="1" customHeight="1">
      <c r="A24" s="30">
        <v>6</v>
      </c>
      <c r="B24" s="76" t="s">
        <v>95</v>
      </c>
      <c r="C24" s="65" t="s">
        <v>52</v>
      </c>
      <c r="D24" s="76" t="s">
        <v>178</v>
      </c>
      <c r="E24" s="81">
        <v>32</v>
      </c>
      <c r="F24" s="78">
        <f>32*12/1000</f>
        <v>0.38400000000000001</v>
      </c>
      <c r="G24" s="78">
        <v>389.42</v>
      </c>
      <c r="H24" s="79">
        <f>G24*F24/100</f>
        <v>1.4953728000000002</v>
      </c>
      <c r="I24" s="13">
        <f>F24/12*G24</f>
        <v>12.461440000000001</v>
      </c>
      <c r="J24" s="23"/>
      <c r="K24" s="8"/>
      <c r="L24" s="8"/>
      <c r="M24" s="8"/>
    </row>
    <row r="25" spans="1:13" ht="15.75" hidden="1" customHeight="1">
      <c r="A25" s="45">
        <v>6</v>
      </c>
      <c r="B25" s="76" t="s">
        <v>122</v>
      </c>
      <c r="C25" s="65" t="s">
        <v>52</v>
      </c>
      <c r="D25" s="76" t="s">
        <v>53</v>
      </c>
      <c r="E25" s="82">
        <v>38</v>
      </c>
      <c r="F25" s="78">
        <v>0.38</v>
      </c>
      <c r="G25" s="78">
        <v>216.12</v>
      </c>
      <c r="H25" s="79">
        <f>G25*F25/1000</f>
        <v>8.2125600000000007E-2</v>
      </c>
      <c r="I25" s="13">
        <f>F25*G25</f>
        <v>82.125600000000006</v>
      </c>
      <c r="J25" s="23"/>
      <c r="K25" s="8"/>
      <c r="L25" s="8"/>
      <c r="M25" s="8"/>
    </row>
    <row r="26" spans="1:13" ht="15.75" hidden="1" customHeight="1">
      <c r="A26" s="45">
        <v>7</v>
      </c>
      <c r="B26" s="76" t="s">
        <v>96</v>
      </c>
      <c r="C26" s="65" t="s">
        <v>52</v>
      </c>
      <c r="D26" s="76" t="s">
        <v>179</v>
      </c>
      <c r="E26" s="77">
        <v>17</v>
      </c>
      <c r="F26" s="78">
        <f>SUM(E26*12/100)</f>
        <v>2.04</v>
      </c>
      <c r="G26" s="78">
        <v>520.79999999999995</v>
      </c>
      <c r="H26" s="79">
        <f t="shared" si="0"/>
        <v>1.062432</v>
      </c>
      <c r="I26" s="13">
        <f>F26/12*G26</f>
        <v>88.536000000000001</v>
      </c>
      <c r="J26" s="23"/>
      <c r="K26" s="8"/>
      <c r="L26" s="8"/>
      <c r="M26" s="8"/>
    </row>
    <row r="27" spans="1:13" ht="15.75" customHeight="1">
      <c r="A27" s="45">
        <v>6</v>
      </c>
      <c r="B27" s="34" t="s">
        <v>174</v>
      </c>
      <c r="C27" s="44" t="s">
        <v>33</v>
      </c>
      <c r="D27" s="34" t="s">
        <v>182</v>
      </c>
      <c r="E27" s="125">
        <v>0.2</v>
      </c>
      <c r="F27" s="33">
        <f>E27*258</f>
        <v>51.6</v>
      </c>
      <c r="G27" s="33">
        <v>289.5</v>
      </c>
      <c r="H27" s="79">
        <f t="shared" si="0"/>
        <v>14.9382</v>
      </c>
      <c r="I27" s="13">
        <f>F27/12*G27</f>
        <v>1244.8499999999999</v>
      </c>
      <c r="J27" s="23"/>
      <c r="K27" s="8"/>
      <c r="L27" s="8"/>
      <c r="M27" s="8"/>
    </row>
    <row r="28" spans="1:13" ht="15.75" customHeight="1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  <c r="J28" s="23"/>
      <c r="K28" s="8"/>
      <c r="L28" s="8"/>
      <c r="M28" s="8"/>
    </row>
    <row r="29" spans="1:13" ht="15.75" hidden="1" customHeight="1">
      <c r="A29" s="45"/>
      <c r="B29" s="55" t="s">
        <v>28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76" t="s">
        <v>104</v>
      </c>
      <c r="C30" s="65" t="s">
        <v>105</v>
      </c>
      <c r="D30" s="76" t="s">
        <v>125</v>
      </c>
      <c r="E30" s="78">
        <v>2732.4</v>
      </c>
      <c r="F30" s="78">
        <f>SUM(E30*26/1000)</f>
        <v>71.042400000000015</v>
      </c>
      <c r="G30" s="78">
        <v>155.88999999999999</v>
      </c>
      <c r="H30" s="79">
        <f t="shared" ref="H30:H32" si="1">SUM(F30*G30/1000)</f>
        <v>11.074799736000001</v>
      </c>
      <c r="I30" s="13">
        <v>0</v>
      </c>
      <c r="J30" s="23"/>
      <c r="K30" s="8"/>
      <c r="L30" s="8"/>
      <c r="M30" s="8"/>
    </row>
    <row r="31" spans="1:13" ht="31.5" hidden="1" customHeight="1">
      <c r="A31" s="45">
        <v>3</v>
      </c>
      <c r="B31" s="76" t="s">
        <v>126</v>
      </c>
      <c r="C31" s="65" t="s">
        <v>105</v>
      </c>
      <c r="D31" s="76" t="s">
        <v>106</v>
      </c>
      <c r="E31" s="78">
        <v>547.85</v>
      </c>
      <c r="F31" s="78">
        <f>SUM(E31*78/1000)</f>
        <v>42.732300000000002</v>
      </c>
      <c r="G31" s="78">
        <v>258.63</v>
      </c>
      <c r="H31" s="79">
        <f t="shared" si="1"/>
        <v>11.051854749</v>
      </c>
      <c r="I31" s="13">
        <v>0</v>
      </c>
      <c r="J31" s="23"/>
      <c r="K31" s="8"/>
      <c r="L31" s="8"/>
      <c r="M31" s="8"/>
    </row>
    <row r="32" spans="1:13" ht="15.75" hidden="1" customHeight="1">
      <c r="A32" s="45">
        <v>4</v>
      </c>
      <c r="B32" s="76" t="s">
        <v>27</v>
      </c>
      <c r="C32" s="65" t="s">
        <v>105</v>
      </c>
      <c r="D32" s="76" t="s">
        <v>53</v>
      </c>
      <c r="E32" s="78">
        <v>2732.4</v>
      </c>
      <c r="F32" s="78">
        <f>SUM(E32/1000)</f>
        <v>2.7324000000000002</v>
      </c>
      <c r="G32" s="78">
        <v>3020.33</v>
      </c>
      <c r="H32" s="79">
        <f t="shared" si="1"/>
        <v>8.2527496920000001</v>
      </c>
      <c r="I32" s="13">
        <v>0</v>
      </c>
      <c r="J32" s="23"/>
      <c r="K32" s="8"/>
      <c r="L32" s="8"/>
      <c r="M32" s="8"/>
    </row>
    <row r="33" spans="1:14" ht="15.75" hidden="1" customHeight="1">
      <c r="A33" s="45"/>
      <c r="B33" s="76" t="s">
        <v>124</v>
      </c>
      <c r="C33" s="65" t="s">
        <v>39</v>
      </c>
      <c r="D33" s="76" t="s">
        <v>62</v>
      </c>
      <c r="E33" s="78">
        <v>8</v>
      </c>
      <c r="F33" s="78">
        <v>12.4</v>
      </c>
      <c r="G33" s="78">
        <v>1302.02</v>
      </c>
      <c r="H33" s="79">
        <v>16.145</v>
      </c>
      <c r="I33" s="13">
        <v>0</v>
      </c>
      <c r="J33" s="23"/>
      <c r="K33" s="8"/>
      <c r="L33" s="8"/>
      <c r="M33" s="8"/>
    </row>
    <row r="34" spans="1:14" ht="15.75" hidden="1" customHeight="1">
      <c r="A34" s="45">
        <v>5</v>
      </c>
      <c r="B34" s="76" t="s">
        <v>139</v>
      </c>
      <c r="C34" s="65" t="s">
        <v>31</v>
      </c>
      <c r="D34" s="76" t="s">
        <v>62</v>
      </c>
      <c r="E34" s="84">
        <v>1</v>
      </c>
      <c r="F34" s="78">
        <v>155</v>
      </c>
      <c r="G34" s="78">
        <v>56.69</v>
      </c>
      <c r="H34" s="79">
        <f>SUM(G34*155/1000)</f>
        <v>8.7869499999999992</v>
      </c>
      <c r="I34" s="13">
        <v>0</v>
      </c>
      <c r="J34" s="23"/>
      <c r="K34" s="8"/>
      <c r="L34" s="8"/>
      <c r="M34" s="8"/>
    </row>
    <row r="35" spans="1:14" ht="15.75" hidden="1" customHeight="1">
      <c r="A35" s="45">
        <v>4</v>
      </c>
      <c r="B35" s="76" t="s">
        <v>63</v>
      </c>
      <c r="C35" s="65" t="s">
        <v>33</v>
      </c>
      <c r="D35" s="76" t="s">
        <v>65</v>
      </c>
      <c r="E35" s="77"/>
      <c r="F35" s="78">
        <v>2</v>
      </c>
      <c r="G35" s="78">
        <v>191.32</v>
      </c>
      <c r="H35" s="79">
        <f t="shared" ref="H35:H36" si="2">SUM(F35*G35/1000)</f>
        <v>0.38263999999999998</v>
      </c>
      <c r="I35" s="13">
        <v>0</v>
      </c>
      <c r="J35" s="23"/>
      <c r="K35" s="8"/>
    </row>
    <row r="36" spans="1:14" ht="15.75" hidden="1" customHeight="1">
      <c r="A36" s="30">
        <v>8</v>
      </c>
      <c r="B36" s="76" t="s">
        <v>64</v>
      </c>
      <c r="C36" s="65" t="s">
        <v>32</v>
      </c>
      <c r="D36" s="76" t="s">
        <v>65</v>
      </c>
      <c r="E36" s="77"/>
      <c r="F36" s="78">
        <v>3</v>
      </c>
      <c r="G36" s="78">
        <v>1136.32</v>
      </c>
      <c r="H36" s="79">
        <f t="shared" si="2"/>
        <v>3.40896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customHeight="1">
      <c r="A38" s="35">
        <v>7</v>
      </c>
      <c r="B38" s="76" t="s">
        <v>26</v>
      </c>
      <c r="C38" s="65" t="s">
        <v>32</v>
      </c>
      <c r="D38" s="76" t="s">
        <v>252</v>
      </c>
      <c r="E38" s="77"/>
      <c r="F38" s="78">
        <v>15</v>
      </c>
      <c r="G38" s="33">
        <v>1855</v>
      </c>
      <c r="H38" s="79">
        <f>SUM(F38*G38/1000)</f>
        <v>27.824999999999999</v>
      </c>
      <c r="I38" s="13">
        <f>G38*1</f>
        <v>1855</v>
      </c>
      <c r="J38" s="24"/>
    </row>
    <row r="39" spans="1:14" ht="15.75" customHeight="1">
      <c r="A39" s="35">
        <v>8</v>
      </c>
      <c r="B39" s="152" t="s">
        <v>66</v>
      </c>
      <c r="C39" s="153" t="s">
        <v>29</v>
      </c>
      <c r="D39" s="152" t="s">
        <v>205</v>
      </c>
      <c r="E39" s="155">
        <v>214.34</v>
      </c>
      <c r="F39" s="155">
        <f>SUM(E39*30/1000)</f>
        <v>6.4302000000000001</v>
      </c>
      <c r="G39" s="155">
        <v>3014.36</v>
      </c>
      <c r="H39" s="79">
        <f t="shared" ref="H39:H43" si="3">SUM(F39*G39/1000)</f>
        <v>19.382937672000001</v>
      </c>
      <c r="I39" s="13">
        <f t="shared" ref="I39:I40" si="4">F39/6*G39</f>
        <v>3230.4896120000003</v>
      </c>
      <c r="J39" s="24"/>
    </row>
    <row r="40" spans="1:14" ht="15.75" customHeight="1">
      <c r="A40" s="35">
        <v>9</v>
      </c>
      <c r="B40" s="34" t="s">
        <v>67</v>
      </c>
      <c r="C40" s="44" t="s">
        <v>29</v>
      </c>
      <c r="D40" s="34" t="s">
        <v>181</v>
      </c>
      <c r="E40" s="33">
        <v>214.34</v>
      </c>
      <c r="F40" s="155">
        <f>SUM(E40*155/1000)</f>
        <v>33.222699999999996</v>
      </c>
      <c r="G40" s="33">
        <v>502.82</v>
      </c>
      <c r="H40" s="79">
        <f t="shared" si="3"/>
        <v>16.705038013999999</v>
      </c>
      <c r="I40" s="13">
        <f t="shared" si="4"/>
        <v>2784.173002333333</v>
      </c>
      <c r="J40" s="24"/>
    </row>
    <row r="41" spans="1:14" ht="31.5" customHeight="1">
      <c r="A41" s="35">
        <v>10</v>
      </c>
      <c r="B41" s="34" t="s">
        <v>79</v>
      </c>
      <c r="C41" s="44" t="s">
        <v>105</v>
      </c>
      <c r="D41" s="34" t="s">
        <v>205</v>
      </c>
      <c r="E41" s="33">
        <v>86.04</v>
      </c>
      <c r="F41" s="155">
        <f>SUM(E41*30/1000)</f>
        <v>2.5812000000000004</v>
      </c>
      <c r="G41" s="33">
        <v>8319.2999999999993</v>
      </c>
      <c r="H41" s="79">
        <f t="shared" si="3"/>
        <v>21.473777160000001</v>
      </c>
      <c r="I41" s="13">
        <f>F41/6*G41</f>
        <v>3578.9628600000005</v>
      </c>
      <c r="J41" s="24"/>
    </row>
    <row r="42" spans="1:14" ht="15.75" hidden="1" customHeight="1">
      <c r="A42" s="35">
        <v>13</v>
      </c>
      <c r="B42" s="34" t="s">
        <v>110</v>
      </c>
      <c r="C42" s="44" t="s">
        <v>105</v>
      </c>
      <c r="D42" s="34" t="s">
        <v>248</v>
      </c>
      <c r="E42" s="33">
        <v>214.34</v>
      </c>
      <c r="F42" s="155">
        <f>SUM(E42*30/1000)</f>
        <v>6.4302000000000001</v>
      </c>
      <c r="G42" s="33">
        <v>614.55999999999995</v>
      </c>
      <c r="H42" s="79">
        <f t="shared" si="3"/>
        <v>3.9517437119999999</v>
      </c>
      <c r="I42" s="13">
        <f>G42*F42/30</f>
        <v>131.72479039999999</v>
      </c>
      <c r="J42" s="24"/>
    </row>
    <row r="43" spans="1:14" ht="15.75" hidden="1" customHeight="1">
      <c r="A43" s="158">
        <v>14</v>
      </c>
      <c r="B43" s="152" t="s">
        <v>69</v>
      </c>
      <c r="C43" s="153" t="s">
        <v>33</v>
      </c>
      <c r="D43" s="152"/>
      <c r="E43" s="154"/>
      <c r="F43" s="155">
        <v>0.9</v>
      </c>
      <c r="G43" s="155">
        <v>800</v>
      </c>
      <c r="H43" s="79">
        <f t="shared" si="3"/>
        <v>0.72</v>
      </c>
      <c r="I43" s="13">
        <f>G43*F43/30</f>
        <v>24</v>
      </c>
      <c r="J43" s="24"/>
      <c r="L43" s="20"/>
      <c r="M43" s="21"/>
      <c r="N43" s="22"/>
    </row>
    <row r="44" spans="1:14" ht="33.75" customHeight="1">
      <c r="A44" s="35">
        <v>11</v>
      </c>
      <c r="B44" s="152" t="s">
        <v>204</v>
      </c>
      <c r="C44" s="153" t="s">
        <v>105</v>
      </c>
      <c r="D44" s="152" t="s">
        <v>177</v>
      </c>
      <c r="E44" s="154">
        <v>1.2</v>
      </c>
      <c r="F44" s="155">
        <f>E44*12/1000</f>
        <v>1.4399999999999998E-2</v>
      </c>
      <c r="G44" s="155">
        <v>19757.060000000001</v>
      </c>
      <c r="H44" s="150"/>
      <c r="I44" s="151">
        <f>G44*F44/6</f>
        <v>47.416944000000001</v>
      </c>
      <c r="J44" s="24"/>
      <c r="L44" s="20"/>
      <c r="M44" s="21"/>
      <c r="N44" s="22"/>
    </row>
    <row r="45" spans="1:14" ht="15.75" customHeight="1">
      <c r="A45" s="185" t="s">
        <v>136</v>
      </c>
      <c r="B45" s="186"/>
      <c r="C45" s="186"/>
      <c r="D45" s="186"/>
      <c r="E45" s="186"/>
      <c r="F45" s="186"/>
      <c r="G45" s="186"/>
      <c r="H45" s="186"/>
      <c r="I45" s="187"/>
      <c r="J45" s="24"/>
      <c r="L45" s="20"/>
      <c r="M45" s="21"/>
      <c r="N45" s="22"/>
    </row>
    <row r="46" spans="1:14" ht="33.75" hidden="1" customHeight="1">
      <c r="A46" s="35">
        <v>16</v>
      </c>
      <c r="B46" s="34" t="s">
        <v>112</v>
      </c>
      <c r="C46" s="44" t="s">
        <v>105</v>
      </c>
      <c r="D46" s="34" t="s">
        <v>41</v>
      </c>
      <c r="E46" s="77"/>
      <c r="F46" s="33">
        <f>SUM(E46*2/1000)</f>
        <v>0</v>
      </c>
      <c r="G46" s="38">
        <v>1213.55</v>
      </c>
      <c r="H46" s="79"/>
      <c r="I46" s="13">
        <f>3.2808*G46</f>
        <v>3981.4148399999999</v>
      </c>
      <c r="J46" s="24"/>
      <c r="L46" s="20"/>
      <c r="M46" s="21"/>
      <c r="N46" s="22"/>
    </row>
    <row r="47" spans="1:14" ht="32.25" hidden="1" customHeight="1">
      <c r="A47" s="35">
        <v>17</v>
      </c>
      <c r="B47" s="34" t="s">
        <v>128</v>
      </c>
      <c r="C47" s="44" t="s">
        <v>37</v>
      </c>
      <c r="D47" s="34" t="s">
        <v>41</v>
      </c>
      <c r="E47" s="77"/>
      <c r="F47" s="33">
        <f>SUM(E47*2/100)</f>
        <v>0</v>
      </c>
      <c r="G47" s="38">
        <v>2730.49</v>
      </c>
      <c r="H47" s="79"/>
      <c r="I47" s="13">
        <f>0.8/2*G47</f>
        <v>1092.1959999999999</v>
      </c>
      <c r="J47" s="24"/>
      <c r="L47" s="20"/>
      <c r="M47" s="21"/>
      <c r="N47" s="22"/>
    </row>
    <row r="48" spans="1:14" ht="25.5" hidden="1" customHeight="1">
      <c r="A48" s="45">
        <v>18</v>
      </c>
      <c r="B48" s="76" t="s">
        <v>38</v>
      </c>
      <c r="C48" s="65" t="s">
        <v>39</v>
      </c>
      <c r="D48" s="76" t="s">
        <v>41</v>
      </c>
      <c r="E48" s="77">
        <v>1</v>
      </c>
      <c r="F48" s="121">
        <v>0.02</v>
      </c>
      <c r="G48" s="120">
        <v>5652.13</v>
      </c>
      <c r="H48" s="79">
        <f t="shared" ref="H48:H49" si="5">SUM(F48*G48/1000)</f>
        <v>0.11304260000000001</v>
      </c>
      <c r="I48" s="13">
        <f>F48/2*G48</f>
        <v>56.521300000000004</v>
      </c>
      <c r="J48" s="24"/>
      <c r="L48" s="20"/>
      <c r="M48" s="21"/>
      <c r="N48" s="22"/>
    </row>
    <row r="49" spans="1:14" ht="17.25" customHeight="1">
      <c r="A49" s="45">
        <v>12</v>
      </c>
      <c r="B49" s="76" t="s">
        <v>40</v>
      </c>
      <c r="C49" s="65" t="s">
        <v>113</v>
      </c>
      <c r="D49" s="126">
        <v>43938</v>
      </c>
      <c r="E49" s="77">
        <v>238</v>
      </c>
      <c r="F49" s="78">
        <f>SUM(E49)*3</f>
        <v>714</v>
      </c>
      <c r="G49" s="164">
        <v>87.32</v>
      </c>
      <c r="H49" s="79">
        <f t="shared" si="5"/>
        <v>62.346479999999993</v>
      </c>
      <c r="I49" s="13">
        <f>E49*G49</f>
        <v>20782.16</v>
      </c>
      <c r="J49" s="24"/>
      <c r="L49" s="20"/>
      <c r="M49" s="21"/>
      <c r="N49" s="22"/>
    </row>
    <row r="50" spans="1:14" ht="15.75" customHeight="1">
      <c r="A50" s="185" t="s">
        <v>137</v>
      </c>
      <c r="B50" s="186"/>
      <c r="C50" s="186"/>
      <c r="D50" s="186"/>
      <c r="E50" s="186"/>
      <c r="F50" s="186"/>
      <c r="G50" s="186"/>
      <c r="H50" s="186"/>
      <c r="I50" s="187"/>
      <c r="J50" s="24"/>
      <c r="L50" s="20"/>
      <c r="M50" s="21"/>
      <c r="N50" s="22"/>
    </row>
    <row r="51" spans="1:14" ht="15.75" hidden="1" customHeight="1">
      <c r="A51" s="58"/>
      <c r="B51" s="52" t="s">
        <v>42</v>
      </c>
      <c r="C51" s="17"/>
      <c r="D51" s="16"/>
      <c r="E51" s="16"/>
      <c r="F51" s="16"/>
      <c r="G51" s="30"/>
      <c r="H51" s="30"/>
      <c r="I51" s="19"/>
      <c r="J51" s="24"/>
      <c r="L51" s="20"/>
      <c r="M51" s="21"/>
      <c r="N51" s="22"/>
    </row>
    <row r="52" spans="1:14" ht="15.75" hidden="1" customHeight="1">
      <c r="A52" s="45">
        <v>15</v>
      </c>
      <c r="B52" s="76" t="s">
        <v>130</v>
      </c>
      <c r="C52" s="65" t="s">
        <v>98</v>
      </c>
      <c r="D52" s="76" t="s">
        <v>53</v>
      </c>
      <c r="E52" s="85">
        <v>1640.4</v>
      </c>
      <c r="F52" s="13">
        <f>E52/100</f>
        <v>16.404</v>
      </c>
      <c r="G52" s="78">
        <v>472.59</v>
      </c>
      <c r="H52" s="79">
        <f>SUM(F52*G52/1000)</f>
        <v>7.7523663599999999</v>
      </c>
      <c r="I52" s="13">
        <v>0</v>
      </c>
      <c r="J52" s="24"/>
      <c r="L52" s="20"/>
      <c r="M52" s="21"/>
      <c r="N52" s="22"/>
    </row>
    <row r="53" spans="1:14" ht="31.5" hidden="1" customHeight="1">
      <c r="A53" s="45">
        <v>19</v>
      </c>
      <c r="B53" s="76" t="s">
        <v>131</v>
      </c>
      <c r="C53" s="65" t="s">
        <v>98</v>
      </c>
      <c r="D53" s="76" t="s">
        <v>132</v>
      </c>
      <c r="E53" s="77">
        <v>164.04</v>
      </c>
      <c r="F53" s="13">
        <f>E53*6/100</f>
        <v>9.8423999999999996</v>
      </c>
      <c r="G53" s="86">
        <v>1547.28</v>
      </c>
      <c r="H53" s="79">
        <f>F53*G53/1000</f>
        <v>15.228948671999998</v>
      </c>
      <c r="I53" s="13">
        <f>G53*1.08</f>
        <v>1671.0624</v>
      </c>
      <c r="J53" s="24"/>
      <c r="L53" s="20"/>
      <c r="M53" s="21"/>
      <c r="N53" s="22"/>
    </row>
    <row r="54" spans="1:14" ht="15.75" hidden="1" customHeight="1">
      <c r="A54" s="45">
        <v>16</v>
      </c>
      <c r="B54" s="87" t="s">
        <v>89</v>
      </c>
      <c r="C54" s="88" t="s">
        <v>98</v>
      </c>
      <c r="D54" s="87" t="s">
        <v>177</v>
      </c>
      <c r="E54" s="89">
        <v>8</v>
      </c>
      <c r="F54" s="90">
        <f>E54*8/100</f>
        <v>0.64</v>
      </c>
      <c r="G54" s="86">
        <v>1547.28</v>
      </c>
      <c r="H54" s="91">
        <f>F54*G54/1000</f>
        <v>0.99025920000000001</v>
      </c>
      <c r="I54" s="13">
        <f>F54/6*G54</f>
        <v>165.04320000000001</v>
      </c>
      <c r="J54" s="24"/>
      <c r="L54" s="20"/>
      <c r="M54" s="21"/>
      <c r="N54" s="22"/>
    </row>
    <row r="55" spans="1:14" ht="15.75" hidden="1" customHeight="1">
      <c r="A55" s="45"/>
      <c r="B55" s="87" t="s">
        <v>93</v>
      </c>
      <c r="C55" s="88" t="s">
        <v>94</v>
      </c>
      <c r="D55" s="87" t="s">
        <v>41</v>
      </c>
      <c r="E55" s="89">
        <v>8</v>
      </c>
      <c r="F55" s="90">
        <v>16</v>
      </c>
      <c r="G55" s="92">
        <v>180.78</v>
      </c>
      <c r="H55" s="91">
        <f>F55*G55/1000</f>
        <v>2.8924799999999999</v>
      </c>
      <c r="I55" s="13">
        <v>0</v>
      </c>
      <c r="J55" s="24"/>
      <c r="L55" s="20"/>
      <c r="M55" s="21"/>
      <c r="N55" s="22"/>
    </row>
    <row r="56" spans="1:14" ht="15.75" customHeight="1">
      <c r="A56" s="45"/>
      <c r="B56" s="71" t="s">
        <v>43</v>
      </c>
      <c r="C56" s="71"/>
      <c r="D56" s="71"/>
      <c r="E56" s="71"/>
      <c r="F56" s="71"/>
      <c r="G56" s="71"/>
      <c r="H56" s="71"/>
      <c r="I56" s="37"/>
      <c r="J56" s="24"/>
      <c r="L56" s="20"/>
      <c r="M56" s="21"/>
      <c r="N56" s="22"/>
    </row>
    <row r="57" spans="1:14" ht="15.75" customHeight="1">
      <c r="A57" s="45">
        <v>13</v>
      </c>
      <c r="B57" s="87" t="s">
        <v>90</v>
      </c>
      <c r="C57" s="88" t="s">
        <v>25</v>
      </c>
      <c r="D57" s="87" t="s">
        <v>178</v>
      </c>
      <c r="E57" s="89">
        <v>329.4</v>
      </c>
      <c r="F57" s="90">
        <f>E57*12</f>
        <v>3952.7999999999997</v>
      </c>
      <c r="G57" s="93">
        <v>1.4</v>
      </c>
      <c r="H57" s="91">
        <f>G57*F57</f>
        <v>5533.9199999999992</v>
      </c>
      <c r="I57" s="13">
        <f>2400/12*G57</f>
        <v>280</v>
      </c>
      <c r="J57" s="24"/>
      <c r="L57" s="20"/>
      <c r="M57" s="21"/>
      <c r="N57" s="22"/>
    </row>
    <row r="58" spans="1:14" ht="15.75" hidden="1" customHeight="1">
      <c r="A58" s="45"/>
      <c r="B58" s="87" t="s">
        <v>44</v>
      </c>
      <c r="C58" s="88" t="s">
        <v>25</v>
      </c>
      <c r="D58" s="87" t="s">
        <v>53</v>
      </c>
      <c r="E58" s="89">
        <v>1640.4</v>
      </c>
      <c r="F58" s="90">
        <v>16.404</v>
      </c>
      <c r="G58" s="94">
        <v>739.61</v>
      </c>
      <c r="H58" s="91">
        <f>G58*F58/1000</f>
        <v>12.132562439999999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1" t="s">
        <v>45</v>
      </c>
      <c r="C59" s="17"/>
      <c r="D59" s="41"/>
      <c r="E59" s="41"/>
      <c r="F59" s="16"/>
      <c r="G59" s="30"/>
      <c r="H59" s="30"/>
      <c r="I59" s="19"/>
      <c r="J59" s="24"/>
      <c r="L59" s="20"/>
      <c r="M59" s="21"/>
      <c r="N59" s="22"/>
    </row>
    <row r="60" spans="1:14" ht="15.75" hidden="1" customHeight="1">
      <c r="A60" s="45">
        <v>21</v>
      </c>
      <c r="B60" s="15" t="s">
        <v>46</v>
      </c>
      <c r="C60" s="17" t="s">
        <v>113</v>
      </c>
      <c r="D60" s="15" t="s">
        <v>65</v>
      </c>
      <c r="E60" s="19">
        <v>40</v>
      </c>
      <c r="F60" s="78">
        <v>40</v>
      </c>
      <c r="G60" s="13">
        <v>222.4</v>
      </c>
      <c r="H60" s="73">
        <f t="shared" ref="H60:H67" si="6">SUM(F60*G60/1000)</f>
        <v>8.8960000000000008</v>
      </c>
      <c r="I60" s="13">
        <f>G60</f>
        <v>222.4</v>
      </c>
      <c r="J60" s="24"/>
      <c r="L60" s="20"/>
      <c r="M60" s="21"/>
      <c r="N60" s="22"/>
    </row>
    <row r="61" spans="1:14" ht="15.75" hidden="1" customHeight="1">
      <c r="A61" s="30">
        <v>29</v>
      </c>
      <c r="B61" s="15" t="s">
        <v>47</v>
      </c>
      <c r="C61" s="17" t="s">
        <v>113</v>
      </c>
      <c r="D61" s="15" t="s">
        <v>65</v>
      </c>
      <c r="E61" s="19">
        <v>15</v>
      </c>
      <c r="F61" s="78">
        <v>15</v>
      </c>
      <c r="G61" s="13">
        <v>76.25</v>
      </c>
      <c r="H61" s="73">
        <f t="shared" si="6"/>
        <v>1.14375</v>
      </c>
      <c r="I61" s="13">
        <v>0</v>
      </c>
      <c r="J61" s="24"/>
      <c r="L61" s="20"/>
      <c r="M61" s="21"/>
      <c r="N61" s="22"/>
    </row>
    <row r="62" spans="1:14" ht="15.75" hidden="1" customHeight="1">
      <c r="A62" s="30">
        <v>8</v>
      </c>
      <c r="B62" s="15" t="s">
        <v>48</v>
      </c>
      <c r="C62" s="17" t="s">
        <v>114</v>
      </c>
      <c r="D62" s="15" t="s">
        <v>53</v>
      </c>
      <c r="E62" s="77">
        <v>24648</v>
      </c>
      <c r="F62" s="13">
        <f>SUM(E62/100)</f>
        <v>246.48</v>
      </c>
      <c r="G62" s="13">
        <v>212.15</v>
      </c>
      <c r="H62" s="73">
        <f t="shared" si="6"/>
        <v>52.290731999999998</v>
      </c>
      <c r="I62" s="13">
        <v>0</v>
      </c>
      <c r="J62" s="24"/>
      <c r="L62" s="20"/>
      <c r="M62" s="21"/>
      <c r="N62" s="22"/>
    </row>
    <row r="63" spans="1:14" ht="15.75" hidden="1" customHeight="1">
      <c r="A63" s="30">
        <v>9</v>
      </c>
      <c r="B63" s="15" t="s">
        <v>49</v>
      </c>
      <c r="C63" s="17" t="s">
        <v>115</v>
      </c>
      <c r="D63" s="15"/>
      <c r="E63" s="77">
        <v>24648</v>
      </c>
      <c r="F63" s="13">
        <f>SUM(E63/1000)</f>
        <v>24.648</v>
      </c>
      <c r="G63" s="13">
        <v>165.21</v>
      </c>
      <c r="H63" s="73">
        <f t="shared" si="6"/>
        <v>4.0720960800000006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10</v>
      </c>
      <c r="B64" s="15" t="s">
        <v>50</v>
      </c>
      <c r="C64" s="17" t="s">
        <v>74</v>
      </c>
      <c r="D64" s="15" t="s">
        <v>53</v>
      </c>
      <c r="E64" s="77">
        <v>2730</v>
      </c>
      <c r="F64" s="13">
        <f>SUM(E64/100)</f>
        <v>27.3</v>
      </c>
      <c r="G64" s="13">
        <v>2074.63</v>
      </c>
      <c r="H64" s="73">
        <f t="shared" si="6"/>
        <v>56.637399000000002</v>
      </c>
      <c r="I64" s="13">
        <v>0</v>
      </c>
      <c r="J64" s="24"/>
      <c r="L64" s="20"/>
    </row>
    <row r="65" spans="1:22" ht="15.75" hidden="1" customHeight="1">
      <c r="A65" s="30">
        <v>11</v>
      </c>
      <c r="B65" s="95" t="s">
        <v>116</v>
      </c>
      <c r="C65" s="17" t="s">
        <v>33</v>
      </c>
      <c r="D65" s="15"/>
      <c r="E65" s="77">
        <v>20.28</v>
      </c>
      <c r="F65" s="13">
        <f>SUM(E65)</f>
        <v>20.28</v>
      </c>
      <c r="G65" s="13">
        <v>45.32</v>
      </c>
      <c r="H65" s="73">
        <f t="shared" si="6"/>
        <v>0.91908960000000006</v>
      </c>
      <c r="I65" s="13">
        <v>0</v>
      </c>
    </row>
    <row r="66" spans="1:22" ht="15.75" hidden="1" customHeight="1">
      <c r="A66" s="30">
        <v>12</v>
      </c>
      <c r="B66" s="95" t="s">
        <v>140</v>
      </c>
      <c r="C66" s="17" t="s">
        <v>33</v>
      </c>
      <c r="D66" s="15"/>
      <c r="E66" s="77">
        <v>20.28</v>
      </c>
      <c r="F66" s="13">
        <f>SUM(E66)</f>
        <v>20.28</v>
      </c>
      <c r="G66" s="13">
        <v>42.28</v>
      </c>
      <c r="H66" s="73">
        <f t="shared" si="6"/>
        <v>0.85743840000000016</v>
      </c>
      <c r="I66" s="13">
        <v>0</v>
      </c>
    </row>
    <row r="67" spans="1:22" ht="15.75" hidden="1" customHeight="1">
      <c r="A67" s="30">
        <v>13</v>
      </c>
      <c r="B67" s="15" t="s">
        <v>56</v>
      </c>
      <c r="C67" s="17" t="s">
        <v>57</v>
      </c>
      <c r="D67" s="15" t="s">
        <v>53</v>
      </c>
      <c r="E67" s="19">
        <v>12</v>
      </c>
      <c r="F67" s="78">
        <f>SUM(E67)</f>
        <v>12</v>
      </c>
      <c r="G67" s="13">
        <v>49.88</v>
      </c>
      <c r="H67" s="73">
        <f t="shared" si="6"/>
        <v>0.59856000000000009</v>
      </c>
      <c r="I67" s="13">
        <v>0</v>
      </c>
    </row>
    <row r="68" spans="1:22" ht="15.75" customHeight="1">
      <c r="A68" s="30"/>
      <c r="B68" s="135" t="s">
        <v>188</v>
      </c>
      <c r="C68" s="42"/>
      <c r="D68" s="41"/>
      <c r="E68" s="18"/>
      <c r="F68" s="136"/>
      <c r="G68" s="38"/>
      <c r="H68" s="73"/>
      <c r="I68" s="13"/>
    </row>
    <row r="69" spans="1:22" ht="30" customHeight="1">
      <c r="A69" s="30">
        <v>14</v>
      </c>
      <c r="B69" s="41" t="s">
        <v>189</v>
      </c>
      <c r="C69" s="45" t="s">
        <v>190</v>
      </c>
      <c r="D69" s="41"/>
      <c r="E69" s="18">
        <v>5926.8</v>
      </c>
      <c r="F69" s="38">
        <f>E69*12</f>
        <v>71121.600000000006</v>
      </c>
      <c r="G69" s="38">
        <v>2.4900000000000002</v>
      </c>
      <c r="H69" s="13"/>
      <c r="I69" s="13">
        <f>G69*F69/12</f>
        <v>14757.732000000004</v>
      </c>
    </row>
    <row r="70" spans="1:22" ht="15.75" hidden="1" customHeight="1">
      <c r="A70" s="58"/>
      <c r="B70" s="71" t="s">
        <v>117</v>
      </c>
      <c r="C70" s="71"/>
      <c r="D70" s="71"/>
      <c r="E70" s="71"/>
      <c r="F70" s="71"/>
      <c r="G70" s="71"/>
      <c r="H70" s="71"/>
      <c r="I70" s="1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9"/>
    </row>
    <row r="71" spans="1:22" ht="15.75" hidden="1" customHeight="1">
      <c r="A71" s="30">
        <v>36</v>
      </c>
      <c r="B71" s="76" t="s">
        <v>118</v>
      </c>
      <c r="C71" s="17"/>
      <c r="D71" s="15"/>
      <c r="E71" s="74"/>
      <c r="F71" s="13">
        <v>1</v>
      </c>
      <c r="G71" s="13">
        <v>27356</v>
      </c>
      <c r="H71" s="73">
        <f>G71*F71/1000</f>
        <v>27.356000000000002</v>
      </c>
      <c r="I71" s="13">
        <v>0</v>
      </c>
      <c r="J71" s="26"/>
      <c r="K71" s="26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2" ht="15.75" customHeight="1">
      <c r="A72" s="30"/>
      <c r="B72" s="53" t="s">
        <v>71</v>
      </c>
      <c r="C72" s="53"/>
      <c r="D72" s="53"/>
      <c r="E72" s="53"/>
      <c r="F72" s="19"/>
      <c r="G72" s="30"/>
      <c r="H72" s="30"/>
      <c r="I72" s="19"/>
      <c r="J72" s="3"/>
      <c r="K72" s="3"/>
      <c r="L72" s="3"/>
      <c r="M72" s="3"/>
      <c r="N72" s="3"/>
      <c r="O72" s="3"/>
      <c r="P72" s="3"/>
      <c r="Q72" s="3"/>
      <c r="S72" s="3"/>
      <c r="T72" s="3"/>
      <c r="U72" s="3"/>
    </row>
    <row r="73" spans="1:22" ht="15.75" hidden="1" customHeight="1">
      <c r="A73" s="30"/>
      <c r="B73" s="15" t="s">
        <v>83</v>
      </c>
      <c r="C73" s="17" t="s">
        <v>31</v>
      </c>
      <c r="D73" s="15"/>
      <c r="E73" s="19">
        <v>2</v>
      </c>
      <c r="F73" s="78">
        <f>SUM(E73)</f>
        <v>2</v>
      </c>
      <c r="G73" s="13">
        <v>358.51</v>
      </c>
      <c r="H73" s="73">
        <f>SUM(F73*G73/1000)</f>
        <v>0.71701999999999999</v>
      </c>
      <c r="I73" s="13">
        <v>0</v>
      </c>
      <c r="J73" s="5"/>
      <c r="K73" s="5"/>
      <c r="L73" s="5"/>
      <c r="M73" s="5"/>
      <c r="N73" s="5"/>
      <c r="O73" s="5"/>
      <c r="P73" s="5"/>
      <c r="Q73" s="5"/>
      <c r="R73" s="178"/>
      <c r="S73" s="178"/>
      <c r="T73" s="178"/>
      <c r="U73" s="178"/>
    </row>
    <row r="74" spans="1:22" ht="15.75" hidden="1" customHeight="1">
      <c r="A74" s="30"/>
      <c r="B74" s="15" t="s">
        <v>72</v>
      </c>
      <c r="C74" s="17" t="s">
        <v>31</v>
      </c>
      <c r="D74" s="15"/>
      <c r="E74" s="19">
        <v>1</v>
      </c>
      <c r="F74" s="13">
        <v>1</v>
      </c>
      <c r="G74" s="13">
        <v>852.99</v>
      </c>
      <c r="H74" s="73">
        <f>F74*G74/1000</f>
        <v>0.85299000000000003</v>
      </c>
      <c r="I74" s="13">
        <v>0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2" ht="15.75" customHeight="1">
      <c r="A75" s="30">
        <v>15</v>
      </c>
      <c r="B75" s="41" t="s">
        <v>191</v>
      </c>
      <c r="C75" s="42" t="s">
        <v>113</v>
      </c>
      <c r="D75" s="41" t="s">
        <v>179</v>
      </c>
      <c r="E75" s="18">
        <v>2</v>
      </c>
      <c r="F75" s="38">
        <f>E75*12</f>
        <v>24</v>
      </c>
      <c r="G75" s="38">
        <v>404</v>
      </c>
      <c r="H75" s="73"/>
      <c r="I75" s="13">
        <f>G75*F75/12</f>
        <v>808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2" ht="15.75" customHeight="1">
      <c r="A76" s="30">
        <v>16</v>
      </c>
      <c r="B76" s="41" t="s">
        <v>192</v>
      </c>
      <c r="C76" s="42" t="s">
        <v>113</v>
      </c>
      <c r="D76" s="41" t="s">
        <v>179</v>
      </c>
      <c r="E76" s="18">
        <v>1</v>
      </c>
      <c r="F76" s="38">
        <f>E76*12</f>
        <v>12</v>
      </c>
      <c r="G76" s="38">
        <v>1759</v>
      </c>
      <c r="H76" s="73"/>
      <c r="I76" s="13">
        <f>G76*F76/12</f>
        <v>1759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2" ht="15.75" hidden="1" customHeight="1">
      <c r="A77" s="30"/>
      <c r="B77" s="54" t="s">
        <v>73</v>
      </c>
      <c r="C77" s="42"/>
      <c r="D77" s="30"/>
      <c r="E77" s="30"/>
      <c r="F77" s="19"/>
      <c r="G77" s="38" t="s">
        <v>134</v>
      </c>
      <c r="H77" s="38"/>
      <c r="I77" s="19"/>
    </row>
    <row r="78" spans="1:22" ht="15.75" hidden="1" customHeight="1">
      <c r="A78" s="30">
        <v>39</v>
      </c>
      <c r="B78" s="56" t="s">
        <v>119</v>
      </c>
      <c r="C78" s="17" t="s">
        <v>74</v>
      </c>
      <c r="D78" s="15"/>
      <c r="E78" s="19"/>
      <c r="F78" s="13">
        <v>1.35</v>
      </c>
      <c r="G78" s="13">
        <v>2759.44</v>
      </c>
      <c r="H78" s="73">
        <f>SUM(F78*G78/1000)</f>
        <v>3.725244</v>
      </c>
      <c r="I78" s="13">
        <v>0</v>
      </c>
    </row>
    <row r="79" spans="1:22" ht="15.75" hidden="1" customHeight="1">
      <c r="A79" s="113"/>
      <c r="B79" s="119" t="s">
        <v>160</v>
      </c>
      <c r="C79" s="114"/>
      <c r="D79" s="115"/>
      <c r="E79" s="116"/>
      <c r="F79" s="117"/>
      <c r="G79" s="117"/>
      <c r="H79" s="117"/>
      <c r="I79" s="118"/>
    </row>
    <row r="80" spans="1:22" ht="15.75" hidden="1" customHeight="1">
      <c r="A80" s="30">
        <v>22</v>
      </c>
      <c r="B80" s="123" t="s">
        <v>46</v>
      </c>
      <c r="C80" s="42" t="s">
        <v>113</v>
      </c>
      <c r="D80" s="41" t="s">
        <v>65</v>
      </c>
      <c r="E80" s="19"/>
      <c r="F80" s="13"/>
      <c r="G80" s="38">
        <v>222.4</v>
      </c>
      <c r="H80" s="13"/>
      <c r="I80" s="13">
        <f>G80*2</f>
        <v>444.8</v>
      </c>
    </row>
    <row r="81" spans="1:9" ht="15.75" customHeight="1">
      <c r="A81" s="169" t="s">
        <v>138</v>
      </c>
      <c r="B81" s="170"/>
      <c r="C81" s="170"/>
      <c r="D81" s="170"/>
      <c r="E81" s="170"/>
      <c r="F81" s="170"/>
      <c r="G81" s="170"/>
      <c r="H81" s="170"/>
      <c r="I81" s="171"/>
    </row>
    <row r="82" spans="1:9" ht="15.75" customHeight="1">
      <c r="A82" s="122">
        <v>17</v>
      </c>
      <c r="B82" s="41" t="s">
        <v>120</v>
      </c>
      <c r="C82" s="42" t="s">
        <v>54</v>
      </c>
      <c r="D82" s="146"/>
      <c r="E82" s="38">
        <v>5926.8</v>
      </c>
      <c r="F82" s="38">
        <f>SUM(E82*12)</f>
        <v>71121.600000000006</v>
      </c>
      <c r="G82" s="38">
        <v>3.38</v>
      </c>
      <c r="H82" s="13">
        <f>SUM(F82*G82/1000)</f>
        <v>240.391008</v>
      </c>
      <c r="I82" s="13">
        <f>F82/12*G82</f>
        <v>20032.583999999999</v>
      </c>
    </row>
    <row r="83" spans="1:9" ht="31.5" customHeight="1">
      <c r="A83" s="30">
        <v>18</v>
      </c>
      <c r="B83" s="143" t="s">
        <v>193</v>
      </c>
      <c r="C83" s="137"/>
      <c r="D83" s="144"/>
      <c r="E83" s="145">
        <f>E82</f>
        <v>5926.8</v>
      </c>
      <c r="F83" s="139">
        <f>E83*12</f>
        <v>71121.600000000006</v>
      </c>
      <c r="G83" s="139">
        <v>3.05</v>
      </c>
      <c r="H83" s="130">
        <f>F83*G83/1000</f>
        <v>216.92088000000001</v>
      </c>
      <c r="I83" s="131">
        <f>F83/12*G83</f>
        <v>18076.739999999998</v>
      </c>
    </row>
    <row r="84" spans="1:9" ht="15.75" customHeight="1">
      <c r="A84" s="112"/>
      <c r="B84" s="43" t="s">
        <v>76</v>
      </c>
      <c r="C84" s="45"/>
      <c r="D84" s="16"/>
      <c r="E84" s="16"/>
      <c r="F84" s="16"/>
      <c r="G84" s="19"/>
      <c r="H84" s="19"/>
      <c r="I84" s="32">
        <f>I83+I82+I76+I75+I69+I57+I49+I44+I41+I40+I39+I38+I27+I21+I20+I18+I17+I16</f>
        <v>114484.16426633333</v>
      </c>
    </row>
    <row r="85" spans="1:9" ht="15.75" customHeight="1">
      <c r="A85" s="172" t="s">
        <v>59</v>
      </c>
      <c r="B85" s="173"/>
      <c r="C85" s="173"/>
      <c r="D85" s="173"/>
      <c r="E85" s="173"/>
      <c r="F85" s="173"/>
      <c r="G85" s="173"/>
      <c r="H85" s="173"/>
      <c r="I85" s="174"/>
    </row>
    <row r="86" spans="1:9" ht="18.75" customHeight="1">
      <c r="A86" s="30">
        <v>19</v>
      </c>
      <c r="B86" s="97" t="s">
        <v>78</v>
      </c>
      <c r="C86" s="98" t="s">
        <v>113</v>
      </c>
      <c r="D86" s="63"/>
      <c r="E86" s="38"/>
      <c r="F86" s="38">
        <v>9</v>
      </c>
      <c r="G86" s="38">
        <v>215.85</v>
      </c>
      <c r="H86" s="73">
        <f>G86*F86/1000</f>
        <v>1.9426499999999998</v>
      </c>
      <c r="I86" s="13">
        <f>G86*2</f>
        <v>431.7</v>
      </c>
    </row>
    <row r="87" spans="1:9" ht="32.25" customHeight="1">
      <c r="A87" s="30">
        <v>20</v>
      </c>
      <c r="B87" s="97" t="s">
        <v>158</v>
      </c>
      <c r="C87" s="98" t="s">
        <v>80</v>
      </c>
      <c r="D87" s="41" t="s">
        <v>254</v>
      </c>
      <c r="E87" s="38"/>
      <c r="F87" s="38">
        <v>11</v>
      </c>
      <c r="G87" s="38">
        <v>222.63</v>
      </c>
      <c r="H87" s="73"/>
      <c r="I87" s="13">
        <f>G87*4</f>
        <v>890.52</v>
      </c>
    </row>
    <row r="88" spans="1:9" ht="32.25" customHeight="1">
      <c r="A88" s="30">
        <v>21</v>
      </c>
      <c r="B88" s="97" t="s">
        <v>148</v>
      </c>
      <c r="C88" s="98" t="s">
        <v>97</v>
      </c>
      <c r="D88" s="63" t="s">
        <v>253</v>
      </c>
      <c r="E88" s="38"/>
      <c r="F88" s="38">
        <v>1</v>
      </c>
      <c r="G88" s="38">
        <v>61.58</v>
      </c>
      <c r="H88" s="73"/>
      <c r="I88" s="13">
        <f>G88*1</f>
        <v>61.58</v>
      </c>
    </row>
    <row r="89" spans="1:9" ht="16.5" customHeight="1">
      <c r="A89" s="30">
        <v>22</v>
      </c>
      <c r="B89" s="97" t="s">
        <v>209</v>
      </c>
      <c r="C89" s="98" t="s">
        <v>39</v>
      </c>
      <c r="D89" s="63" t="s">
        <v>178</v>
      </c>
      <c r="E89" s="38"/>
      <c r="F89" s="160">
        <v>0.03</v>
      </c>
      <c r="G89" s="38">
        <v>27139.18</v>
      </c>
      <c r="H89" s="73"/>
      <c r="I89" s="13">
        <v>0</v>
      </c>
    </row>
    <row r="90" spans="1:9" ht="30.75" customHeight="1">
      <c r="A90" s="30">
        <v>23</v>
      </c>
      <c r="B90" s="97" t="s">
        <v>194</v>
      </c>
      <c r="C90" s="98" t="s">
        <v>37</v>
      </c>
      <c r="D90" s="63" t="s">
        <v>178</v>
      </c>
      <c r="E90" s="38"/>
      <c r="F90" s="38">
        <v>0.02</v>
      </c>
      <c r="G90" s="38">
        <v>4070.89</v>
      </c>
      <c r="H90" s="73"/>
      <c r="I90" s="13">
        <v>0</v>
      </c>
    </row>
    <row r="91" spans="1:9" ht="16.5" customHeight="1">
      <c r="A91" s="30">
        <v>24</v>
      </c>
      <c r="B91" s="97" t="s">
        <v>258</v>
      </c>
      <c r="C91" s="98" t="s">
        <v>113</v>
      </c>
      <c r="D91" s="63"/>
      <c r="E91" s="38"/>
      <c r="F91" s="38">
        <v>1</v>
      </c>
      <c r="G91" s="38">
        <v>73.37</v>
      </c>
      <c r="H91" s="73"/>
      <c r="I91" s="13">
        <f>G91*1</f>
        <v>73.37</v>
      </c>
    </row>
    <row r="92" spans="1:9" ht="15.75" customHeight="1">
      <c r="A92" s="30"/>
      <c r="B92" s="50" t="s">
        <v>51</v>
      </c>
      <c r="C92" s="46"/>
      <c r="D92" s="59"/>
      <c r="E92" s="59"/>
      <c r="F92" s="46">
        <v>1</v>
      </c>
      <c r="G92" s="46"/>
      <c r="H92" s="46"/>
      <c r="I92" s="32">
        <f>SUM(I86:I91)</f>
        <v>1457.17</v>
      </c>
    </row>
    <row r="93" spans="1:9" ht="15.75" customHeight="1">
      <c r="A93" s="30"/>
      <c r="B93" s="56" t="s">
        <v>75</v>
      </c>
      <c r="C93" s="16"/>
      <c r="D93" s="16"/>
      <c r="E93" s="16"/>
      <c r="F93" s="47"/>
      <c r="G93" s="48"/>
      <c r="H93" s="48"/>
      <c r="I93" s="18">
        <v>0</v>
      </c>
    </row>
    <row r="94" spans="1:9" ht="15.75" customHeight="1">
      <c r="A94" s="60"/>
      <c r="B94" s="51" t="s">
        <v>141</v>
      </c>
      <c r="C94" s="36"/>
      <c r="D94" s="36"/>
      <c r="E94" s="36"/>
      <c r="F94" s="36"/>
      <c r="G94" s="36"/>
      <c r="H94" s="36"/>
      <c r="I94" s="49">
        <f>I84+I92</f>
        <v>115941.33426633333</v>
      </c>
    </row>
    <row r="95" spans="1:9" ht="15.75" customHeight="1">
      <c r="A95" s="188" t="s">
        <v>336</v>
      </c>
      <c r="B95" s="188"/>
      <c r="C95" s="188"/>
      <c r="D95" s="188"/>
      <c r="E95" s="188"/>
      <c r="F95" s="188"/>
      <c r="G95" s="188"/>
      <c r="H95" s="188"/>
      <c r="I95" s="188"/>
    </row>
    <row r="96" spans="1:9" ht="15.75" customHeight="1">
      <c r="A96" s="72"/>
      <c r="B96" s="180" t="s">
        <v>337</v>
      </c>
      <c r="C96" s="180"/>
      <c r="D96" s="180"/>
      <c r="E96" s="180"/>
      <c r="F96" s="180"/>
      <c r="G96" s="180"/>
      <c r="H96" s="75"/>
      <c r="I96" s="3"/>
    </row>
    <row r="97" spans="1:9" ht="15.75" customHeight="1">
      <c r="A97" s="67"/>
      <c r="B97" s="176" t="s">
        <v>6</v>
      </c>
      <c r="C97" s="176"/>
      <c r="D97" s="176"/>
      <c r="E97" s="176"/>
      <c r="F97" s="176"/>
      <c r="G97" s="176"/>
      <c r="H97" s="25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81" t="s">
        <v>7</v>
      </c>
      <c r="B99" s="181"/>
      <c r="C99" s="181"/>
      <c r="D99" s="181"/>
      <c r="E99" s="181"/>
      <c r="F99" s="181"/>
      <c r="G99" s="181"/>
      <c r="H99" s="181"/>
      <c r="I99" s="181"/>
    </row>
    <row r="100" spans="1:9" ht="15.75" customHeight="1">
      <c r="A100" s="181" t="s">
        <v>8</v>
      </c>
      <c r="B100" s="181"/>
      <c r="C100" s="181"/>
      <c r="D100" s="181"/>
      <c r="E100" s="181"/>
      <c r="F100" s="181"/>
      <c r="G100" s="181"/>
      <c r="H100" s="181"/>
      <c r="I100" s="181"/>
    </row>
    <row r="101" spans="1:9" ht="15.75" customHeight="1">
      <c r="A101" s="182" t="s">
        <v>60</v>
      </c>
      <c r="B101" s="182"/>
      <c r="C101" s="182"/>
      <c r="D101" s="182"/>
      <c r="E101" s="182"/>
      <c r="F101" s="182"/>
      <c r="G101" s="182"/>
      <c r="H101" s="182"/>
      <c r="I101" s="182"/>
    </row>
    <row r="102" spans="1:9" ht="15.75" customHeight="1">
      <c r="A102" s="11"/>
    </row>
    <row r="103" spans="1:9" ht="15.75" customHeight="1">
      <c r="A103" s="183" t="s">
        <v>9</v>
      </c>
      <c r="B103" s="183"/>
      <c r="C103" s="183"/>
      <c r="D103" s="183"/>
      <c r="E103" s="183"/>
      <c r="F103" s="183"/>
      <c r="G103" s="183"/>
      <c r="H103" s="183"/>
      <c r="I103" s="183"/>
    </row>
    <row r="104" spans="1:9" ht="15.75" customHeight="1">
      <c r="A104" s="4"/>
    </row>
    <row r="105" spans="1:9" ht="15.75" customHeight="1">
      <c r="B105" s="66" t="s">
        <v>10</v>
      </c>
      <c r="C105" s="175" t="s">
        <v>85</v>
      </c>
      <c r="D105" s="175"/>
      <c r="E105" s="175"/>
      <c r="F105" s="175"/>
      <c r="I105" s="69"/>
    </row>
    <row r="106" spans="1:9" ht="15.75" customHeight="1">
      <c r="A106" s="67"/>
      <c r="C106" s="176" t="s">
        <v>11</v>
      </c>
      <c r="D106" s="176"/>
      <c r="E106" s="176"/>
      <c r="F106" s="176"/>
      <c r="I106" s="68" t="s">
        <v>12</v>
      </c>
    </row>
    <row r="107" spans="1:9" ht="15.75" customHeight="1">
      <c r="A107" s="26"/>
      <c r="C107" s="12"/>
      <c r="D107" s="12"/>
      <c r="E107" s="12"/>
      <c r="G107" s="12"/>
      <c r="H107" s="12"/>
    </row>
    <row r="108" spans="1:9" ht="15.75" customHeight="1">
      <c r="B108" s="66" t="s">
        <v>13</v>
      </c>
      <c r="C108" s="177"/>
      <c r="D108" s="177"/>
      <c r="E108" s="177"/>
      <c r="F108" s="177"/>
      <c r="I108" s="69"/>
    </row>
    <row r="109" spans="1:9" ht="15.75" customHeight="1">
      <c r="A109" s="67"/>
      <c r="C109" s="178" t="s">
        <v>11</v>
      </c>
      <c r="D109" s="178"/>
      <c r="E109" s="178"/>
      <c r="F109" s="178"/>
      <c r="I109" s="68" t="s">
        <v>12</v>
      </c>
    </row>
    <row r="110" spans="1:9" ht="15.75" customHeight="1">
      <c r="A110" s="4" t="s">
        <v>14</v>
      </c>
    </row>
    <row r="111" spans="1:9">
      <c r="A111" s="179" t="s">
        <v>15</v>
      </c>
      <c r="B111" s="179"/>
      <c r="C111" s="179"/>
      <c r="D111" s="179"/>
      <c r="E111" s="179"/>
      <c r="F111" s="179"/>
      <c r="G111" s="179"/>
      <c r="H111" s="179"/>
      <c r="I111" s="179"/>
    </row>
    <row r="112" spans="1:9" ht="45" customHeight="1">
      <c r="A112" s="168" t="s">
        <v>16</v>
      </c>
      <c r="B112" s="168"/>
      <c r="C112" s="168"/>
      <c r="D112" s="168"/>
      <c r="E112" s="168"/>
      <c r="F112" s="168"/>
      <c r="G112" s="168"/>
      <c r="H112" s="168"/>
      <c r="I112" s="168"/>
    </row>
    <row r="113" spans="1:9" ht="30" customHeight="1">
      <c r="A113" s="168" t="s">
        <v>17</v>
      </c>
      <c r="B113" s="168"/>
      <c r="C113" s="168"/>
      <c r="D113" s="168"/>
      <c r="E113" s="168"/>
      <c r="F113" s="168"/>
      <c r="G113" s="168"/>
      <c r="H113" s="168"/>
      <c r="I113" s="168"/>
    </row>
    <row r="114" spans="1:9" ht="30" customHeight="1">
      <c r="A114" s="168" t="s">
        <v>21</v>
      </c>
      <c r="B114" s="168"/>
      <c r="C114" s="168"/>
      <c r="D114" s="168"/>
      <c r="E114" s="168"/>
      <c r="F114" s="168"/>
      <c r="G114" s="168"/>
      <c r="H114" s="168"/>
      <c r="I114" s="168"/>
    </row>
    <row r="115" spans="1:9" ht="15" customHeight="1">
      <c r="A115" s="168" t="s">
        <v>20</v>
      </c>
      <c r="B115" s="168"/>
      <c r="C115" s="168"/>
      <c r="D115" s="168"/>
      <c r="E115" s="168"/>
      <c r="F115" s="168"/>
      <c r="G115" s="168"/>
      <c r="H115" s="168"/>
      <c r="I115" s="168"/>
    </row>
  </sheetData>
  <autoFilter ref="I12:I66"/>
  <mergeCells count="29">
    <mergeCell ref="A14:I14"/>
    <mergeCell ref="A15:I15"/>
    <mergeCell ref="A28:I28"/>
    <mergeCell ref="A50:I50"/>
    <mergeCell ref="A3:I3"/>
    <mergeCell ref="A4:I4"/>
    <mergeCell ref="A5:I5"/>
    <mergeCell ref="A8:I8"/>
    <mergeCell ref="A10:I10"/>
    <mergeCell ref="A45:I45"/>
    <mergeCell ref="R73:U73"/>
    <mergeCell ref="C109:F109"/>
    <mergeCell ref="A85:I85"/>
    <mergeCell ref="A95:I95"/>
    <mergeCell ref="B96:G96"/>
    <mergeCell ref="B97:G97"/>
    <mergeCell ref="A99:I99"/>
    <mergeCell ref="A100:I100"/>
    <mergeCell ref="A101:I101"/>
    <mergeCell ref="A103:I103"/>
    <mergeCell ref="C105:F105"/>
    <mergeCell ref="C106:F106"/>
    <mergeCell ref="C108:F108"/>
    <mergeCell ref="A81:I81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2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2"/>
  <sheetViews>
    <sheetView topLeftCell="A72" workbookViewId="0">
      <selection activeCell="I94" sqref="I94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5" hidden="1" customWidth="1"/>
    <col min="6" max="6" width="15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145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256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31">
        <v>43982</v>
      </c>
      <c r="J6" s="2"/>
      <c r="K6" s="2"/>
      <c r="L6" s="2"/>
      <c r="M6" s="2"/>
    </row>
    <row r="7" spans="1:13" ht="15.75" customHeight="1">
      <c r="B7" s="66"/>
      <c r="C7" s="66"/>
      <c r="D7" s="66"/>
      <c r="E7" s="66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186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175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7" si="0">SUM(F16*G16/1000)</f>
        <v>62.943028199999993</v>
      </c>
      <c r="I16" s="13">
        <f>F16/12*G16</f>
        <v>5245.2523499999998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176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F17/12*G17</f>
        <v>13987.339599999998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177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F18/18*2*G18</f>
        <v>11607.841499999999</v>
      </c>
      <c r="J18" s="23"/>
      <c r="K18" s="8"/>
      <c r="L18" s="8"/>
      <c r="M18" s="8"/>
    </row>
    <row r="19" spans="1:13" ht="15.75" hidden="1" customHeight="1">
      <c r="A19" s="30">
        <v>4</v>
      </c>
      <c r="B19" s="76" t="s">
        <v>99</v>
      </c>
      <c r="C19" s="65" t="s">
        <v>100</v>
      </c>
      <c r="D19" s="76" t="s">
        <v>101</v>
      </c>
      <c r="E19" s="77">
        <v>38.4</v>
      </c>
      <c r="F19" s="78">
        <f>SUM(E19/10)</f>
        <v>3.84</v>
      </c>
      <c r="G19" s="78">
        <v>170.16</v>
      </c>
      <c r="H19" s="79">
        <f t="shared" si="0"/>
        <v>0.65341439999999995</v>
      </c>
      <c r="I19" s="13">
        <f>F19/2*G19</f>
        <v>326.7072</v>
      </c>
      <c r="J19" s="23"/>
      <c r="K19" s="8"/>
      <c r="L19" s="8"/>
      <c r="M19" s="8"/>
    </row>
    <row r="20" spans="1:13" ht="15.75" customHeight="1">
      <c r="A20" s="30">
        <v>4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5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hidden="1" customHeight="1">
      <c r="A22" s="30">
        <v>7</v>
      </c>
      <c r="B22" s="76" t="s">
        <v>102</v>
      </c>
      <c r="C22" s="65" t="s">
        <v>52</v>
      </c>
      <c r="D22" s="76" t="s">
        <v>101</v>
      </c>
      <c r="E22" s="77">
        <v>822.72</v>
      </c>
      <c r="F22" s="78">
        <f>SUM(E22/100)</f>
        <v>8.2271999999999998</v>
      </c>
      <c r="G22" s="78">
        <v>269.26</v>
      </c>
      <c r="H22" s="79">
        <f t="shared" si="0"/>
        <v>2.2152558719999997</v>
      </c>
      <c r="I22" s="13">
        <f>F22*G22</f>
        <v>2215.2558719999997</v>
      </c>
      <c r="J22" s="23"/>
      <c r="K22" s="8"/>
      <c r="L22" s="8"/>
      <c r="M22" s="8"/>
    </row>
    <row r="23" spans="1:13" ht="15.75" hidden="1" customHeight="1">
      <c r="A23" s="30">
        <v>8</v>
      </c>
      <c r="B23" s="76" t="s">
        <v>103</v>
      </c>
      <c r="C23" s="65" t="s">
        <v>52</v>
      </c>
      <c r="D23" s="76" t="s">
        <v>101</v>
      </c>
      <c r="E23" s="80">
        <v>96.6</v>
      </c>
      <c r="F23" s="78">
        <f>SUM(E23/100)</f>
        <v>0.96599999999999997</v>
      </c>
      <c r="G23" s="78">
        <v>44.29</v>
      </c>
      <c r="H23" s="79">
        <f t="shared" si="0"/>
        <v>4.2784139999999998E-2</v>
      </c>
      <c r="I23" s="13">
        <f>F23*G23</f>
        <v>42.784140000000001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76" t="s">
        <v>95</v>
      </c>
      <c r="C24" s="65" t="s">
        <v>52</v>
      </c>
      <c r="D24" s="76" t="s">
        <v>178</v>
      </c>
      <c r="E24" s="81">
        <v>32</v>
      </c>
      <c r="F24" s="78">
        <f>32*12/1000</f>
        <v>0.38400000000000001</v>
      </c>
      <c r="G24" s="78">
        <v>389.42</v>
      </c>
      <c r="H24" s="79">
        <f>G24*F24/100</f>
        <v>1.4953728000000002</v>
      </c>
      <c r="I24" s="13">
        <f>F24/12*G24</f>
        <v>12.461440000000001</v>
      </c>
      <c r="J24" s="23"/>
      <c r="K24" s="8"/>
      <c r="L24" s="8"/>
      <c r="M24" s="8"/>
    </row>
    <row r="25" spans="1:13" ht="15.75" hidden="1" customHeight="1">
      <c r="A25" s="30">
        <v>10</v>
      </c>
      <c r="B25" s="76" t="s">
        <v>122</v>
      </c>
      <c r="C25" s="65" t="s">
        <v>52</v>
      </c>
      <c r="D25" s="76" t="s">
        <v>53</v>
      </c>
      <c r="E25" s="82">
        <v>38</v>
      </c>
      <c r="F25" s="78">
        <v>0.38</v>
      </c>
      <c r="G25" s="78">
        <v>216.12</v>
      </c>
      <c r="H25" s="79">
        <f>G25*F25/1000</f>
        <v>8.2125600000000007E-2</v>
      </c>
      <c r="I25" s="13">
        <f>F25*G25</f>
        <v>82.125600000000006</v>
      </c>
      <c r="J25" s="23"/>
      <c r="K25" s="8"/>
      <c r="L25" s="8"/>
      <c r="M25" s="8"/>
    </row>
    <row r="26" spans="1:13" ht="15.75" hidden="1" customHeight="1">
      <c r="A26" s="30">
        <v>11</v>
      </c>
      <c r="B26" s="76" t="s">
        <v>96</v>
      </c>
      <c r="C26" s="65" t="s">
        <v>52</v>
      </c>
      <c r="D26" s="76" t="s">
        <v>179</v>
      </c>
      <c r="E26" s="77">
        <v>17</v>
      </c>
      <c r="F26" s="78">
        <f>SUM(E26*12/100)</f>
        <v>2.04</v>
      </c>
      <c r="G26" s="78">
        <v>520.79999999999995</v>
      </c>
      <c r="H26" s="79">
        <f t="shared" si="0"/>
        <v>1.062432</v>
      </c>
      <c r="I26" s="13">
        <f>F26/12*G26</f>
        <v>88.536000000000001</v>
      </c>
      <c r="J26" s="23"/>
      <c r="K26" s="8"/>
      <c r="L26" s="8"/>
      <c r="M26" s="8"/>
    </row>
    <row r="27" spans="1:13" ht="15.75" customHeight="1">
      <c r="A27" s="30">
        <v>6</v>
      </c>
      <c r="B27" s="34" t="s">
        <v>174</v>
      </c>
      <c r="C27" s="44" t="s">
        <v>33</v>
      </c>
      <c r="D27" s="34" t="s">
        <v>182</v>
      </c>
      <c r="E27" s="125">
        <v>0.2</v>
      </c>
      <c r="F27" s="33">
        <f>E27*258</f>
        <v>51.6</v>
      </c>
      <c r="G27" s="33">
        <v>289.5</v>
      </c>
      <c r="H27" s="79">
        <f t="shared" si="0"/>
        <v>14.9382</v>
      </c>
      <c r="I27" s="13">
        <f>F27/12*G27</f>
        <v>1244.8499999999999</v>
      </c>
      <c r="J27" s="23"/>
      <c r="K27" s="8"/>
      <c r="L27" s="8"/>
      <c r="M27" s="8"/>
    </row>
    <row r="28" spans="1:13" ht="15.75" customHeight="1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  <c r="J28" s="23"/>
      <c r="K28" s="8"/>
      <c r="L28" s="8"/>
      <c r="M28" s="8"/>
    </row>
    <row r="29" spans="1:13" ht="15.75" customHeight="1">
      <c r="A29" s="45"/>
      <c r="B29" s="55" t="s">
        <v>28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7</v>
      </c>
      <c r="B30" s="34" t="s">
        <v>104</v>
      </c>
      <c r="C30" s="44" t="s">
        <v>105</v>
      </c>
      <c r="D30" s="34" t="s">
        <v>184</v>
      </c>
      <c r="E30" s="33">
        <v>877.4</v>
      </c>
      <c r="F30" s="33">
        <f>SUM(E30*24/1000)</f>
        <v>21.057599999999997</v>
      </c>
      <c r="G30" s="33">
        <v>223.46</v>
      </c>
      <c r="H30" s="79">
        <f t="shared" ref="H30:H32" si="1">SUM(F30*G30/1000)</f>
        <v>4.7055312959999993</v>
      </c>
      <c r="I30" s="13">
        <f>F30/6*G30</f>
        <v>784.2552159999999</v>
      </c>
      <c r="J30" s="23"/>
      <c r="K30" s="8"/>
      <c r="L30" s="8"/>
      <c r="M30" s="8"/>
    </row>
    <row r="31" spans="1:13" ht="31.5" customHeight="1">
      <c r="A31" s="45">
        <v>8</v>
      </c>
      <c r="B31" s="34" t="s">
        <v>126</v>
      </c>
      <c r="C31" s="44" t="s">
        <v>105</v>
      </c>
      <c r="D31" s="34" t="s">
        <v>176</v>
      </c>
      <c r="E31" s="33">
        <v>214.34</v>
      </c>
      <c r="F31" s="33">
        <f>SUM(E31*52/1000)</f>
        <v>11.14568</v>
      </c>
      <c r="G31" s="33">
        <v>370.77</v>
      </c>
      <c r="H31" s="79">
        <f t="shared" si="1"/>
        <v>4.1324837735999997</v>
      </c>
      <c r="I31" s="13">
        <f t="shared" ref="I31:I33" si="2">F31/6*G31</f>
        <v>688.74729559999992</v>
      </c>
      <c r="J31" s="23"/>
      <c r="K31" s="8"/>
      <c r="L31" s="8"/>
      <c r="M31" s="8"/>
    </row>
    <row r="32" spans="1:13" ht="15.75" customHeight="1">
      <c r="A32" s="45">
        <v>9</v>
      </c>
      <c r="B32" s="34" t="s">
        <v>27</v>
      </c>
      <c r="C32" s="44" t="s">
        <v>105</v>
      </c>
      <c r="D32" s="34" t="s">
        <v>179</v>
      </c>
      <c r="E32" s="33">
        <v>877.4</v>
      </c>
      <c r="F32" s="33">
        <f>SUM(E32/1000)</f>
        <v>0.87739999999999996</v>
      </c>
      <c r="G32" s="33">
        <v>4329.78</v>
      </c>
      <c r="H32" s="79">
        <f t="shared" si="1"/>
        <v>3.7989489719999998</v>
      </c>
      <c r="I32" s="13">
        <f>F32*G32</f>
        <v>3798.9489719999997</v>
      </c>
      <c r="J32" s="23"/>
      <c r="K32" s="8"/>
      <c r="L32" s="8"/>
      <c r="M32" s="8"/>
    </row>
    <row r="33" spans="1:14" ht="15.75" customHeight="1">
      <c r="A33" s="45">
        <v>10</v>
      </c>
      <c r="B33" s="34" t="s">
        <v>124</v>
      </c>
      <c r="C33" s="44" t="s">
        <v>39</v>
      </c>
      <c r="D33" s="34" t="s">
        <v>181</v>
      </c>
      <c r="E33" s="33">
        <v>8</v>
      </c>
      <c r="F33" s="33">
        <v>12.4</v>
      </c>
      <c r="G33" s="33">
        <v>1866.51</v>
      </c>
      <c r="H33" s="79">
        <v>16.145</v>
      </c>
      <c r="I33" s="13">
        <f t="shared" si="2"/>
        <v>3857.4540000000002</v>
      </c>
      <c r="J33" s="23"/>
      <c r="K33" s="8"/>
      <c r="L33" s="8"/>
      <c r="M33" s="8"/>
    </row>
    <row r="34" spans="1:14" ht="15.75" hidden="1" customHeight="1">
      <c r="A34" s="45">
        <v>4</v>
      </c>
      <c r="B34" s="76" t="s">
        <v>63</v>
      </c>
      <c r="C34" s="65" t="s">
        <v>33</v>
      </c>
      <c r="D34" s="76" t="s">
        <v>65</v>
      </c>
      <c r="E34" s="77"/>
      <c r="F34" s="78">
        <v>2</v>
      </c>
      <c r="G34" s="78">
        <v>191.32</v>
      </c>
      <c r="H34" s="79">
        <f t="shared" ref="H34:H35" si="3">SUM(F34*G34/1000)</f>
        <v>0.38263999999999998</v>
      </c>
      <c r="I34" s="13">
        <v>0</v>
      </c>
      <c r="J34" s="23"/>
      <c r="K34" s="8"/>
    </row>
    <row r="35" spans="1:14" ht="15.75" hidden="1" customHeight="1">
      <c r="A35" s="30">
        <v>8</v>
      </c>
      <c r="B35" s="76" t="s">
        <v>64</v>
      </c>
      <c r="C35" s="65" t="s">
        <v>32</v>
      </c>
      <c r="D35" s="76" t="s">
        <v>65</v>
      </c>
      <c r="E35" s="77"/>
      <c r="F35" s="78">
        <v>3</v>
      </c>
      <c r="G35" s="78">
        <v>1136.32</v>
      </c>
      <c r="H35" s="79">
        <f t="shared" si="3"/>
        <v>3.40896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10</v>
      </c>
      <c r="B37" s="76" t="s">
        <v>26</v>
      </c>
      <c r="C37" s="65" t="s">
        <v>32</v>
      </c>
      <c r="D37" s="76"/>
      <c r="E37" s="77"/>
      <c r="F37" s="78">
        <v>15</v>
      </c>
      <c r="G37" s="78">
        <v>1527.22</v>
      </c>
      <c r="H37" s="79">
        <f>SUM(F37*G37/1000)</f>
        <v>22.908300000000001</v>
      </c>
      <c r="I37" s="13">
        <f t="shared" ref="I37:I42" si="4">F37/6*G37</f>
        <v>3818.05</v>
      </c>
      <c r="J37" s="24"/>
    </row>
    <row r="38" spans="1:14" ht="15.75" hidden="1" customHeight="1">
      <c r="A38" s="35">
        <v>11</v>
      </c>
      <c r="B38" s="76" t="s">
        <v>66</v>
      </c>
      <c r="C38" s="65" t="s">
        <v>29</v>
      </c>
      <c r="D38" s="76" t="s">
        <v>108</v>
      </c>
      <c r="E38" s="78">
        <v>547.85</v>
      </c>
      <c r="F38" s="78">
        <f>SUM(E38*50/1000)</f>
        <v>27.392499999999998</v>
      </c>
      <c r="G38" s="78">
        <v>2102.71</v>
      </c>
      <c r="H38" s="79">
        <f t="shared" ref="H38:H42" si="5">SUM(F38*G38/1000)</f>
        <v>57.598483674999997</v>
      </c>
      <c r="I38" s="13">
        <f t="shared" si="4"/>
        <v>9599.747279166666</v>
      </c>
      <c r="J38" s="24"/>
    </row>
    <row r="39" spans="1:14" ht="15.75" hidden="1" customHeight="1">
      <c r="A39" s="35">
        <v>12</v>
      </c>
      <c r="B39" s="76" t="s">
        <v>67</v>
      </c>
      <c r="C39" s="65" t="s">
        <v>29</v>
      </c>
      <c r="D39" s="76" t="s">
        <v>109</v>
      </c>
      <c r="E39" s="78">
        <v>140</v>
      </c>
      <c r="F39" s="78">
        <f>SUM(E39*155/1000)</f>
        <v>21.7</v>
      </c>
      <c r="G39" s="78">
        <v>350.75</v>
      </c>
      <c r="H39" s="79">
        <f t="shared" si="5"/>
        <v>7.611275</v>
      </c>
      <c r="I39" s="13">
        <f t="shared" si="4"/>
        <v>1268.5458333333333</v>
      </c>
      <c r="J39" s="24"/>
    </row>
    <row r="40" spans="1:14" ht="31.5" hidden="1" customHeight="1">
      <c r="A40" s="35">
        <v>13</v>
      </c>
      <c r="B40" s="76" t="s">
        <v>79</v>
      </c>
      <c r="C40" s="65" t="s">
        <v>105</v>
      </c>
      <c r="D40" s="76" t="s">
        <v>127</v>
      </c>
      <c r="E40" s="78">
        <v>140</v>
      </c>
      <c r="F40" s="78">
        <f>SUM(E40*12/1000)</f>
        <v>1.68</v>
      </c>
      <c r="G40" s="78">
        <v>5803.28</v>
      </c>
      <c r="H40" s="79">
        <f t="shared" si="5"/>
        <v>9.7495103999999984</v>
      </c>
      <c r="I40" s="13">
        <f t="shared" si="4"/>
        <v>1624.9183999999998</v>
      </c>
      <c r="J40" s="24"/>
    </row>
    <row r="41" spans="1:14" ht="15.75" hidden="1" customHeight="1">
      <c r="A41" s="35">
        <v>14</v>
      </c>
      <c r="B41" s="76" t="s">
        <v>110</v>
      </c>
      <c r="C41" s="65" t="s">
        <v>105</v>
      </c>
      <c r="D41" s="76" t="s">
        <v>68</v>
      </c>
      <c r="E41" s="78">
        <v>140</v>
      </c>
      <c r="F41" s="78">
        <f>SUM(E41*45/1000)</f>
        <v>6.3</v>
      </c>
      <c r="G41" s="78">
        <v>428.7</v>
      </c>
      <c r="H41" s="79">
        <f t="shared" si="5"/>
        <v>2.7008100000000002</v>
      </c>
      <c r="I41" s="13">
        <f t="shared" si="4"/>
        <v>450.13499999999999</v>
      </c>
      <c r="J41" s="24"/>
    </row>
    <row r="42" spans="1:14" ht="15.75" hidden="1" customHeight="1">
      <c r="A42" s="35">
        <v>15</v>
      </c>
      <c r="B42" s="76" t="s">
        <v>69</v>
      </c>
      <c r="C42" s="65" t="s">
        <v>33</v>
      </c>
      <c r="D42" s="76"/>
      <c r="E42" s="77"/>
      <c r="F42" s="78">
        <v>0.9</v>
      </c>
      <c r="G42" s="78">
        <v>798</v>
      </c>
      <c r="H42" s="79">
        <f t="shared" si="5"/>
        <v>0.71820000000000006</v>
      </c>
      <c r="I42" s="13">
        <f t="shared" si="4"/>
        <v>119.69999999999999</v>
      </c>
      <c r="J42" s="24"/>
      <c r="L42" s="20"/>
      <c r="M42" s="21"/>
      <c r="N42" s="22"/>
    </row>
    <row r="43" spans="1:14" ht="15.75" customHeight="1">
      <c r="A43" s="185" t="s">
        <v>136</v>
      </c>
      <c r="B43" s="186"/>
      <c r="C43" s="186"/>
      <c r="D43" s="186"/>
      <c r="E43" s="186"/>
      <c r="F43" s="186"/>
      <c r="G43" s="186"/>
      <c r="H43" s="186"/>
      <c r="I43" s="187"/>
      <c r="J43" s="24"/>
      <c r="L43" s="20"/>
      <c r="M43" s="21"/>
      <c r="N43" s="22"/>
    </row>
    <row r="44" spans="1:14" ht="15.75" customHeight="1">
      <c r="A44" s="45">
        <v>11</v>
      </c>
      <c r="B44" s="76" t="s">
        <v>111</v>
      </c>
      <c r="C44" s="65" t="s">
        <v>105</v>
      </c>
      <c r="D44" s="76" t="s">
        <v>178</v>
      </c>
      <c r="E44" s="77">
        <v>1640.4</v>
      </c>
      <c r="F44" s="78">
        <f>SUM(E44*2/1000)</f>
        <v>3.2808000000000002</v>
      </c>
      <c r="G44" s="120">
        <v>1217.79</v>
      </c>
      <c r="H44" s="79">
        <f t="shared" ref="H44:H52" si="6">SUM(F44*G44/1000)</f>
        <v>3.995325432</v>
      </c>
      <c r="I44" s="13">
        <f t="shared" ref="I44:I46" si="7">F44/2*G44</f>
        <v>1997.662716</v>
      </c>
      <c r="J44" s="24"/>
      <c r="L44" s="20"/>
      <c r="M44" s="21"/>
      <c r="N44" s="22"/>
    </row>
    <row r="45" spans="1:14" ht="15.75" customHeight="1">
      <c r="A45" s="45">
        <v>12</v>
      </c>
      <c r="B45" s="76" t="s">
        <v>34</v>
      </c>
      <c r="C45" s="65" t="s">
        <v>105</v>
      </c>
      <c r="D45" s="76" t="s">
        <v>178</v>
      </c>
      <c r="E45" s="165">
        <v>161.30000000000001</v>
      </c>
      <c r="F45" s="121">
        <f>SUM(E45*2/1000)</f>
        <v>0.3226</v>
      </c>
      <c r="G45" s="120">
        <v>830.69</v>
      </c>
      <c r="H45" s="79">
        <f t="shared" si="6"/>
        <v>0.26798059400000002</v>
      </c>
      <c r="I45" s="13">
        <f t="shared" si="7"/>
        <v>133.990297</v>
      </c>
      <c r="J45" s="24"/>
      <c r="L45" s="20"/>
      <c r="M45" s="21"/>
      <c r="N45" s="22"/>
    </row>
    <row r="46" spans="1:14" ht="15.75" customHeight="1">
      <c r="A46" s="45">
        <v>13</v>
      </c>
      <c r="B46" s="76" t="s">
        <v>35</v>
      </c>
      <c r="C46" s="65" t="s">
        <v>105</v>
      </c>
      <c r="D46" s="76" t="s">
        <v>178</v>
      </c>
      <c r="E46" s="77">
        <v>5592.26</v>
      </c>
      <c r="F46" s="78">
        <f>SUM(E46*2/1000)</f>
        <v>11.184520000000001</v>
      </c>
      <c r="G46" s="120">
        <v>830.69</v>
      </c>
      <c r="H46" s="79">
        <f t="shared" si="6"/>
        <v>9.2908689188000011</v>
      </c>
      <c r="I46" s="13">
        <f t="shared" si="7"/>
        <v>4645.4344594000004</v>
      </c>
      <c r="J46" s="24"/>
      <c r="L46" s="20"/>
      <c r="M46" s="21"/>
      <c r="N46" s="22"/>
    </row>
    <row r="47" spans="1:14" ht="15.75" customHeight="1">
      <c r="A47" s="45">
        <v>14</v>
      </c>
      <c r="B47" s="76" t="s">
        <v>36</v>
      </c>
      <c r="C47" s="65" t="s">
        <v>105</v>
      </c>
      <c r="D47" s="76" t="s">
        <v>178</v>
      </c>
      <c r="E47" s="77">
        <v>2817.65</v>
      </c>
      <c r="F47" s="78">
        <f>SUM(E47*2/1000)</f>
        <v>5.6353</v>
      </c>
      <c r="G47" s="120">
        <v>869.86</v>
      </c>
      <c r="H47" s="79">
        <f t="shared" si="6"/>
        <v>4.9019220580000002</v>
      </c>
      <c r="I47" s="13">
        <f>F47/2*G47</f>
        <v>2450.9610290000001</v>
      </c>
      <c r="J47" s="24"/>
      <c r="L47" s="20"/>
      <c r="M47" s="21"/>
      <c r="N47" s="22"/>
    </row>
    <row r="48" spans="1:14" ht="15.75" customHeight="1">
      <c r="A48" s="45">
        <v>15</v>
      </c>
      <c r="B48" s="76" t="s">
        <v>55</v>
      </c>
      <c r="C48" s="65" t="s">
        <v>105</v>
      </c>
      <c r="D48" s="76" t="s">
        <v>178</v>
      </c>
      <c r="E48" s="77">
        <v>3280.8</v>
      </c>
      <c r="F48" s="78">
        <f>SUM(E48*5/1000)</f>
        <v>16.404</v>
      </c>
      <c r="G48" s="120">
        <v>1739.68</v>
      </c>
      <c r="H48" s="79">
        <f t="shared" si="6"/>
        <v>28.53771072</v>
      </c>
      <c r="I48" s="13">
        <f>F48/5*G48</f>
        <v>5707.5421440000009</v>
      </c>
      <c r="J48" s="24"/>
      <c r="L48" s="20"/>
      <c r="M48" s="21"/>
      <c r="N48" s="22"/>
    </row>
    <row r="49" spans="1:14" ht="30.75" customHeight="1">
      <c r="A49" s="45">
        <v>16</v>
      </c>
      <c r="B49" s="76" t="s">
        <v>112</v>
      </c>
      <c r="C49" s="65" t="s">
        <v>105</v>
      </c>
      <c r="D49" s="76" t="s">
        <v>178</v>
      </c>
      <c r="E49" s="77">
        <v>3280.8</v>
      </c>
      <c r="F49" s="78">
        <f>SUM(E49*2/1000)</f>
        <v>6.5616000000000003</v>
      </c>
      <c r="G49" s="120">
        <v>1739.68</v>
      </c>
      <c r="H49" s="79">
        <f t="shared" si="6"/>
        <v>11.415084288000001</v>
      </c>
      <c r="I49" s="13">
        <f>F49/2*G49</f>
        <v>5707.5421440000009</v>
      </c>
      <c r="J49" s="24"/>
      <c r="L49" s="20"/>
      <c r="M49" s="21"/>
      <c r="N49" s="22"/>
    </row>
    <row r="50" spans="1:14" ht="29.25" customHeight="1">
      <c r="A50" s="45">
        <v>17</v>
      </c>
      <c r="B50" s="76" t="s">
        <v>128</v>
      </c>
      <c r="C50" s="65" t="s">
        <v>37</v>
      </c>
      <c r="D50" s="76" t="s">
        <v>178</v>
      </c>
      <c r="E50" s="77">
        <v>40</v>
      </c>
      <c r="F50" s="78">
        <f>SUM(E50*2/100)</f>
        <v>0.8</v>
      </c>
      <c r="G50" s="120">
        <v>3914.31</v>
      </c>
      <c r="H50" s="79">
        <f t="shared" si="6"/>
        <v>3.1314480000000002</v>
      </c>
      <c r="I50" s="13">
        <f>F50/2*G50</f>
        <v>1565.7240000000002</v>
      </c>
      <c r="J50" s="24"/>
      <c r="L50" s="20"/>
      <c r="M50" s="21"/>
      <c r="N50" s="22"/>
    </row>
    <row r="51" spans="1:14" ht="18" customHeight="1">
      <c r="A51" s="45">
        <v>18</v>
      </c>
      <c r="B51" s="76" t="s">
        <v>38</v>
      </c>
      <c r="C51" s="65" t="s">
        <v>39</v>
      </c>
      <c r="D51" s="76" t="s">
        <v>178</v>
      </c>
      <c r="E51" s="77">
        <v>1</v>
      </c>
      <c r="F51" s="78">
        <v>0.02</v>
      </c>
      <c r="G51" s="120">
        <v>8102.62</v>
      </c>
      <c r="H51" s="79">
        <f t="shared" si="6"/>
        <v>0.16205240000000001</v>
      </c>
      <c r="I51" s="13">
        <f>F51/2*G51</f>
        <v>81.026200000000003</v>
      </c>
      <c r="J51" s="24"/>
      <c r="L51" s="20"/>
      <c r="M51" s="21"/>
      <c r="N51" s="22"/>
    </row>
    <row r="52" spans="1:14" ht="18.75" hidden="1" customHeight="1">
      <c r="A52" s="45">
        <v>17</v>
      </c>
      <c r="B52" s="76" t="s">
        <v>40</v>
      </c>
      <c r="C52" s="65" t="s">
        <v>113</v>
      </c>
      <c r="D52" s="76" t="s">
        <v>70</v>
      </c>
      <c r="E52" s="77">
        <v>238</v>
      </c>
      <c r="F52" s="78">
        <f>SUM(E52)*3</f>
        <v>714</v>
      </c>
      <c r="G52" s="13">
        <v>65.67</v>
      </c>
      <c r="H52" s="79">
        <f t="shared" si="6"/>
        <v>46.888380000000005</v>
      </c>
      <c r="I52" s="13">
        <f>E52*G52</f>
        <v>15629.460000000001</v>
      </c>
      <c r="J52" s="24"/>
      <c r="L52" s="20"/>
      <c r="M52" s="21"/>
      <c r="N52" s="22"/>
    </row>
    <row r="53" spans="1:14" ht="15.75" customHeight="1">
      <c r="A53" s="185" t="s">
        <v>137</v>
      </c>
      <c r="B53" s="186"/>
      <c r="C53" s="186"/>
      <c r="D53" s="186"/>
      <c r="E53" s="186"/>
      <c r="F53" s="186"/>
      <c r="G53" s="186"/>
      <c r="H53" s="186"/>
      <c r="I53" s="187"/>
      <c r="J53" s="24"/>
      <c r="L53" s="20"/>
      <c r="M53" s="21"/>
      <c r="N53" s="22"/>
    </row>
    <row r="54" spans="1:14" ht="15.75" hidden="1" customHeight="1">
      <c r="A54" s="58"/>
      <c r="B54" s="52" t="s">
        <v>42</v>
      </c>
      <c r="C54" s="17"/>
      <c r="D54" s="16"/>
      <c r="E54" s="16"/>
      <c r="F54" s="16"/>
      <c r="G54" s="30"/>
      <c r="H54" s="30"/>
      <c r="I54" s="19"/>
      <c r="J54" s="24"/>
      <c r="L54" s="20"/>
      <c r="M54" s="21"/>
      <c r="N54" s="22"/>
    </row>
    <row r="55" spans="1:14" ht="15.75" hidden="1" customHeight="1">
      <c r="A55" s="45">
        <v>15</v>
      </c>
      <c r="B55" s="76" t="s">
        <v>130</v>
      </c>
      <c r="C55" s="65" t="s">
        <v>98</v>
      </c>
      <c r="D55" s="76" t="s">
        <v>53</v>
      </c>
      <c r="E55" s="85">
        <v>1640.4</v>
      </c>
      <c r="F55" s="13">
        <f>E55/100</f>
        <v>16.404</v>
      </c>
      <c r="G55" s="78">
        <v>472.59</v>
      </c>
      <c r="H55" s="79">
        <f>SUM(F55*G55/1000)</f>
        <v>7.7523663599999999</v>
      </c>
      <c r="I55" s="13">
        <v>0</v>
      </c>
      <c r="J55" s="24"/>
      <c r="L55" s="20"/>
      <c r="M55" s="21"/>
      <c r="N55" s="22"/>
    </row>
    <row r="56" spans="1:14" ht="31.5" hidden="1" customHeight="1">
      <c r="A56" s="45">
        <v>18</v>
      </c>
      <c r="B56" s="76" t="s">
        <v>131</v>
      </c>
      <c r="C56" s="65" t="s">
        <v>98</v>
      </c>
      <c r="D56" s="76" t="s">
        <v>132</v>
      </c>
      <c r="E56" s="77">
        <v>164.04</v>
      </c>
      <c r="F56" s="13">
        <f>E56*6/100</f>
        <v>9.8423999999999996</v>
      </c>
      <c r="G56" s="86">
        <v>1547.28</v>
      </c>
      <c r="H56" s="79">
        <f>F56*G56/1000</f>
        <v>15.228948671999998</v>
      </c>
      <c r="I56" s="13">
        <f>F56/6*G56</f>
        <v>2538.1581119999996</v>
      </c>
      <c r="J56" s="24"/>
      <c r="L56" s="20"/>
      <c r="M56" s="21"/>
      <c r="N56" s="22"/>
    </row>
    <row r="57" spans="1:14" ht="15.75" hidden="1" customHeight="1">
      <c r="A57" s="45">
        <v>19</v>
      </c>
      <c r="B57" s="87" t="s">
        <v>89</v>
      </c>
      <c r="C57" s="88" t="s">
        <v>98</v>
      </c>
      <c r="D57" s="87" t="s">
        <v>133</v>
      </c>
      <c r="E57" s="89">
        <v>8</v>
      </c>
      <c r="F57" s="90">
        <f>E57*8/100</f>
        <v>0.64</v>
      </c>
      <c r="G57" s="86">
        <v>1547.28</v>
      </c>
      <c r="H57" s="91">
        <f>F57*G57/1000</f>
        <v>0.99025920000000001</v>
      </c>
      <c r="I57" s="13">
        <f>F57/6*G57</f>
        <v>165.04320000000001</v>
      </c>
      <c r="J57" s="24"/>
      <c r="L57" s="20"/>
      <c r="M57" s="21"/>
      <c r="N57" s="22"/>
    </row>
    <row r="58" spans="1:14" ht="15.75" hidden="1" customHeight="1">
      <c r="A58" s="45"/>
      <c r="B58" s="87" t="s">
        <v>93</v>
      </c>
      <c r="C58" s="88" t="s">
        <v>94</v>
      </c>
      <c r="D58" s="87" t="s">
        <v>41</v>
      </c>
      <c r="E58" s="89">
        <v>8</v>
      </c>
      <c r="F58" s="90">
        <v>16</v>
      </c>
      <c r="G58" s="92">
        <v>180.78</v>
      </c>
      <c r="H58" s="91">
        <f>F58*G58/1000</f>
        <v>2.8924799999999999</v>
      </c>
      <c r="I58" s="13">
        <v>0</v>
      </c>
      <c r="J58" s="24"/>
      <c r="L58" s="20"/>
      <c r="M58" s="21"/>
      <c r="N58" s="22"/>
    </row>
    <row r="59" spans="1:14" ht="15.75" customHeight="1">
      <c r="A59" s="45"/>
      <c r="B59" s="71" t="s">
        <v>43</v>
      </c>
      <c r="C59" s="71"/>
      <c r="D59" s="71"/>
      <c r="E59" s="71"/>
      <c r="F59" s="71"/>
      <c r="G59" s="71"/>
      <c r="H59" s="71"/>
      <c r="I59" s="37"/>
      <c r="J59" s="24"/>
      <c r="L59" s="20"/>
      <c r="M59" s="21"/>
      <c r="N59" s="22"/>
    </row>
    <row r="60" spans="1:14" ht="15.75" customHeight="1">
      <c r="A60" s="45">
        <v>19</v>
      </c>
      <c r="B60" s="87" t="s">
        <v>90</v>
      </c>
      <c r="C60" s="88" t="s">
        <v>25</v>
      </c>
      <c r="D60" s="87" t="s">
        <v>178</v>
      </c>
      <c r="E60" s="89">
        <v>329.4</v>
      </c>
      <c r="F60" s="90">
        <f>E60*12</f>
        <v>3952.7999999999997</v>
      </c>
      <c r="G60" s="93">
        <v>1.4</v>
      </c>
      <c r="H60" s="91">
        <f>G60*F60</f>
        <v>5533.9199999999992</v>
      </c>
      <c r="I60" s="13">
        <f>2400/12*G60</f>
        <v>280</v>
      </c>
      <c r="J60" s="24"/>
      <c r="L60" s="20"/>
      <c r="M60" s="21"/>
      <c r="N60" s="22"/>
    </row>
    <row r="61" spans="1:14" ht="15.75" hidden="1" customHeight="1">
      <c r="A61" s="45"/>
      <c r="B61" s="87" t="s">
        <v>44</v>
      </c>
      <c r="C61" s="88" t="s">
        <v>25</v>
      </c>
      <c r="D61" s="87" t="s">
        <v>53</v>
      </c>
      <c r="E61" s="89">
        <v>1640.4</v>
      </c>
      <c r="F61" s="90">
        <v>16.404</v>
      </c>
      <c r="G61" s="94">
        <v>739.61</v>
      </c>
      <c r="H61" s="91">
        <f>G61*F61/1000</f>
        <v>12.132562439999999</v>
      </c>
      <c r="I61" s="13">
        <v>0</v>
      </c>
      <c r="J61" s="24"/>
      <c r="L61" s="20"/>
      <c r="M61" s="21"/>
      <c r="N61" s="22"/>
    </row>
    <row r="62" spans="1:14" ht="15.75" hidden="1" customHeight="1">
      <c r="A62" s="45"/>
      <c r="B62" s="71" t="s">
        <v>45</v>
      </c>
      <c r="C62" s="17"/>
      <c r="D62" s="41"/>
      <c r="E62" s="41"/>
      <c r="F62" s="16"/>
      <c r="G62" s="30"/>
      <c r="H62" s="30"/>
      <c r="I62" s="19"/>
      <c r="J62" s="24"/>
      <c r="L62" s="20"/>
      <c r="M62" s="21"/>
      <c r="N62" s="22"/>
    </row>
    <row r="63" spans="1:14" ht="19.5" hidden="1" customHeight="1">
      <c r="A63" s="45">
        <v>26</v>
      </c>
      <c r="B63" s="15" t="s">
        <v>46</v>
      </c>
      <c r="C63" s="17" t="s">
        <v>113</v>
      </c>
      <c r="D63" s="15" t="s">
        <v>183</v>
      </c>
      <c r="E63" s="19">
        <v>40</v>
      </c>
      <c r="F63" s="78">
        <v>40</v>
      </c>
      <c r="G63" s="13">
        <v>222.4</v>
      </c>
      <c r="H63" s="73">
        <f t="shared" ref="H63:H70" si="8">SUM(F63*G63/1000)</f>
        <v>8.8960000000000008</v>
      </c>
      <c r="I63" s="13">
        <f>G63*3</f>
        <v>667.2</v>
      </c>
      <c r="J63" s="24"/>
      <c r="L63" s="20"/>
      <c r="M63" s="21"/>
      <c r="N63" s="22"/>
    </row>
    <row r="64" spans="1:14" ht="19.5" hidden="1" customHeight="1">
      <c r="A64" s="30">
        <v>29</v>
      </c>
      <c r="B64" s="15" t="s">
        <v>47</v>
      </c>
      <c r="C64" s="17" t="s">
        <v>113</v>
      </c>
      <c r="D64" s="15" t="s">
        <v>65</v>
      </c>
      <c r="E64" s="19">
        <v>15</v>
      </c>
      <c r="F64" s="78">
        <v>15</v>
      </c>
      <c r="G64" s="13">
        <v>76.25</v>
      </c>
      <c r="H64" s="73">
        <f t="shared" si="8"/>
        <v>1.14375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28</v>
      </c>
      <c r="B65" s="15" t="s">
        <v>48</v>
      </c>
      <c r="C65" s="17" t="s">
        <v>114</v>
      </c>
      <c r="D65" s="15" t="s">
        <v>53</v>
      </c>
      <c r="E65" s="77">
        <v>24648</v>
      </c>
      <c r="F65" s="13">
        <f>SUM(E65/100)</f>
        <v>246.48</v>
      </c>
      <c r="G65" s="13">
        <v>212.15</v>
      </c>
      <c r="H65" s="73">
        <f t="shared" si="8"/>
        <v>52.290731999999998</v>
      </c>
      <c r="I65" s="13">
        <f>F65*G65</f>
        <v>52290.731999999996</v>
      </c>
      <c r="J65" s="24"/>
      <c r="L65" s="20"/>
      <c r="M65" s="21"/>
      <c r="N65" s="22"/>
    </row>
    <row r="66" spans="1:22" ht="15.75" hidden="1" customHeight="1">
      <c r="A66" s="30">
        <v>29</v>
      </c>
      <c r="B66" s="15" t="s">
        <v>49</v>
      </c>
      <c r="C66" s="17" t="s">
        <v>115</v>
      </c>
      <c r="D66" s="15"/>
      <c r="E66" s="77">
        <v>24648</v>
      </c>
      <c r="F66" s="13">
        <f>SUM(E66/1000)</f>
        <v>24.648</v>
      </c>
      <c r="G66" s="13">
        <v>165.21</v>
      </c>
      <c r="H66" s="73">
        <f t="shared" si="8"/>
        <v>4.0720960800000006</v>
      </c>
      <c r="I66" s="13">
        <f t="shared" ref="I66:I69" si="9">F66*G66</f>
        <v>4072.0960800000003</v>
      </c>
      <c r="J66" s="24"/>
      <c r="L66" s="20"/>
      <c r="M66" s="21"/>
      <c r="N66" s="22"/>
    </row>
    <row r="67" spans="1:22" ht="15.75" hidden="1" customHeight="1">
      <c r="A67" s="30">
        <v>30</v>
      </c>
      <c r="B67" s="15" t="s">
        <v>50</v>
      </c>
      <c r="C67" s="17" t="s">
        <v>74</v>
      </c>
      <c r="D67" s="15" t="s">
        <v>53</v>
      </c>
      <c r="E67" s="77">
        <v>2730</v>
      </c>
      <c r="F67" s="13">
        <f>SUM(E67/100)</f>
        <v>27.3</v>
      </c>
      <c r="G67" s="13">
        <v>2074.63</v>
      </c>
      <c r="H67" s="73">
        <f t="shared" si="8"/>
        <v>56.637399000000002</v>
      </c>
      <c r="I67" s="13">
        <f t="shared" si="9"/>
        <v>56637.399000000005</v>
      </c>
      <c r="J67" s="24"/>
      <c r="L67" s="20"/>
    </row>
    <row r="68" spans="1:22" ht="15.75" hidden="1" customHeight="1">
      <c r="A68" s="30">
        <v>31</v>
      </c>
      <c r="B68" s="95" t="s">
        <v>116</v>
      </c>
      <c r="C68" s="17" t="s">
        <v>33</v>
      </c>
      <c r="D68" s="15"/>
      <c r="E68" s="77">
        <v>20.28</v>
      </c>
      <c r="F68" s="13">
        <f>SUM(E68)</f>
        <v>20.28</v>
      </c>
      <c r="G68" s="13">
        <v>45.32</v>
      </c>
      <c r="H68" s="73">
        <f t="shared" si="8"/>
        <v>0.91908960000000006</v>
      </c>
      <c r="I68" s="13">
        <f t="shared" si="9"/>
        <v>919.08960000000002</v>
      </c>
    </row>
    <row r="69" spans="1:22" ht="15.75" hidden="1" customHeight="1">
      <c r="A69" s="30">
        <v>32</v>
      </c>
      <c r="B69" s="95" t="s">
        <v>140</v>
      </c>
      <c r="C69" s="17" t="s">
        <v>33</v>
      </c>
      <c r="D69" s="15"/>
      <c r="E69" s="77">
        <v>20.28</v>
      </c>
      <c r="F69" s="13">
        <f>SUM(E69)</f>
        <v>20.28</v>
      </c>
      <c r="G69" s="13">
        <v>42.28</v>
      </c>
      <c r="H69" s="73">
        <f t="shared" si="8"/>
        <v>0.85743840000000016</v>
      </c>
      <c r="I69" s="13">
        <f t="shared" si="9"/>
        <v>857.43840000000012</v>
      </c>
    </row>
    <row r="70" spans="1:22" ht="15.75" hidden="1" customHeight="1">
      <c r="A70" s="30">
        <v>13</v>
      </c>
      <c r="B70" s="15" t="s">
        <v>56</v>
      </c>
      <c r="C70" s="17" t="s">
        <v>57</v>
      </c>
      <c r="D70" s="15" t="s">
        <v>53</v>
      </c>
      <c r="E70" s="19">
        <v>12</v>
      </c>
      <c r="F70" s="78">
        <f>SUM(E70)</f>
        <v>12</v>
      </c>
      <c r="G70" s="13">
        <v>49.88</v>
      </c>
      <c r="H70" s="73">
        <f t="shared" si="8"/>
        <v>0.59856000000000009</v>
      </c>
      <c r="I70" s="13">
        <v>0</v>
      </c>
    </row>
    <row r="71" spans="1:22" ht="15.75" customHeight="1">
      <c r="A71" s="30"/>
      <c r="B71" s="135" t="s">
        <v>188</v>
      </c>
      <c r="C71" s="42"/>
      <c r="D71" s="41"/>
      <c r="E71" s="18"/>
      <c r="F71" s="136"/>
      <c r="G71" s="38"/>
      <c r="H71" s="73"/>
      <c r="I71" s="13"/>
    </row>
    <row r="72" spans="1:22" ht="28.5" customHeight="1">
      <c r="A72" s="30">
        <v>20</v>
      </c>
      <c r="B72" s="41" t="s">
        <v>189</v>
      </c>
      <c r="C72" s="45" t="s">
        <v>190</v>
      </c>
      <c r="D72" s="41"/>
      <c r="E72" s="18">
        <v>5926.8</v>
      </c>
      <c r="F72" s="38">
        <f>E72*12</f>
        <v>71121.600000000006</v>
      </c>
      <c r="G72" s="38">
        <v>2.4900000000000002</v>
      </c>
      <c r="H72" s="13"/>
      <c r="I72" s="13">
        <f>G72*F72/12</f>
        <v>14757.732000000004</v>
      </c>
    </row>
    <row r="73" spans="1:22" ht="15.75" customHeight="1">
      <c r="A73" s="58"/>
      <c r="B73" s="71" t="s">
        <v>117</v>
      </c>
      <c r="C73" s="71"/>
      <c r="D73" s="71"/>
      <c r="E73" s="71"/>
      <c r="F73" s="71"/>
      <c r="G73" s="71"/>
      <c r="H73" s="71"/>
      <c r="I73" s="19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customHeight="1">
      <c r="A74" s="30">
        <v>21</v>
      </c>
      <c r="B74" s="76" t="s">
        <v>118</v>
      </c>
      <c r="C74" s="17"/>
      <c r="D74" s="15"/>
      <c r="E74" s="74"/>
      <c r="F74" s="13">
        <v>1</v>
      </c>
      <c r="G74" s="13">
        <v>11469</v>
      </c>
      <c r="H74" s="73">
        <f>G74*F74/1000</f>
        <v>11.468999999999999</v>
      </c>
      <c r="I74" s="13">
        <f>G74*1</f>
        <v>11469</v>
      </c>
      <c r="J74" s="26"/>
      <c r="K74" s="26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customHeight="1">
      <c r="A75" s="30"/>
      <c r="B75" s="53" t="s">
        <v>71</v>
      </c>
      <c r="C75" s="53"/>
      <c r="D75" s="53"/>
      <c r="E75" s="53"/>
      <c r="F75" s="19"/>
      <c r="G75" s="30"/>
      <c r="H75" s="30"/>
      <c r="I75" s="19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0"/>
      <c r="B76" s="15" t="s">
        <v>83</v>
      </c>
      <c r="C76" s="17" t="s">
        <v>31</v>
      </c>
      <c r="D76" s="15"/>
      <c r="E76" s="19">
        <v>2</v>
      </c>
      <c r="F76" s="78">
        <f>SUM(E76)</f>
        <v>2</v>
      </c>
      <c r="G76" s="13">
        <v>358.51</v>
      </c>
      <c r="H76" s="73">
        <f>SUM(F76*G76/1000)</f>
        <v>0.71701999999999999</v>
      </c>
      <c r="I76" s="13">
        <v>0</v>
      </c>
      <c r="J76" s="5"/>
      <c r="K76" s="5"/>
      <c r="L76" s="5"/>
      <c r="M76" s="5"/>
      <c r="N76" s="5"/>
      <c r="O76" s="5"/>
      <c r="P76" s="5"/>
      <c r="Q76" s="5"/>
      <c r="R76" s="178"/>
      <c r="S76" s="178"/>
      <c r="T76" s="178"/>
      <c r="U76" s="178"/>
    </row>
    <row r="77" spans="1:22" ht="15.75" hidden="1" customHeight="1">
      <c r="A77" s="30"/>
      <c r="B77" s="15" t="s">
        <v>72</v>
      </c>
      <c r="C77" s="17" t="s">
        <v>31</v>
      </c>
      <c r="D77" s="15"/>
      <c r="E77" s="19">
        <v>1</v>
      </c>
      <c r="F77" s="13">
        <v>1</v>
      </c>
      <c r="G77" s="13">
        <v>852.99</v>
      </c>
      <c r="H77" s="73">
        <f>F77*G77/1000</f>
        <v>0.85299000000000003</v>
      </c>
      <c r="I77" s="13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customHeight="1">
      <c r="A78" s="30">
        <v>22</v>
      </c>
      <c r="B78" s="41" t="s">
        <v>191</v>
      </c>
      <c r="C78" s="42" t="s">
        <v>113</v>
      </c>
      <c r="D78" s="41" t="s">
        <v>179</v>
      </c>
      <c r="E78" s="18">
        <v>2</v>
      </c>
      <c r="F78" s="38">
        <f>E78*12</f>
        <v>24</v>
      </c>
      <c r="G78" s="38">
        <v>404</v>
      </c>
      <c r="H78" s="73"/>
      <c r="I78" s="13">
        <f>G78*F78/12</f>
        <v>808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2" ht="15.75" customHeight="1">
      <c r="A79" s="30">
        <v>23</v>
      </c>
      <c r="B79" s="41" t="s">
        <v>192</v>
      </c>
      <c r="C79" s="42" t="s">
        <v>113</v>
      </c>
      <c r="D79" s="41" t="s">
        <v>179</v>
      </c>
      <c r="E79" s="18">
        <v>1</v>
      </c>
      <c r="F79" s="38">
        <f>E79*12</f>
        <v>12</v>
      </c>
      <c r="G79" s="38">
        <v>1759</v>
      </c>
      <c r="H79" s="73"/>
      <c r="I79" s="13">
        <f>G79*F79/12</f>
        <v>1759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/>
      <c r="B80" s="54" t="s">
        <v>73</v>
      </c>
      <c r="C80" s="42"/>
      <c r="D80" s="30"/>
      <c r="E80" s="30"/>
      <c r="F80" s="19"/>
      <c r="G80" s="38" t="s">
        <v>134</v>
      </c>
      <c r="H80" s="38"/>
      <c r="I80" s="19"/>
    </row>
    <row r="81" spans="1:9" ht="15.75" hidden="1" customHeight="1">
      <c r="A81" s="30">
        <v>39</v>
      </c>
      <c r="B81" s="56" t="s">
        <v>119</v>
      </c>
      <c r="C81" s="17" t="s">
        <v>74</v>
      </c>
      <c r="D81" s="15"/>
      <c r="E81" s="19"/>
      <c r="F81" s="13">
        <v>1.35</v>
      </c>
      <c r="G81" s="13">
        <v>2759.44</v>
      </c>
      <c r="H81" s="73">
        <f>SUM(F81*G81/1000)</f>
        <v>3.725244</v>
      </c>
      <c r="I81" s="13">
        <v>0</v>
      </c>
    </row>
    <row r="82" spans="1:9" ht="15.75" customHeight="1">
      <c r="A82" s="169" t="s">
        <v>138</v>
      </c>
      <c r="B82" s="170"/>
      <c r="C82" s="170"/>
      <c r="D82" s="170"/>
      <c r="E82" s="170"/>
      <c r="F82" s="170"/>
      <c r="G82" s="170"/>
      <c r="H82" s="170"/>
      <c r="I82" s="171"/>
    </row>
    <row r="83" spans="1:9" ht="15.75" customHeight="1">
      <c r="A83" s="30">
        <v>24</v>
      </c>
      <c r="B83" s="41" t="s">
        <v>120</v>
      </c>
      <c r="C83" s="42" t="s">
        <v>54</v>
      </c>
      <c r="D83" s="146"/>
      <c r="E83" s="38">
        <v>5926.8</v>
      </c>
      <c r="F83" s="38">
        <f>SUM(E83*12)</f>
        <v>71121.600000000006</v>
      </c>
      <c r="G83" s="38">
        <v>3.38</v>
      </c>
      <c r="H83" s="13">
        <f>SUM(F83*G83/1000)</f>
        <v>240.391008</v>
      </c>
      <c r="I83" s="13">
        <f>F83/12*G83</f>
        <v>20032.583999999999</v>
      </c>
    </row>
    <row r="84" spans="1:9" ht="31.5" customHeight="1">
      <c r="A84" s="30">
        <v>25</v>
      </c>
      <c r="B84" s="143" t="s">
        <v>193</v>
      </c>
      <c r="C84" s="137"/>
      <c r="D84" s="144"/>
      <c r="E84" s="145">
        <f>E83</f>
        <v>5926.8</v>
      </c>
      <c r="F84" s="139">
        <f>E84*12</f>
        <v>71121.600000000006</v>
      </c>
      <c r="G84" s="139">
        <v>3.05</v>
      </c>
      <c r="H84" s="130">
        <f>F84*G84/1000</f>
        <v>216.92088000000001</v>
      </c>
      <c r="I84" s="131">
        <f>F84/12*G84</f>
        <v>18076.739999999998</v>
      </c>
    </row>
    <row r="85" spans="1:9" ht="15.75" customHeight="1">
      <c r="A85" s="58"/>
      <c r="B85" s="43" t="s">
        <v>76</v>
      </c>
      <c r="C85" s="45"/>
      <c r="D85" s="16"/>
      <c r="E85" s="16"/>
      <c r="F85" s="16"/>
      <c r="G85" s="19"/>
      <c r="H85" s="19"/>
      <c r="I85" s="32">
        <f>I84+I83+I79+I78+I72+I60+I50+I51+I49+I48+I47+I46+I45+I44+I33+I32+I31+I30+I27+I21+I20+I18+I17+I16+I74</f>
        <v>130898.17107099999</v>
      </c>
    </row>
    <row r="86" spans="1:9" ht="15.75" customHeight="1">
      <c r="A86" s="172" t="s">
        <v>59</v>
      </c>
      <c r="B86" s="173"/>
      <c r="C86" s="173"/>
      <c r="D86" s="173"/>
      <c r="E86" s="173"/>
      <c r="F86" s="173"/>
      <c r="G86" s="173"/>
      <c r="H86" s="173"/>
      <c r="I86" s="174"/>
    </row>
    <row r="87" spans="1:9" ht="15.75" customHeight="1">
      <c r="A87" s="30">
        <v>26</v>
      </c>
      <c r="B87" s="97" t="s">
        <v>158</v>
      </c>
      <c r="C87" s="98" t="s">
        <v>80</v>
      </c>
      <c r="D87" s="63" t="s">
        <v>257</v>
      </c>
      <c r="E87" s="38"/>
      <c r="F87" s="38">
        <v>13</v>
      </c>
      <c r="G87" s="38">
        <v>222.63</v>
      </c>
      <c r="H87" s="96">
        <f>G87*F87/1000</f>
        <v>2.89419</v>
      </c>
      <c r="I87" s="13">
        <f>G87*1</f>
        <v>222.63</v>
      </c>
    </row>
    <row r="88" spans="1:9" ht="15.75" customHeight="1">
      <c r="A88" s="30">
        <v>27</v>
      </c>
      <c r="B88" s="159" t="s">
        <v>159</v>
      </c>
      <c r="C88" s="98" t="s">
        <v>167</v>
      </c>
      <c r="D88" s="63" t="s">
        <v>338</v>
      </c>
      <c r="E88" s="38"/>
      <c r="F88" s="38">
        <v>17</v>
      </c>
      <c r="G88" s="38">
        <v>284</v>
      </c>
      <c r="H88" s="96"/>
      <c r="I88" s="13">
        <v>0</v>
      </c>
    </row>
    <row r="89" spans="1:9" ht="15.75" customHeight="1">
      <c r="A89" s="30"/>
      <c r="B89" s="50" t="s">
        <v>51</v>
      </c>
      <c r="C89" s="46"/>
      <c r="D89" s="59"/>
      <c r="E89" s="59"/>
      <c r="F89" s="46">
        <v>1</v>
      </c>
      <c r="G89" s="46"/>
      <c r="H89" s="46"/>
      <c r="I89" s="32">
        <f>SUM(I87:I88)</f>
        <v>222.63</v>
      </c>
    </row>
    <row r="90" spans="1:9" ht="15.75" customHeight="1">
      <c r="A90" s="30"/>
      <c r="B90" s="56" t="s">
        <v>75</v>
      </c>
      <c r="C90" s="16"/>
      <c r="D90" s="16"/>
      <c r="E90" s="16"/>
      <c r="F90" s="47"/>
      <c r="G90" s="48"/>
      <c r="H90" s="48"/>
      <c r="I90" s="18">
        <v>0</v>
      </c>
    </row>
    <row r="91" spans="1:9" ht="15.75" customHeight="1">
      <c r="A91" s="60"/>
      <c r="B91" s="51" t="s">
        <v>141</v>
      </c>
      <c r="C91" s="36"/>
      <c r="D91" s="36"/>
      <c r="E91" s="36"/>
      <c r="F91" s="36"/>
      <c r="G91" s="36"/>
      <c r="H91" s="36"/>
      <c r="I91" s="49">
        <f>I85+I89</f>
        <v>131120.80107099999</v>
      </c>
    </row>
    <row r="92" spans="1:9" ht="15.75" customHeight="1">
      <c r="A92" s="188" t="s">
        <v>339</v>
      </c>
      <c r="B92" s="188"/>
      <c r="C92" s="188"/>
      <c r="D92" s="188"/>
      <c r="E92" s="188"/>
      <c r="F92" s="188"/>
      <c r="G92" s="188"/>
      <c r="H92" s="188"/>
      <c r="I92" s="188"/>
    </row>
    <row r="93" spans="1:9" ht="15.75" customHeight="1">
      <c r="A93" s="72"/>
      <c r="B93" s="180" t="s">
        <v>340</v>
      </c>
      <c r="C93" s="180"/>
      <c r="D93" s="180"/>
      <c r="E93" s="180"/>
      <c r="F93" s="180"/>
      <c r="G93" s="180"/>
      <c r="H93" s="75"/>
      <c r="I93" s="3"/>
    </row>
    <row r="94" spans="1:9" ht="15.75" customHeight="1">
      <c r="A94" s="67"/>
      <c r="B94" s="176" t="s">
        <v>6</v>
      </c>
      <c r="C94" s="176"/>
      <c r="D94" s="176"/>
      <c r="E94" s="176"/>
      <c r="F94" s="176"/>
      <c r="G94" s="176"/>
      <c r="H94" s="25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81" t="s">
        <v>7</v>
      </c>
      <c r="B96" s="181"/>
      <c r="C96" s="181"/>
      <c r="D96" s="181"/>
      <c r="E96" s="181"/>
      <c r="F96" s="181"/>
      <c r="G96" s="181"/>
      <c r="H96" s="181"/>
      <c r="I96" s="181"/>
    </row>
    <row r="97" spans="1:9" ht="15.75" customHeight="1">
      <c r="A97" s="181" t="s">
        <v>8</v>
      </c>
      <c r="B97" s="181"/>
      <c r="C97" s="181"/>
      <c r="D97" s="181"/>
      <c r="E97" s="181"/>
      <c r="F97" s="181"/>
      <c r="G97" s="181"/>
      <c r="H97" s="181"/>
      <c r="I97" s="181"/>
    </row>
    <row r="98" spans="1:9" ht="15.75" customHeight="1">
      <c r="A98" s="182" t="s">
        <v>60</v>
      </c>
      <c r="B98" s="182"/>
      <c r="C98" s="182"/>
      <c r="D98" s="182"/>
      <c r="E98" s="182"/>
      <c r="F98" s="182"/>
      <c r="G98" s="182"/>
      <c r="H98" s="182"/>
      <c r="I98" s="182"/>
    </row>
    <row r="99" spans="1:9" ht="15.75" customHeight="1">
      <c r="A99" s="11"/>
    </row>
    <row r="100" spans="1:9" ht="15.75" customHeight="1">
      <c r="A100" s="183" t="s">
        <v>9</v>
      </c>
      <c r="B100" s="183"/>
      <c r="C100" s="183"/>
      <c r="D100" s="183"/>
      <c r="E100" s="183"/>
      <c r="F100" s="183"/>
      <c r="G100" s="183"/>
      <c r="H100" s="183"/>
      <c r="I100" s="183"/>
    </row>
    <row r="101" spans="1:9" ht="15.75" customHeight="1">
      <c r="A101" s="4"/>
    </row>
    <row r="102" spans="1:9" ht="15.75" customHeight="1">
      <c r="B102" s="66" t="s">
        <v>10</v>
      </c>
      <c r="C102" s="175" t="s">
        <v>85</v>
      </c>
      <c r="D102" s="175"/>
      <c r="E102" s="175"/>
      <c r="F102" s="175"/>
      <c r="I102" s="69"/>
    </row>
    <row r="103" spans="1:9" ht="15.75" customHeight="1">
      <c r="A103" s="67"/>
      <c r="C103" s="176" t="s">
        <v>11</v>
      </c>
      <c r="D103" s="176"/>
      <c r="E103" s="176"/>
      <c r="F103" s="176"/>
      <c r="I103" s="68" t="s">
        <v>12</v>
      </c>
    </row>
    <row r="104" spans="1:9" ht="15.75" customHeight="1">
      <c r="A104" s="26"/>
      <c r="C104" s="12"/>
      <c r="D104" s="12"/>
      <c r="E104" s="12"/>
      <c r="G104" s="12"/>
      <c r="H104" s="12"/>
    </row>
    <row r="105" spans="1:9" ht="15.75" customHeight="1">
      <c r="B105" s="66" t="s">
        <v>13</v>
      </c>
      <c r="C105" s="177"/>
      <c r="D105" s="177"/>
      <c r="E105" s="177"/>
      <c r="F105" s="177"/>
      <c r="I105" s="69"/>
    </row>
    <row r="106" spans="1:9" ht="15.75" customHeight="1">
      <c r="A106" s="67"/>
      <c r="C106" s="178" t="s">
        <v>11</v>
      </c>
      <c r="D106" s="178"/>
      <c r="E106" s="178"/>
      <c r="F106" s="178"/>
      <c r="I106" s="68" t="s">
        <v>12</v>
      </c>
    </row>
    <row r="107" spans="1:9" ht="15.75" customHeight="1">
      <c r="A107" s="4" t="s">
        <v>14</v>
      </c>
    </row>
    <row r="108" spans="1:9">
      <c r="A108" s="179" t="s">
        <v>15</v>
      </c>
      <c r="B108" s="179"/>
      <c r="C108" s="179"/>
      <c r="D108" s="179"/>
      <c r="E108" s="179"/>
      <c r="F108" s="179"/>
      <c r="G108" s="179"/>
      <c r="H108" s="179"/>
      <c r="I108" s="179"/>
    </row>
    <row r="109" spans="1:9" ht="45" customHeight="1">
      <c r="A109" s="168" t="s">
        <v>16</v>
      </c>
      <c r="B109" s="168"/>
      <c r="C109" s="168"/>
      <c r="D109" s="168"/>
      <c r="E109" s="168"/>
      <c r="F109" s="168"/>
      <c r="G109" s="168"/>
      <c r="H109" s="168"/>
      <c r="I109" s="168"/>
    </row>
    <row r="110" spans="1:9" ht="30" customHeight="1">
      <c r="A110" s="168" t="s">
        <v>17</v>
      </c>
      <c r="B110" s="168"/>
      <c r="C110" s="168"/>
      <c r="D110" s="168"/>
      <c r="E110" s="168"/>
      <c r="F110" s="168"/>
      <c r="G110" s="168"/>
      <c r="H110" s="168"/>
      <c r="I110" s="168"/>
    </row>
    <row r="111" spans="1:9" ht="30" customHeight="1">
      <c r="A111" s="168" t="s">
        <v>21</v>
      </c>
      <c r="B111" s="168"/>
      <c r="C111" s="168"/>
      <c r="D111" s="168"/>
      <c r="E111" s="168"/>
      <c r="F111" s="168"/>
      <c r="G111" s="168"/>
      <c r="H111" s="168"/>
      <c r="I111" s="168"/>
    </row>
    <row r="112" spans="1:9" ht="15" customHeight="1">
      <c r="A112" s="168" t="s">
        <v>20</v>
      </c>
      <c r="B112" s="168"/>
      <c r="C112" s="168"/>
      <c r="D112" s="168"/>
      <c r="E112" s="168"/>
      <c r="F112" s="168"/>
      <c r="G112" s="168"/>
      <c r="H112" s="168"/>
      <c r="I112" s="168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6:F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F102"/>
    <mergeCell ref="C103:F103"/>
    <mergeCell ref="C105:F105"/>
    <mergeCell ref="A82:I82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99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8"/>
  <sheetViews>
    <sheetView topLeftCell="A90" workbookViewId="0">
      <selection activeCell="B99" sqref="B99:G99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1.2851562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147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259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31">
        <v>44012</v>
      </c>
      <c r="J6" s="2"/>
      <c r="K6" s="2"/>
      <c r="L6" s="2"/>
      <c r="M6" s="2"/>
    </row>
    <row r="7" spans="1:13" ht="15.75" customHeight="1">
      <c r="B7" s="66"/>
      <c r="C7" s="66"/>
      <c r="D7" s="66"/>
      <c r="E7" s="66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186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175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6" si="0">SUM(F16*G16/1000)</f>
        <v>62.943028199999993</v>
      </c>
      <c r="I16" s="13">
        <f>F16/12*G16</f>
        <v>5245.2523499999998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176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F17/12*G17</f>
        <v>13987.339599999998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177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F18/18*2*G18</f>
        <v>11607.841499999999</v>
      </c>
      <c r="J18" s="23"/>
      <c r="K18" s="8"/>
      <c r="L18" s="8"/>
      <c r="M18" s="8"/>
    </row>
    <row r="19" spans="1:13" ht="15.75" customHeight="1">
      <c r="A19" s="30">
        <v>4</v>
      </c>
      <c r="B19" s="34" t="s">
        <v>99</v>
      </c>
      <c r="C19" s="44" t="s">
        <v>100</v>
      </c>
      <c r="D19" s="34" t="s">
        <v>260</v>
      </c>
      <c r="E19" s="132">
        <v>40</v>
      </c>
      <c r="F19" s="33">
        <f>SUM(E19/10)</f>
        <v>4</v>
      </c>
      <c r="G19" s="33">
        <v>243.94</v>
      </c>
      <c r="H19" s="79">
        <f t="shared" si="0"/>
        <v>0.97575999999999996</v>
      </c>
      <c r="I19" s="13">
        <f>F19*G19</f>
        <v>975.76</v>
      </c>
      <c r="J19" s="23"/>
      <c r="K19" s="8"/>
      <c r="L19" s="8"/>
      <c r="M19" s="8"/>
    </row>
    <row r="20" spans="1:13" ht="15.75" customHeight="1">
      <c r="A20" s="30">
        <v>5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6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customHeight="1">
      <c r="A22" s="30">
        <v>7</v>
      </c>
      <c r="B22" s="34" t="s">
        <v>102</v>
      </c>
      <c r="C22" s="44" t="s">
        <v>52</v>
      </c>
      <c r="D22" s="34" t="s">
        <v>180</v>
      </c>
      <c r="E22" s="132">
        <v>822.72</v>
      </c>
      <c r="F22" s="33">
        <f>SUM(E22/100)</f>
        <v>8.2271999999999998</v>
      </c>
      <c r="G22" s="33">
        <v>386</v>
      </c>
      <c r="H22" s="79">
        <f t="shared" si="0"/>
        <v>3.1756991999999999</v>
      </c>
      <c r="I22" s="13">
        <f>F22*G22</f>
        <v>3175.6992</v>
      </c>
      <c r="J22" s="23"/>
      <c r="K22" s="8"/>
      <c r="L22" s="8"/>
      <c r="M22" s="8"/>
    </row>
    <row r="23" spans="1:13" ht="15.75" customHeight="1">
      <c r="A23" s="30">
        <v>8</v>
      </c>
      <c r="B23" s="76" t="s">
        <v>103</v>
      </c>
      <c r="C23" s="65" t="s">
        <v>52</v>
      </c>
      <c r="D23" s="76" t="s">
        <v>260</v>
      </c>
      <c r="E23" s="80">
        <v>96.6</v>
      </c>
      <c r="F23" s="78">
        <f>SUM(E23/100)</f>
        <v>0.96599999999999997</v>
      </c>
      <c r="G23" s="121">
        <v>63.49</v>
      </c>
      <c r="H23" s="79">
        <f t="shared" si="0"/>
        <v>6.1331339999999998E-2</v>
      </c>
      <c r="I23" s="13">
        <f>F23*G23</f>
        <v>61.331339999999997</v>
      </c>
      <c r="J23" s="23"/>
      <c r="K23" s="8"/>
      <c r="L23" s="8"/>
      <c r="M23" s="8"/>
    </row>
    <row r="24" spans="1:13" ht="15.75" customHeight="1">
      <c r="A24" s="30">
        <v>9</v>
      </c>
      <c r="B24" s="34" t="s">
        <v>122</v>
      </c>
      <c r="C24" s="44" t="s">
        <v>52</v>
      </c>
      <c r="D24" s="34" t="s">
        <v>178</v>
      </c>
      <c r="E24" s="167">
        <v>38</v>
      </c>
      <c r="F24" s="33">
        <v>0.38</v>
      </c>
      <c r="G24" s="33">
        <v>309.81</v>
      </c>
      <c r="H24" s="79">
        <f>G24*F24/1000</f>
        <v>0.11772780000000001</v>
      </c>
      <c r="I24" s="13">
        <f>F24*G24</f>
        <v>117.7278</v>
      </c>
      <c r="J24" s="23"/>
      <c r="K24" s="8"/>
      <c r="L24" s="8"/>
      <c r="M24" s="8"/>
    </row>
    <row r="25" spans="1:13" ht="15.75" customHeight="1">
      <c r="A25" s="30">
        <v>10</v>
      </c>
      <c r="B25" s="34" t="s">
        <v>96</v>
      </c>
      <c r="C25" s="44" t="s">
        <v>52</v>
      </c>
      <c r="D25" s="34" t="s">
        <v>178</v>
      </c>
      <c r="E25" s="132">
        <v>17</v>
      </c>
      <c r="F25" s="33">
        <f>SUM(E25/100)</f>
        <v>0.17</v>
      </c>
      <c r="G25" s="33">
        <v>746.6</v>
      </c>
      <c r="H25" s="79">
        <f t="shared" si="0"/>
        <v>0.12692200000000001</v>
      </c>
      <c r="I25" s="13">
        <f>F25/1*G25</f>
        <v>126.92200000000001</v>
      </c>
      <c r="J25" s="23"/>
      <c r="K25" s="8"/>
      <c r="L25" s="8"/>
      <c r="M25" s="8"/>
    </row>
    <row r="26" spans="1:13" ht="15.75" customHeight="1">
      <c r="A26" s="30">
        <v>11</v>
      </c>
      <c r="B26" s="34" t="s">
        <v>174</v>
      </c>
      <c r="C26" s="44" t="s">
        <v>33</v>
      </c>
      <c r="D26" s="34" t="s">
        <v>182</v>
      </c>
      <c r="E26" s="125">
        <v>0.2</v>
      </c>
      <c r="F26" s="33">
        <f>E26*258</f>
        <v>51.6</v>
      </c>
      <c r="G26" s="33">
        <v>289.5</v>
      </c>
      <c r="H26" s="79">
        <f t="shared" si="0"/>
        <v>14.9382</v>
      </c>
      <c r="I26" s="13">
        <f>F26/12*G26</f>
        <v>1244.8499999999999</v>
      </c>
      <c r="J26" s="23"/>
      <c r="K26" s="8"/>
      <c r="L26" s="8"/>
      <c r="M26" s="8"/>
    </row>
    <row r="27" spans="1:13" ht="15.75" customHeight="1">
      <c r="A27" s="184" t="s">
        <v>81</v>
      </c>
      <c r="B27" s="184"/>
      <c r="C27" s="184"/>
      <c r="D27" s="184"/>
      <c r="E27" s="184"/>
      <c r="F27" s="184"/>
      <c r="G27" s="184"/>
      <c r="H27" s="184"/>
      <c r="I27" s="184"/>
      <c r="J27" s="23"/>
      <c r="K27" s="8"/>
      <c r="L27" s="8"/>
      <c r="M27" s="8"/>
    </row>
    <row r="28" spans="1:13" ht="15.75" customHeight="1">
      <c r="A28" s="45"/>
      <c r="B28" s="55" t="s">
        <v>28</v>
      </c>
      <c r="C28" s="55"/>
      <c r="D28" s="55"/>
      <c r="E28" s="55"/>
      <c r="F28" s="55"/>
      <c r="G28" s="55"/>
      <c r="H28" s="55"/>
      <c r="I28" s="19"/>
      <c r="J28" s="23"/>
      <c r="K28" s="8"/>
      <c r="L28" s="8"/>
      <c r="M28" s="8"/>
    </row>
    <row r="29" spans="1:13" ht="15.75" customHeight="1">
      <c r="A29" s="45">
        <v>12</v>
      </c>
      <c r="B29" s="34" t="s">
        <v>104</v>
      </c>
      <c r="C29" s="44" t="s">
        <v>105</v>
      </c>
      <c r="D29" s="34" t="s">
        <v>184</v>
      </c>
      <c r="E29" s="33">
        <v>877.4</v>
      </c>
      <c r="F29" s="33">
        <f>SUM(E29*24/1000)</f>
        <v>21.057599999999997</v>
      </c>
      <c r="G29" s="33">
        <v>223.46</v>
      </c>
      <c r="H29" s="79">
        <f t="shared" ref="H29:H31" si="1">SUM(F29*G29/1000)</f>
        <v>4.7055312959999993</v>
      </c>
      <c r="I29" s="13">
        <f>F29/6*G29</f>
        <v>784.2552159999999</v>
      </c>
      <c r="J29" s="23"/>
      <c r="K29" s="8"/>
      <c r="L29" s="8"/>
      <c r="M29" s="8"/>
    </row>
    <row r="30" spans="1:13" ht="31.5" customHeight="1">
      <c r="A30" s="45">
        <v>13</v>
      </c>
      <c r="B30" s="34" t="s">
        <v>126</v>
      </c>
      <c r="C30" s="44" t="s">
        <v>105</v>
      </c>
      <c r="D30" s="34" t="s">
        <v>176</v>
      </c>
      <c r="E30" s="33">
        <v>214.34</v>
      </c>
      <c r="F30" s="33">
        <f>SUM(E30*52/1000)</f>
        <v>11.14568</v>
      </c>
      <c r="G30" s="33">
        <v>370.77</v>
      </c>
      <c r="H30" s="79">
        <f t="shared" si="1"/>
        <v>4.1324837735999997</v>
      </c>
      <c r="I30" s="13">
        <f t="shared" ref="I30:I32" si="2">F30/6*G30</f>
        <v>688.74729559999992</v>
      </c>
      <c r="J30" s="23"/>
      <c r="K30" s="8"/>
      <c r="L30" s="8"/>
      <c r="M30" s="8"/>
    </row>
    <row r="31" spans="1:13" ht="15.75" hidden="1" customHeight="1">
      <c r="A31" s="45">
        <v>16</v>
      </c>
      <c r="B31" s="34" t="s">
        <v>27</v>
      </c>
      <c r="C31" s="44" t="s">
        <v>105</v>
      </c>
      <c r="D31" s="34" t="s">
        <v>179</v>
      </c>
      <c r="E31" s="33">
        <v>877.4</v>
      </c>
      <c r="F31" s="33">
        <f>SUM(E31/1000)</f>
        <v>0.87739999999999996</v>
      </c>
      <c r="G31" s="33">
        <v>4329.78</v>
      </c>
      <c r="H31" s="79">
        <f t="shared" si="1"/>
        <v>3.7989489719999998</v>
      </c>
      <c r="I31" s="13">
        <f>F31*G31</f>
        <v>3798.9489719999997</v>
      </c>
      <c r="J31" s="23"/>
      <c r="K31" s="8"/>
      <c r="L31" s="8"/>
      <c r="M31" s="8"/>
    </row>
    <row r="32" spans="1:13" ht="15.75" customHeight="1">
      <c r="A32" s="45">
        <v>14</v>
      </c>
      <c r="B32" s="34" t="s">
        <v>124</v>
      </c>
      <c r="C32" s="44" t="s">
        <v>39</v>
      </c>
      <c r="D32" s="34" t="s">
        <v>181</v>
      </c>
      <c r="E32" s="33">
        <v>8</v>
      </c>
      <c r="F32" s="33">
        <v>12.4</v>
      </c>
      <c r="G32" s="33">
        <v>1866.51</v>
      </c>
      <c r="H32" s="79">
        <v>16.145</v>
      </c>
      <c r="I32" s="13">
        <f t="shared" si="2"/>
        <v>3857.4540000000002</v>
      </c>
      <c r="J32" s="23"/>
      <c r="K32" s="8"/>
      <c r="L32" s="8"/>
      <c r="M32" s="8"/>
    </row>
    <row r="33" spans="1:14" ht="15.75" hidden="1" customHeight="1">
      <c r="A33" s="45">
        <v>4</v>
      </c>
      <c r="B33" s="76" t="s">
        <v>63</v>
      </c>
      <c r="C33" s="65" t="s">
        <v>33</v>
      </c>
      <c r="D33" s="76" t="s">
        <v>65</v>
      </c>
      <c r="E33" s="77"/>
      <c r="F33" s="78">
        <v>2</v>
      </c>
      <c r="G33" s="78">
        <v>191.32</v>
      </c>
      <c r="H33" s="79">
        <f t="shared" ref="H33:H34" si="3">SUM(F33*G33/1000)</f>
        <v>0.38263999999999998</v>
      </c>
      <c r="I33" s="13">
        <v>0</v>
      </c>
      <c r="J33" s="23"/>
      <c r="K33" s="8"/>
    </row>
    <row r="34" spans="1:14" ht="15.75" hidden="1" customHeight="1">
      <c r="A34" s="30">
        <v>12</v>
      </c>
      <c r="B34" s="76" t="s">
        <v>64</v>
      </c>
      <c r="C34" s="65" t="s">
        <v>32</v>
      </c>
      <c r="D34" s="76" t="s">
        <v>185</v>
      </c>
      <c r="E34" s="77"/>
      <c r="F34" s="78">
        <v>3</v>
      </c>
      <c r="G34" s="78">
        <v>1136.32</v>
      </c>
      <c r="H34" s="79">
        <f t="shared" si="3"/>
        <v>3.40896</v>
      </c>
      <c r="I34" s="13">
        <f>G34*1</f>
        <v>1136.32</v>
      </c>
      <c r="J34" s="24"/>
    </row>
    <row r="35" spans="1:14" ht="15.75" hidden="1" customHeight="1">
      <c r="A35" s="45"/>
      <c r="B35" s="53" t="s">
        <v>5</v>
      </c>
      <c r="C35" s="53"/>
      <c r="D35" s="53"/>
      <c r="E35" s="53"/>
      <c r="F35" s="13"/>
      <c r="G35" s="14"/>
      <c r="H35" s="14"/>
      <c r="I35" s="19"/>
      <c r="J35" s="24"/>
    </row>
    <row r="36" spans="1:14" ht="15.75" hidden="1" customHeight="1">
      <c r="A36" s="35">
        <v>10</v>
      </c>
      <c r="B36" s="76" t="s">
        <v>26</v>
      </c>
      <c r="C36" s="65" t="s">
        <v>32</v>
      </c>
      <c r="D36" s="76"/>
      <c r="E36" s="77"/>
      <c r="F36" s="78">
        <v>15</v>
      </c>
      <c r="G36" s="78">
        <v>1527.22</v>
      </c>
      <c r="H36" s="79">
        <f>SUM(F36*G36/1000)</f>
        <v>22.908300000000001</v>
      </c>
      <c r="I36" s="13">
        <f t="shared" ref="I36:I41" si="4">F36/6*G36</f>
        <v>3818.05</v>
      </c>
      <c r="J36" s="24"/>
    </row>
    <row r="37" spans="1:14" ht="15.75" hidden="1" customHeight="1">
      <c r="A37" s="35">
        <v>11</v>
      </c>
      <c r="B37" s="76" t="s">
        <v>66</v>
      </c>
      <c r="C37" s="65" t="s">
        <v>29</v>
      </c>
      <c r="D37" s="76" t="s">
        <v>108</v>
      </c>
      <c r="E37" s="78">
        <v>547.85</v>
      </c>
      <c r="F37" s="78">
        <f>SUM(E37*50/1000)</f>
        <v>27.392499999999998</v>
      </c>
      <c r="G37" s="78">
        <v>2102.71</v>
      </c>
      <c r="H37" s="79">
        <f t="shared" ref="H37:H41" si="5">SUM(F37*G37/1000)</f>
        <v>57.598483674999997</v>
      </c>
      <c r="I37" s="13">
        <f t="shared" si="4"/>
        <v>9599.747279166666</v>
      </c>
      <c r="J37" s="24"/>
    </row>
    <row r="38" spans="1:14" ht="15.75" hidden="1" customHeight="1">
      <c r="A38" s="35">
        <v>12</v>
      </c>
      <c r="B38" s="76" t="s">
        <v>67</v>
      </c>
      <c r="C38" s="65" t="s">
        <v>29</v>
      </c>
      <c r="D38" s="76" t="s">
        <v>109</v>
      </c>
      <c r="E38" s="78">
        <v>140</v>
      </c>
      <c r="F38" s="78">
        <f>SUM(E38*155/1000)</f>
        <v>21.7</v>
      </c>
      <c r="G38" s="78">
        <v>350.75</v>
      </c>
      <c r="H38" s="79">
        <f t="shared" si="5"/>
        <v>7.611275</v>
      </c>
      <c r="I38" s="13">
        <f t="shared" si="4"/>
        <v>1268.5458333333333</v>
      </c>
      <c r="J38" s="24"/>
    </row>
    <row r="39" spans="1:14" ht="31.5" hidden="1" customHeight="1">
      <c r="A39" s="35">
        <v>13</v>
      </c>
      <c r="B39" s="76" t="s">
        <v>79</v>
      </c>
      <c r="C39" s="65" t="s">
        <v>105</v>
      </c>
      <c r="D39" s="76" t="s">
        <v>127</v>
      </c>
      <c r="E39" s="78">
        <v>140</v>
      </c>
      <c r="F39" s="78">
        <f>SUM(E39*12/1000)</f>
        <v>1.68</v>
      </c>
      <c r="G39" s="78">
        <v>5803.28</v>
      </c>
      <c r="H39" s="79">
        <f t="shared" si="5"/>
        <v>9.7495103999999984</v>
      </c>
      <c r="I39" s="13">
        <f t="shared" si="4"/>
        <v>1624.9183999999998</v>
      </c>
      <c r="J39" s="24"/>
    </row>
    <row r="40" spans="1:14" ht="15.75" hidden="1" customHeight="1">
      <c r="A40" s="35">
        <v>14</v>
      </c>
      <c r="B40" s="76" t="s">
        <v>110</v>
      </c>
      <c r="C40" s="65" t="s">
        <v>105</v>
      </c>
      <c r="D40" s="76" t="s">
        <v>68</v>
      </c>
      <c r="E40" s="78">
        <v>140</v>
      </c>
      <c r="F40" s="78">
        <f>SUM(E40*45/1000)</f>
        <v>6.3</v>
      </c>
      <c r="G40" s="78">
        <v>428.7</v>
      </c>
      <c r="H40" s="79">
        <f t="shared" si="5"/>
        <v>2.7008100000000002</v>
      </c>
      <c r="I40" s="13">
        <f t="shared" si="4"/>
        <v>450.13499999999999</v>
      </c>
      <c r="J40" s="24"/>
    </row>
    <row r="41" spans="1:14" ht="15.75" hidden="1" customHeight="1">
      <c r="A41" s="35">
        <v>15</v>
      </c>
      <c r="B41" s="76" t="s">
        <v>69</v>
      </c>
      <c r="C41" s="65" t="s">
        <v>33</v>
      </c>
      <c r="D41" s="76"/>
      <c r="E41" s="77"/>
      <c r="F41" s="78">
        <v>0.9</v>
      </c>
      <c r="G41" s="78">
        <v>798</v>
      </c>
      <c r="H41" s="79">
        <f t="shared" si="5"/>
        <v>0.71820000000000006</v>
      </c>
      <c r="I41" s="13">
        <f t="shared" si="4"/>
        <v>119.69999999999999</v>
      </c>
      <c r="J41" s="24"/>
      <c r="L41" s="20"/>
      <c r="M41" s="21"/>
      <c r="N41" s="22"/>
    </row>
    <row r="42" spans="1:14" ht="15.75" hidden="1" customHeight="1">
      <c r="A42" s="185" t="s">
        <v>136</v>
      </c>
      <c r="B42" s="186"/>
      <c r="C42" s="186"/>
      <c r="D42" s="186"/>
      <c r="E42" s="186"/>
      <c r="F42" s="186"/>
      <c r="G42" s="186"/>
      <c r="H42" s="186"/>
      <c r="I42" s="187"/>
      <c r="J42" s="24"/>
      <c r="L42" s="20"/>
      <c r="M42" s="21"/>
      <c r="N42" s="22"/>
    </row>
    <row r="43" spans="1:14" ht="15.75" hidden="1" customHeight="1">
      <c r="A43" s="45">
        <v>19</v>
      </c>
      <c r="B43" s="76" t="s">
        <v>111</v>
      </c>
      <c r="C43" s="65" t="s">
        <v>105</v>
      </c>
      <c r="D43" s="76" t="s">
        <v>41</v>
      </c>
      <c r="E43" s="77">
        <v>1640.4</v>
      </c>
      <c r="F43" s="78">
        <f>SUM(E43*2/1000)</f>
        <v>3.2808000000000002</v>
      </c>
      <c r="G43" s="13">
        <v>849.49</v>
      </c>
      <c r="H43" s="79">
        <f t="shared" ref="H43:H51" si="6">SUM(F43*G43/1000)</f>
        <v>2.7870067920000001</v>
      </c>
      <c r="I43" s="13">
        <f t="shared" ref="I43:I45" si="7">F43/2*G43</f>
        <v>1393.5033960000001</v>
      </c>
      <c r="J43" s="24"/>
      <c r="L43" s="20"/>
      <c r="M43" s="21"/>
      <c r="N43" s="22"/>
    </row>
    <row r="44" spans="1:14" ht="15.75" hidden="1" customHeight="1">
      <c r="A44" s="45">
        <v>20</v>
      </c>
      <c r="B44" s="76" t="s">
        <v>34</v>
      </c>
      <c r="C44" s="65" t="s">
        <v>105</v>
      </c>
      <c r="D44" s="76" t="s">
        <v>41</v>
      </c>
      <c r="E44" s="77">
        <v>918.25</v>
      </c>
      <c r="F44" s="78">
        <f>SUM(E44*2/1000)</f>
        <v>1.8365</v>
      </c>
      <c r="G44" s="13">
        <v>579.48</v>
      </c>
      <c r="H44" s="79">
        <f t="shared" si="6"/>
        <v>1.06421502</v>
      </c>
      <c r="I44" s="13">
        <f t="shared" si="7"/>
        <v>532.10751000000005</v>
      </c>
      <c r="J44" s="24"/>
      <c r="L44" s="20"/>
      <c r="M44" s="21"/>
      <c r="N44" s="22"/>
    </row>
    <row r="45" spans="1:14" ht="15.75" hidden="1" customHeight="1">
      <c r="A45" s="45">
        <v>21</v>
      </c>
      <c r="B45" s="76" t="s">
        <v>35</v>
      </c>
      <c r="C45" s="65" t="s">
        <v>105</v>
      </c>
      <c r="D45" s="76" t="s">
        <v>41</v>
      </c>
      <c r="E45" s="77">
        <v>5592.26</v>
      </c>
      <c r="F45" s="78">
        <f>SUM(E45*2/1000)</f>
        <v>11.184520000000001</v>
      </c>
      <c r="G45" s="13">
        <v>579.48</v>
      </c>
      <c r="H45" s="79">
        <f t="shared" si="6"/>
        <v>6.4812056496000006</v>
      </c>
      <c r="I45" s="13">
        <f t="shared" si="7"/>
        <v>3240.6028248000002</v>
      </c>
      <c r="J45" s="24"/>
      <c r="L45" s="20"/>
      <c r="M45" s="21"/>
      <c r="N45" s="22"/>
    </row>
    <row r="46" spans="1:14" ht="15.75" hidden="1" customHeight="1">
      <c r="A46" s="45">
        <v>22</v>
      </c>
      <c r="B46" s="76" t="s">
        <v>36</v>
      </c>
      <c r="C46" s="65" t="s">
        <v>105</v>
      </c>
      <c r="D46" s="76" t="s">
        <v>41</v>
      </c>
      <c r="E46" s="77">
        <v>2817.65</v>
      </c>
      <c r="F46" s="78">
        <f>SUM(E46*2/1000)</f>
        <v>5.6353</v>
      </c>
      <c r="G46" s="13">
        <v>606.77</v>
      </c>
      <c r="H46" s="79">
        <f t="shared" si="6"/>
        <v>3.4193309809999999</v>
      </c>
      <c r="I46" s="13">
        <f>F46/2*G46</f>
        <v>1709.6654905</v>
      </c>
      <c r="J46" s="24"/>
      <c r="L46" s="20"/>
      <c r="M46" s="21"/>
      <c r="N46" s="22"/>
    </row>
    <row r="47" spans="1:14" ht="15.75" hidden="1" customHeight="1">
      <c r="A47" s="45">
        <v>23</v>
      </c>
      <c r="B47" s="76" t="s">
        <v>55</v>
      </c>
      <c r="C47" s="65" t="s">
        <v>105</v>
      </c>
      <c r="D47" s="76" t="s">
        <v>129</v>
      </c>
      <c r="E47" s="77">
        <v>3280.8</v>
      </c>
      <c r="F47" s="78">
        <f>SUM(E47*5/1000)</f>
        <v>16.404</v>
      </c>
      <c r="G47" s="13">
        <v>1213.55</v>
      </c>
      <c r="H47" s="79">
        <f t="shared" si="6"/>
        <v>19.9070742</v>
      </c>
      <c r="I47" s="13">
        <f>F47/5*G47</f>
        <v>3981.4148399999999</v>
      </c>
      <c r="J47" s="24"/>
      <c r="L47" s="20"/>
      <c r="M47" s="21"/>
      <c r="N47" s="22"/>
    </row>
    <row r="48" spans="1:14" ht="31.5" hidden="1" customHeight="1">
      <c r="A48" s="45">
        <v>16</v>
      </c>
      <c r="B48" s="76" t="s">
        <v>112</v>
      </c>
      <c r="C48" s="65" t="s">
        <v>105</v>
      </c>
      <c r="D48" s="76" t="s">
        <v>41</v>
      </c>
      <c r="E48" s="77">
        <v>3280.8</v>
      </c>
      <c r="F48" s="78">
        <f>SUM(E48*2/1000)</f>
        <v>6.5616000000000003</v>
      </c>
      <c r="G48" s="13">
        <v>1213.55</v>
      </c>
      <c r="H48" s="79">
        <f t="shared" si="6"/>
        <v>7.9628296799999996</v>
      </c>
      <c r="I48" s="13">
        <f>F48/2*G48</f>
        <v>3981.4148399999999</v>
      </c>
      <c r="J48" s="24"/>
      <c r="L48" s="20"/>
      <c r="M48" s="21"/>
      <c r="N48" s="22"/>
    </row>
    <row r="49" spans="1:14" ht="31.5" hidden="1" customHeight="1">
      <c r="A49" s="45">
        <v>17</v>
      </c>
      <c r="B49" s="76" t="s">
        <v>128</v>
      </c>
      <c r="C49" s="65" t="s">
        <v>37</v>
      </c>
      <c r="D49" s="76" t="s">
        <v>41</v>
      </c>
      <c r="E49" s="77">
        <v>40</v>
      </c>
      <c r="F49" s="78">
        <f>SUM(E49*2/100)</f>
        <v>0.8</v>
      </c>
      <c r="G49" s="13">
        <v>2730.49</v>
      </c>
      <c r="H49" s="79">
        <f t="shared" si="6"/>
        <v>2.1843919999999999</v>
      </c>
      <c r="I49" s="13">
        <f>F49/2*G49</f>
        <v>1092.1959999999999</v>
      </c>
      <c r="J49" s="24"/>
      <c r="L49" s="20"/>
      <c r="M49" s="21"/>
      <c r="N49" s="22"/>
    </row>
    <row r="50" spans="1:14" ht="15.75" hidden="1" customHeight="1">
      <c r="A50" s="45">
        <v>16</v>
      </c>
      <c r="B50" s="76" t="s">
        <v>38</v>
      </c>
      <c r="C50" s="65" t="s">
        <v>39</v>
      </c>
      <c r="D50" s="76" t="s">
        <v>41</v>
      </c>
      <c r="E50" s="77">
        <v>1</v>
      </c>
      <c r="F50" s="78">
        <v>0.02</v>
      </c>
      <c r="G50" s="13">
        <v>5652.13</v>
      </c>
      <c r="H50" s="79">
        <f t="shared" si="6"/>
        <v>0.11304260000000001</v>
      </c>
      <c r="I50" s="13">
        <f>F50/2*G50</f>
        <v>56.521300000000004</v>
      </c>
      <c r="J50" s="24"/>
      <c r="L50" s="20"/>
      <c r="M50" s="21"/>
      <c r="N50" s="22"/>
    </row>
    <row r="51" spans="1:14" ht="17.25" hidden="1" customHeight="1">
      <c r="A51" s="45">
        <v>14</v>
      </c>
      <c r="B51" s="76" t="s">
        <v>40</v>
      </c>
      <c r="C51" s="65" t="s">
        <v>113</v>
      </c>
      <c r="D51" s="76" t="s">
        <v>70</v>
      </c>
      <c r="E51" s="77">
        <v>238</v>
      </c>
      <c r="F51" s="78">
        <f>SUM(E51)*3</f>
        <v>714</v>
      </c>
      <c r="G51" s="13">
        <v>65.67</v>
      </c>
      <c r="H51" s="79">
        <f t="shared" si="6"/>
        <v>46.888380000000005</v>
      </c>
      <c r="I51" s="13">
        <f>E51*G51</f>
        <v>15629.460000000001</v>
      </c>
      <c r="J51" s="24"/>
      <c r="L51" s="20"/>
      <c r="M51" s="21"/>
      <c r="N51" s="22"/>
    </row>
    <row r="52" spans="1:14" ht="15.75" customHeight="1">
      <c r="A52" s="185" t="s">
        <v>151</v>
      </c>
      <c r="B52" s="186"/>
      <c r="C52" s="186"/>
      <c r="D52" s="186"/>
      <c r="E52" s="186"/>
      <c r="F52" s="186"/>
      <c r="G52" s="186"/>
      <c r="H52" s="186"/>
      <c r="I52" s="187"/>
      <c r="J52" s="24"/>
      <c r="L52" s="20"/>
      <c r="M52" s="21"/>
      <c r="N52" s="22"/>
    </row>
    <row r="53" spans="1:14" ht="15.75" hidden="1" customHeight="1">
      <c r="A53" s="58"/>
      <c r="B53" s="52" t="s">
        <v>42</v>
      </c>
      <c r="C53" s="17"/>
      <c r="D53" s="16"/>
      <c r="E53" s="16"/>
      <c r="F53" s="16"/>
      <c r="G53" s="30"/>
      <c r="H53" s="30"/>
      <c r="I53" s="19"/>
      <c r="J53" s="24"/>
      <c r="L53" s="20"/>
      <c r="M53" s="21"/>
      <c r="N53" s="22"/>
    </row>
    <row r="54" spans="1:14" ht="15.75" hidden="1" customHeight="1">
      <c r="A54" s="45">
        <v>15</v>
      </c>
      <c r="B54" s="76" t="s">
        <v>130</v>
      </c>
      <c r="C54" s="65" t="s">
        <v>98</v>
      </c>
      <c r="D54" s="76" t="s">
        <v>53</v>
      </c>
      <c r="E54" s="85">
        <v>1640.4</v>
      </c>
      <c r="F54" s="13">
        <f>E54/100</f>
        <v>16.404</v>
      </c>
      <c r="G54" s="78">
        <v>472.59</v>
      </c>
      <c r="H54" s="79">
        <f>SUM(F54*G54/1000)</f>
        <v>7.7523663599999999</v>
      </c>
      <c r="I54" s="13">
        <v>0</v>
      </c>
      <c r="J54" s="24"/>
      <c r="L54" s="20"/>
      <c r="M54" s="21"/>
      <c r="N54" s="22"/>
    </row>
    <row r="55" spans="1:14" ht="31.5" hidden="1" customHeight="1">
      <c r="A55" s="45">
        <v>18</v>
      </c>
      <c r="B55" s="76" t="s">
        <v>131</v>
      </c>
      <c r="C55" s="65" t="s">
        <v>98</v>
      </c>
      <c r="D55" s="76" t="s">
        <v>132</v>
      </c>
      <c r="E55" s="77">
        <v>164.04</v>
      </c>
      <c r="F55" s="13">
        <f>E55*6/100</f>
        <v>9.8423999999999996</v>
      </c>
      <c r="G55" s="86">
        <v>1547.28</v>
      </c>
      <c r="H55" s="79">
        <f>F55*G55/1000</f>
        <v>15.228948671999998</v>
      </c>
      <c r="I55" s="13">
        <f>F55/6*G55</f>
        <v>2538.1581119999996</v>
      </c>
      <c r="J55" s="24"/>
      <c r="L55" s="20"/>
      <c r="M55" s="21"/>
      <c r="N55" s="22"/>
    </row>
    <row r="56" spans="1:14" ht="15.75" hidden="1" customHeight="1">
      <c r="A56" s="45">
        <v>19</v>
      </c>
      <c r="B56" s="87" t="s">
        <v>89</v>
      </c>
      <c r="C56" s="88" t="s">
        <v>98</v>
      </c>
      <c r="D56" s="87" t="s">
        <v>133</v>
      </c>
      <c r="E56" s="89">
        <v>8</v>
      </c>
      <c r="F56" s="90">
        <f>E56*8/100</f>
        <v>0.64</v>
      </c>
      <c r="G56" s="86">
        <v>1547.28</v>
      </c>
      <c r="H56" s="91">
        <f>F56*G56/1000</f>
        <v>0.99025920000000001</v>
      </c>
      <c r="I56" s="13">
        <f>F56/6*G56</f>
        <v>165.04320000000001</v>
      </c>
      <c r="J56" s="24"/>
      <c r="L56" s="20"/>
      <c r="M56" s="21"/>
      <c r="N56" s="22"/>
    </row>
    <row r="57" spans="1:14" ht="15.75" hidden="1" customHeight="1">
      <c r="A57" s="45"/>
      <c r="B57" s="87" t="s">
        <v>93</v>
      </c>
      <c r="C57" s="88" t="s">
        <v>94</v>
      </c>
      <c r="D57" s="87" t="s">
        <v>41</v>
      </c>
      <c r="E57" s="89">
        <v>8</v>
      </c>
      <c r="F57" s="90">
        <v>16</v>
      </c>
      <c r="G57" s="92">
        <v>180.78</v>
      </c>
      <c r="H57" s="91">
        <f>F57*G57/1000</f>
        <v>2.8924799999999999</v>
      </c>
      <c r="I57" s="13">
        <v>0</v>
      </c>
      <c r="J57" s="24"/>
      <c r="L57" s="20"/>
      <c r="M57" s="21"/>
      <c r="N57" s="22"/>
    </row>
    <row r="58" spans="1:14" ht="15.75" customHeight="1">
      <c r="A58" s="45"/>
      <c r="B58" s="71" t="s">
        <v>43</v>
      </c>
      <c r="C58" s="71"/>
      <c r="D58" s="71"/>
      <c r="E58" s="71"/>
      <c r="F58" s="71"/>
      <c r="G58" s="71"/>
      <c r="H58" s="71"/>
      <c r="I58" s="37"/>
      <c r="J58" s="24"/>
      <c r="L58" s="20"/>
      <c r="M58" s="21"/>
      <c r="N58" s="22"/>
    </row>
    <row r="59" spans="1:14" ht="15.75" customHeight="1">
      <c r="A59" s="45">
        <v>15</v>
      </c>
      <c r="B59" s="87" t="s">
        <v>90</v>
      </c>
      <c r="C59" s="88" t="s">
        <v>25</v>
      </c>
      <c r="D59" s="87" t="s">
        <v>178</v>
      </c>
      <c r="E59" s="89">
        <v>329.4</v>
      </c>
      <c r="F59" s="90">
        <v>2400</v>
      </c>
      <c r="G59" s="93">
        <v>1.4</v>
      </c>
      <c r="H59" s="91">
        <f>G59*F59</f>
        <v>3360</v>
      </c>
      <c r="I59" s="13">
        <f>F59/12*G59</f>
        <v>280</v>
      </c>
      <c r="J59" s="24"/>
      <c r="L59" s="20"/>
      <c r="M59" s="21"/>
      <c r="N59" s="22"/>
    </row>
    <row r="60" spans="1:14" ht="15.75" hidden="1" customHeight="1">
      <c r="A60" s="45"/>
      <c r="B60" s="87" t="s">
        <v>44</v>
      </c>
      <c r="C60" s="88" t="s">
        <v>25</v>
      </c>
      <c r="D60" s="87" t="s">
        <v>53</v>
      </c>
      <c r="E60" s="89">
        <v>1640.4</v>
      </c>
      <c r="F60" s="90">
        <v>16.404</v>
      </c>
      <c r="G60" s="94">
        <v>739.61</v>
      </c>
      <c r="H60" s="91">
        <f>G60*F60/1000</f>
        <v>12.132562439999999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1" t="s">
        <v>45</v>
      </c>
      <c r="C61" s="17"/>
      <c r="D61" s="41"/>
      <c r="E61" s="41"/>
      <c r="F61" s="16"/>
      <c r="G61" s="30"/>
      <c r="H61" s="30"/>
      <c r="I61" s="19"/>
      <c r="J61" s="24"/>
      <c r="L61" s="20"/>
      <c r="M61" s="21"/>
      <c r="N61" s="22"/>
    </row>
    <row r="62" spans="1:14" ht="15.75" hidden="1" customHeight="1">
      <c r="A62" s="45">
        <v>14</v>
      </c>
      <c r="B62" s="15" t="s">
        <v>46</v>
      </c>
      <c r="C62" s="17" t="s">
        <v>113</v>
      </c>
      <c r="D62" s="15" t="s">
        <v>178</v>
      </c>
      <c r="E62" s="19">
        <v>40</v>
      </c>
      <c r="F62" s="78">
        <v>40</v>
      </c>
      <c r="G62" s="13">
        <v>222.4</v>
      </c>
      <c r="H62" s="73">
        <f t="shared" ref="H62:H69" si="8">SUM(F62*G62/1000)</f>
        <v>8.8960000000000008</v>
      </c>
      <c r="I62" s="13">
        <f>G62*1</f>
        <v>222.4</v>
      </c>
      <c r="J62" s="24"/>
      <c r="L62" s="20"/>
      <c r="M62" s="21"/>
      <c r="N62" s="22"/>
    </row>
    <row r="63" spans="1:14" ht="15.75" hidden="1" customHeight="1">
      <c r="A63" s="30">
        <v>15</v>
      </c>
      <c r="B63" s="15" t="s">
        <v>47</v>
      </c>
      <c r="C63" s="17" t="s">
        <v>113</v>
      </c>
      <c r="D63" s="15" t="s">
        <v>65</v>
      </c>
      <c r="E63" s="19">
        <v>15</v>
      </c>
      <c r="F63" s="78">
        <v>15</v>
      </c>
      <c r="G63" s="13">
        <v>76.25</v>
      </c>
      <c r="H63" s="73">
        <f t="shared" si="8"/>
        <v>1.14375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15</v>
      </c>
      <c r="B64" s="15" t="s">
        <v>48</v>
      </c>
      <c r="C64" s="17" t="s">
        <v>114</v>
      </c>
      <c r="D64" s="15" t="s">
        <v>53</v>
      </c>
      <c r="E64" s="77">
        <v>24648</v>
      </c>
      <c r="F64" s="13">
        <f>SUM(E64/100)</f>
        <v>246.48</v>
      </c>
      <c r="G64" s="13">
        <v>212.15</v>
      </c>
      <c r="H64" s="73">
        <f t="shared" si="8"/>
        <v>52.290731999999998</v>
      </c>
      <c r="I64" s="13">
        <f>F64*G64</f>
        <v>52290.731999999996</v>
      </c>
      <c r="J64" s="24"/>
      <c r="L64" s="20"/>
      <c r="M64" s="21"/>
      <c r="N64" s="22"/>
    </row>
    <row r="65" spans="1:22" ht="15.75" hidden="1" customHeight="1">
      <c r="A65" s="30">
        <v>16</v>
      </c>
      <c r="B65" s="15" t="s">
        <v>49</v>
      </c>
      <c r="C65" s="17" t="s">
        <v>115</v>
      </c>
      <c r="D65" s="15"/>
      <c r="E65" s="77">
        <v>24648</v>
      </c>
      <c r="F65" s="13">
        <f>SUM(E65/1000)</f>
        <v>24.648</v>
      </c>
      <c r="G65" s="13">
        <v>165.21</v>
      </c>
      <c r="H65" s="73">
        <f t="shared" si="8"/>
        <v>4.0720960800000006</v>
      </c>
      <c r="I65" s="13">
        <f t="shared" ref="I65:I68" si="9">F65*G65</f>
        <v>4072.0960800000003</v>
      </c>
      <c r="J65" s="24"/>
      <c r="L65" s="20"/>
      <c r="M65" s="21"/>
      <c r="N65" s="22"/>
    </row>
    <row r="66" spans="1:22" ht="15.75" hidden="1" customHeight="1">
      <c r="A66" s="30">
        <v>17</v>
      </c>
      <c r="B66" s="15" t="s">
        <v>50</v>
      </c>
      <c r="C66" s="17" t="s">
        <v>74</v>
      </c>
      <c r="D66" s="15" t="s">
        <v>53</v>
      </c>
      <c r="E66" s="77">
        <v>2730</v>
      </c>
      <c r="F66" s="13">
        <f>SUM(E66/100)</f>
        <v>27.3</v>
      </c>
      <c r="G66" s="13">
        <v>2074.63</v>
      </c>
      <c r="H66" s="73">
        <f t="shared" si="8"/>
        <v>56.637399000000002</v>
      </c>
      <c r="I66" s="13">
        <f t="shared" si="9"/>
        <v>56637.399000000005</v>
      </c>
      <c r="J66" s="24"/>
      <c r="L66" s="20"/>
    </row>
    <row r="67" spans="1:22" ht="15.75" hidden="1" customHeight="1">
      <c r="A67" s="30">
        <v>18</v>
      </c>
      <c r="B67" s="95" t="s">
        <v>116</v>
      </c>
      <c r="C67" s="17" t="s">
        <v>33</v>
      </c>
      <c r="D67" s="15"/>
      <c r="E67" s="77">
        <v>20.28</v>
      </c>
      <c r="F67" s="13">
        <f>SUM(E67)</f>
        <v>20.28</v>
      </c>
      <c r="G67" s="13">
        <v>45.32</v>
      </c>
      <c r="H67" s="73">
        <f t="shared" si="8"/>
        <v>0.91908960000000006</v>
      </c>
      <c r="I67" s="13">
        <f t="shared" si="9"/>
        <v>919.08960000000002</v>
      </c>
    </row>
    <row r="68" spans="1:22" ht="15.75" hidden="1" customHeight="1">
      <c r="A68" s="30">
        <v>19</v>
      </c>
      <c r="B68" s="95" t="s">
        <v>140</v>
      </c>
      <c r="C68" s="17" t="s">
        <v>33</v>
      </c>
      <c r="D68" s="15"/>
      <c r="E68" s="77">
        <v>20.28</v>
      </c>
      <c r="F68" s="13">
        <f>SUM(E68)</f>
        <v>20.28</v>
      </c>
      <c r="G68" s="13">
        <v>42.28</v>
      </c>
      <c r="H68" s="73">
        <f t="shared" si="8"/>
        <v>0.85743840000000016</v>
      </c>
      <c r="I68" s="13">
        <f t="shared" si="9"/>
        <v>857.43840000000012</v>
      </c>
    </row>
    <row r="69" spans="1:22" ht="15.75" hidden="1" customHeight="1">
      <c r="A69" s="30">
        <v>16</v>
      </c>
      <c r="B69" s="15" t="s">
        <v>56</v>
      </c>
      <c r="C69" s="17" t="s">
        <v>57</v>
      </c>
      <c r="D69" s="15" t="s">
        <v>53</v>
      </c>
      <c r="E69" s="19">
        <v>12</v>
      </c>
      <c r="F69" s="78">
        <f>SUM(E69)</f>
        <v>12</v>
      </c>
      <c r="G69" s="13">
        <v>49.88</v>
      </c>
      <c r="H69" s="73">
        <f t="shared" si="8"/>
        <v>0.59856000000000009</v>
      </c>
      <c r="I69" s="13">
        <f>G69*F69</f>
        <v>598.56000000000006</v>
      </c>
    </row>
    <row r="70" spans="1:22" ht="15.75" customHeight="1">
      <c r="A70" s="30"/>
      <c r="B70" s="135" t="s">
        <v>188</v>
      </c>
      <c r="C70" s="42"/>
      <c r="D70" s="41"/>
      <c r="E70" s="18"/>
      <c r="F70" s="136"/>
      <c r="G70" s="38"/>
      <c r="H70" s="73"/>
      <c r="I70" s="13"/>
    </row>
    <row r="71" spans="1:22" ht="29.25" customHeight="1">
      <c r="A71" s="30">
        <v>16</v>
      </c>
      <c r="B71" s="41" t="s">
        <v>189</v>
      </c>
      <c r="C71" s="45" t="s">
        <v>190</v>
      </c>
      <c r="D71" s="41"/>
      <c r="E71" s="18">
        <v>5926.8</v>
      </c>
      <c r="F71" s="38">
        <f>E71*12</f>
        <v>71121.600000000006</v>
      </c>
      <c r="G71" s="38">
        <v>2.4900000000000002</v>
      </c>
      <c r="H71" s="13"/>
      <c r="I71" s="13">
        <f>G71*F71/12</f>
        <v>14757.732000000004</v>
      </c>
    </row>
    <row r="72" spans="1:22" ht="15.75" hidden="1" customHeight="1">
      <c r="A72" s="58"/>
      <c r="B72" s="71" t="s">
        <v>117</v>
      </c>
      <c r="C72" s="71"/>
      <c r="D72" s="71"/>
      <c r="E72" s="71"/>
      <c r="F72" s="71"/>
      <c r="G72" s="71"/>
      <c r="H72" s="71"/>
      <c r="I72" s="1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9"/>
    </row>
    <row r="73" spans="1:22" ht="15.75" hidden="1" customHeight="1">
      <c r="A73" s="30">
        <v>17</v>
      </c>
      <c r="B73" s="76" t="s">
        <v>118</v>
      </c>
      <c r="C73" s="17"/>
      <c r="D73" s="15"/>
      <c r="E73" s="74"/>
      <c r="F73" s="13">
        <v>1</v>
      </c>
      <c r="G73" s="13">
        <v>27356</v>
      </c>
      <c r="H73" s="73">
        <f>G73*F73/1000</f>
        <v>27.356000000000002</v>
      </c>
      <c r="I73" s="13">
        <v>10890.14</v>
      </c>
      <c r="J73" s="26"/>
      <c r="K73" s="26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2" ht="15.75" customHeight="1">
      <c r="A74" s="30"/>
      <c r="B74" s="53" t="s">
        <v>71</v>
      </c>
      <c r="C74" s="53"/>
      <c r="D74" s="53"/>
      <c r="E74" s="53"/>
      <c r="F74" s="19"/>
      <c r="G74" s="30"/>
      <c r="H74" s="30"/>
      <c r="I74" s="19"/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2" ht="15.75" hidden="1" customHeight="1">
      <c r="A75" s="30"/>
      <c r="B75" s="15" t="s">
        <v>83</v>
      </c>
      <c r="C75" s="17" t="s">
        <v>31</v>
      </c>
      <c r="D75" s="15"/>
      <c r="E75" s="19">
        <v>2</v>
      </c>
      <c r="F75" s="78">
        <f>SUM(E75)</f>
        <v>2</v>
      </c>
      <c r="G75" s="13">
        <v>358.51</v>
      </c>
      <c r="H75" s="73">
        <f>SUM(F75*G75/1000)</f>
        <v>0.71701999999999999</v>
      </c>
      <c r="I75" s="13">
        <v>0</v>
      </c>
      <c r="J75" s="5"/>
      <c r="K75" s="5"/>
      <c r="L75" s="5"/>
      <c r="M75" s="5"/>
      <c r="N75" s="5"/>
      <c r="O75" s="5"/>
      <c r="P75" s="5"/>
      <c r="Q75" s="5"/>
      <c r="R75" s="178"/>
      <c r="S75" s="178"/>
      <c r="T75" s="178"/>
      <c r="U75" s="178"/>
    </row>
    <row r="76" spans="1:22" ht="15.75" hidden="1" customHeight="1">
      <c r="A76" s="30"/>
      <c r="B76" s="15" t="s">
        <v>72</v>
      </c>
      <c r="C76" s="17" t="s">
        <v>31</v>
      </c>
      <c r="D76" s="15"/>
      <c r="E76" s="19">
        <v>1</v>
      </c>
      <c r="F76" s="13">
        <v>1</v>
      </c>
      <c r="G76" s="13">
        <v>852.99</v>
      </c>
      <c r="H76" s="73">
        <f>F76*G76/1000</f>
        <v>0.85299000000000003</v>
      </c>
      <c r="I76" s="13">
        <v>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2" ht="30" customHeight="1">
      <c r="A77" s="30">
        <v>17</v>
      </c>
      <c r="B77" s="41" t="s">
        <v>191</v>
      </c>
      <c r="C77" s="42" t="s">
        <v>113</v>
      </c>
      <c r="D77" s="41" t="s">
        <v>179</v>
      </c>
      <c r="E77" s="18">
        <v>2</v>
      </c>
      <c r="F77" s="38">
        <f>E77*12</f>
        <v>24</v>
      </c>
      <c r="G77" s="38">
        <v>404</v>
      </c>
      <c r="H77" s="73"/>
      <c r="I77" s="13">
        <f>G77*F77/12</f>
        <v>808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customHeight="1">
      <c r="A78" s="30">
        <v>18</v>
      </c>
      <c r="B78" s="41" t="s">
        <v>192</v>
      </c>
      <c r="C78" s="42" t="s">
        <v>113</v>
      </c>
      <c r="D78" s="41" t="s">
        <v>179</v>
      </c>
      <c r="E78" s="18">
        <v>1</v>
      </c>
      <c r="F78" s="38">
        <f>E78*12</f>
        <v>12</v>
      </c>
      <c r="G78" s="38">
        <v>1759</v>
      </c>
      <c r="H78" s="73"/>
      <c r="I78" s="13">
        <f>G78*F78/12</f>
        <v>1759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2" ht="15.75" hidden="1" customHeight="1">
      <c r="A79" s="30"/>
      <c r="B79" s="54" t="s">
        <v>73</v>
      </c>
      <c r="C79" s="42"/>
      <c r="D79" s="30"/>
      <c r="E79" s="30"/>
      <c r="F79" s="19"/>
      <c r="G79" s="38" t="s">
        <v>134</v>
      </c>
      <c r="H79" s="38"/>
      <c r="I79" s="19"/>
    </row>
    <row r="80" spans="1:22" ht="15.75" hidden="1" customHeight="1">
      <c r="A80" s="30">
        <v>39</v>
      </c>
      <c r="B80" s="56" t="s">
        <v>119</v>
      </c>
      <c r="C80" s="17" t="s">
        <v>74</v>
      </c>
      <c r="D80" s="15"/>
      <c r="E80" s="19"/>
      <c r="F80" s="13">
        <v>1.35</v>
      </c>
      <c r="G80" s="13">
        <v>2759.44</v>
      </c>
      <c r="H80" s="73">
        <f>SUM(F80*G80/1000)</f>
        <v>3.725244</v>
      </c>
      <c r="I80" s="13">
        <v>0</v>
      </c>
    </row>
    <row r="81" spans="1:9" ht="15.75" customHeight="1">
      <c r="A81" s="169" t="s">
        <v>152</v>
      </c>
      <c r="B81" s="170"/>
      <c r="C81" s="170"/>
      <c r="D81" s="170"/>
      <c r="E81" s="170"/>
      <c r="F81" s="170"/>
      <c r="G81" s="170"/>
      <c r="H81" s="170"/>
      <c r="I81" s="171"/>
    </row>
    <row r="82" spans="1:9" ht="15.75" customHeight="1">
      <c r="A82" s="30">
        <v>19</v>
      </c>
      <c r="B82" s="41" t="s">
        <v>120</v>
      </c>
      <c r="C82" s="42" t="s">
        <v>54</v>
      </c>
      <c r="D82" s="146"/>
      <c r="E82" s="38">
        <v>5926.8</v>
      </c>
      <c r="F82" s="38">
        <f>SUM(E82*12)</f>
        <v>71121.600000000006</v>
      </c>
      <c r="G82" s="38">
        <v>3.38</v>
      </c>
      <c r="H82" s="13">
        <f>SUM(F82*G82/1000)</f>
        <v>240.391008</v>
      </c>
      <c r="I82" s="13">
        <f>F82/12*G82</f>
        <v>20032.583999999999</v>
      </c>
    </row>
    <row r="83" spans="1:9" ht="31.5" customHeight="1">
      <c r="A83" s="30">
        <v>20</v>
      </c>
      <c r="B83" s="143" t="s">
        <v>193</v>
      </c>
      <c r="C83" s="137"/>
      <c r="D83" s="144"/>
      <c r="E83" s="145">
        <f>E82</f>
        <v>5926.8</v>
      </c>
      <c r="F83" s="139">
        <f>E83*12</f>
        <v>71121.600000000006</v>
      </c>
      <c r="G83" s="139">
        <v>3.05</v>
      </c>
      <c r="H83" s="130">
        <f>F83*G83/1000</f>
        <v>216.92088000000001</v>
      </c>
      <c r="I83" s="131">
        <f>F83/12*G83</f>
        <v>18076.739999999998</v>
      </c>
    </row>
    <row r="84" spans="1:9" ht="15.75" customHeight="1">
      <c r="A84" s="58"/>
      <c r="B84" s="43" t="s">
        <v>76</v>
      </c>
      <c r="C84" s="45"/>
      <c r="D84" s="16"/>
      <c r="E84" s="16"/>
      <c r="F84" s="16"/>
      <c r="G84" s="19"/>
      <c r="H84" s="19"/>
      <c r="I84" s="32">
        <f>I83+I82+I78+I77+I71+I59+I32+I30+I29+I26+I25+I24+I23+I22+I21+I20+I18+I17+I16+I19</f>
        <v>97797.779449599955</v>
      </c>
    </row>
    <row r="85" spans="1:9" ht="15.75" customHeight="1">
      <c r="A85" s="172" t="s">
        <v>59</v>
      </c>
      <c r="B85" s="173"/>
      <c r="C85" s="173"/>
      <c r="D85" s="173"/>
      <c r="E85" s="173"/>
      <c r="F85" s="173"/>
      <c r="G85" s="173"/>
      <c r="H85" s="173"/>
      <c r="I85" s="174"/>
    </row>
    <row r="86" spans="1:9" ht="33" customHeight="1">
      <c r="A86" s="30">
        <v>21</v>
      </c>
      <c r="B86" s="97" t="s">
        <v>215</v>
      </c>
      <c r="C86" s="98" t="s">
        <v>86</v>
      </c>
      <c r="D86" s="63" t="s">
        <v>265</v>
      </c>
      <c r="E86" s="38"/>
      <c r="F86" s="38">
        <v>6</v>
      </c>
      <c r="G86" s="38">
        <v>913.43</v>
      </c>
      <c r="H86" s="73">
        <f t="shared" ref="H86" si="10">G86*F86/1000</f>
        <v>5.4805799999999998</v>
      </c>
      <c r="I86" s="13">
        <f>G86*1</f>
        <v>913.43</v>
      </c>
    </row>
    <row r="87" spans="1:9" ht="42.75" customHeight="1">
      <c r="A87" s="30">
        <v>22</v>
      </c>
      <c r="B87" s="97" t="s">
        <v>158</v>
      </c>
      <c r="C87" s="98" t="s">
        <v>80</v>
      </c>
      <c r="D87" s="41" t="s">
        <v>267</v>
      </c>
      <c r="E87" s="38"/>
      <c r="F87" s="38">
        <v>15</v>
      </c>
      <c r="G87" s="38">
        <v>222.63</v>
      </c>
      <c r="H87" s="73"/>
      <c r="I87" s="13">
        <f>G87*2</f>
        <v>445.26</v>
      </c>
    </row>
    <row r="88" spans="1:9" ht="49.5" customHeight="1">
      <c r="A88" s="30">
        <v>23</v>
      </c>
      <c r="B88" s="97" t="s">
        <v>171</v>
      </c>
      <c r="C88" s="98" t="s">
        <v>167</v>
      </c>
      <c r="D88" s="41" t="s">
        <v>266</v>
      </c>
      <c r="E88" s="38"/>
      <c r="F88" s="38">
        <v>20</v>
      </c>
      <c r="G88" s="38">
        <v>1421.68</v>
      </c>
      <c r="H88" s="73"/>
      <c r="I88" s="13">
        <f>G88*13</f>
        <v>18481.84</v>
      </c>
    </row>
    <row r="89" spans="1:9" ht="19.5" customHeight="1">
      <c r="A89" s="30">
        <v>24</v>
      </c>
      <c r="B89" s="159" t="s">
        <v>159</v>
      </c>
      <c r="C89" s="98" t="s">
        <v>167</v>
      </c>
      <c r="D89" s="63" t="s">
        <v>341</v>
      </c>
      <c r="E89" s="38"/>
      <c r="F89" s="38">
        <v>27</v>
      </c>
      <c r="G89" s="38">
        <v>284</v>
      </c>
      <c r="H89" s="73"/>
      <c r="I89" s="13">
        <v>0</v>
      </c>
    </row>
    <row r="90" spans="1:9" ht="19.5" customHeight="1">
      <c r="A90" s="30">
        <v>25</v>
      </c>
      <c r="B90" s="166" t="s">
        <v>261</v>
      </c>
      <c r="C90" s="45" t="s">
        <v>208</v>
      </c>
      <c r="D90" s="63" t="s">
        <v>264</v>
      </c>
      <c r="E90" s="38"/>
      <c r="F90" s="38">
        <v>0.06</v>
      </c>
      <c r="G90" s="38">
        <v>433.19</v>
      </c>
      <c r="H90" s="73"/>
      <c r="I90" s="13">
        <f>G90*0.06</f>
        <v>25.991399999999999</v>
      </c>
    </row>
    <row r="91" spans="1:9" ht="19.5" customHeight="1">
      <c r="A91" s="30">
        <v>26</v>
      </c>
      <c r="B91" s="97" t="s">
        <v>262</v>
      </c>
      <c r="C91" s="98" t="s">
        <v>54</v>
      </c>
      <c r="D91" s="63" t="s">
        <v>268</v>
      </c>
      <c r="E91" s="38"/>
      <c r="F91" s="38">
        <v>2.4</v>
      </c>
      <c r="G91" s="38">
        <v>622.82000000000005</v>
      </c>
      <c r="H91" s="73"/>
      <c r="I91" s="13">
        <f>G91*2.4</f>
        <v>1494.768</v>
      </c>
    </row>
    <row r="92" spans="1:9" ht="19.5" customHeight="1">
      <c r="A92" s="30">
        <v>27</v>
      </c>
      <c r="B92" s="97" t="s">
        <v>263</v>
      </c>
      <c r="C92" s="98" t="s">
        <v>113</v>
      </c>
      <c r="D92" s="63"/>
      <c r="E92" s="38"/>
      <c r="F92" s="38">
        <v>12</v>
      </c>
      <c r="G92" s="38">
        <v>250</v>
      </c>
      <c r="H92" s="73"/>
      <c r="I92" s="13">
        <f>G92*12</f>
        <v>3000</v>
      </c>
    </row>
    <row r="93" spans="1:9" ht="19.5" customHeight="1">
      <c r="A93" s="30">
        <v>28</v>
      </c>
      <c r="B93" s="97" t="s">
        <v>209</v>
      </c>
      <c r="C93" s="98" t="s">
        <v>39</v>
      </c>
      <c r="D93" s="63" t="s">
        <v>183</v>
      </c>
      <c r="E93" s="38"/>
      <c r="F93" s="160">
        <v>0.06</v>
      </c>
      <c r="G93" s="38">
        <v>27139.18</v>
      </c>
      <c r="H93" s="73"/>
      <c r="I93" s="13">
        <v>0</v>
      </c>
    </row>
    <row r="94" spans="1:9" ht="31.5" customHeight="1">
      <c r="A94" s="30">
        <v>29</v>
      </c>
      <c r="B94" s="97" t="s">
        <v>277</v>
      </c>
      <c r="C94" s="98" t="s">
        <v>86</v>
      </c>
      <c r="D94" s="63" t="s">
        <v>276</v>
      </c>
      <c r="E94" s="38"/>
      <c r="F94" s="38">
        <v>1</v>
      </c>
      <c r="G94" s="38">
        <v>268.18</v>
      </c>
      <c r="H94" s="73"/>
      <c r="I94" s="13">
        <f>G94*1</f>
        <v>268.18</v>
      </c>
    </row>
    <row r="95" spans="1:9" ht="15.75" customHeight="1">
      <c r="A95" s="30"/>
      <c r="B95" s="50" t="s">
        <v>51</v>
      </c>
      <c r="C95" s="46"/>
      <c r="D95" s="59"/>
      <c r="E95" s="59"/>
      <c r="F95" s="46">
        <v>1</v>
      </c>
      <c r="G95" s="46"/>
      <c r="H95" s="46"/>
      <c r="I95" s="32">
        <f>SUM(I86:I94)</f>
        <v>24629.469399999998</v>
      </c>
    </row>
    <row r="96" spans="1:9" ht="15.75" customHeight="1">
      <c r="A96" s="30"/>
      <c r="B96" s="56" t="s">
        <v>75</v>
      </c>
      <c r="C96" s="16"/>
      <c r="D96" s="16"/>
      <c r="E96" s="16"/>
      <c r="F96" s="47"/>
      <c r="G96" s="48"/>
      <c r="H96" s="48"/>
      <c r="I96" s="18">
        <v>0</v>
      </c>
    </row>
    <row r="97" spans="1:9" ht="15.75" customHeight="1">
      <c r="A97" s="60"/>
      <c r="B97" s="51" t="s">
        <v>141</v>
      </c>
      <c r="C97" s="36"/>
      <c r="D97" s="36"/>
      <c r="E97" s="36"/>
      <c r="F97" s="36"/>
      <c r="G97" s="36"/>
      <c r="H97" s="36"/>
      <c r="I97" s="49">
        <f>I84+I95</f>
        <v>122427.24884959996</v>
      </c>
    </row>
    <row r="98" spans="1:9" ht="15.75" customHeight="1">
      <c r="A98" s="188" t="s">
        <v>342</v>
      </c>
      <c r="B98" s="188"/>
      <c r="C98" s="188"/>
      <c r="D98" s="188"/>
      <c r="E98" s="188"/>
      <c r="F98" s="188"/>
      <c r="G98" s="188"/>
      <c r="H98" s="188"/>
      <c r="I98" s="188"/>
    </row>
    <row r="99" spans="1:9" ht="15.75" customHeight="1">
      <c r="A99" s="72"/>
      <c r="B99" s="180" t="s">
        <v>343</v>
      </c>
      <c r="C99" s="180"/>
      <c r="D99" s="180"/>
      <c r="E99" s="180"/>
      <c r="F99" s="180"/>
      <c r="G99" s="180"/>
      <c r="H99" s="75"/>
      <c r="I99" s="3"/>
    </row>
    <row r="100" spans="1:9" ht="15.75" customHeight="1">
      <c r="A100" s="67"/>
      <c r="B100" s="176" t="s">
        <v>6</v>
      </c>
      <c r="C100" s="176"/>
      <c r="D100" s="176"/>
      <c r="E100" s="176"/>
      <c r="F100" s="176"/>
      <c r="G100" s="176"/>
      <c r="H100" s="25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81" t="s">
        <v>7</v>
      </c>
      <c r="B102" s="181"/>
      <c r="C102" s="181"/>
      <c r="D102" s="181"/>
      <c r="E102" s="181"/>
      <c r="F102" s="181"/>
      <c r="G102" s="181"/>
      <c r="H102" s="181"/>
      <c r="I102" s="181"/>
    </row>
    <row r="103" spans="1:9" ht="15.75" customHeight="1">
      <c r="A103" s="181" t="s">
        <v>8</v>
      </c>
      <c r="B103" s="181"/>
      <c r="C103" s="181"/>
      <c r="D103" s="181"/>
      <c r="E103" s="181"/>
      <c r="F103" s="181"/>
      <c r="G103" s="181"/>
      <c r="H103" s="181"/>
      <c r="I103" s="181"/>
    </row>
    <row r="104" spans="1:9" ht="15.75" customHeight="1">
      <c r="A104" s="182" t="s">
        <v>60</v>
      </c>
      <c r="B104" s="182"/>
      <c r="C104" s="182"/>
      <c r="D104" s="182"/>
      <c r="E104" s="182"/>
      <c r="F104" s="182"/>
      <c r="G104" s="182"/>
      <c r="H104" s="182"/>
      <c r="I104" s="182"/>
    </row>
    <row r="105" spans="1:9" ht="15.75" customHeight="1">
      <c r="A105" s="11"/>
    </row>
    <row r="106" spans="1:9" ht="15.75" customHeight="1">
      <c r="A106" s="183" t="s">
        <v>9</v>
      </c>
      <c r="B106" s="183"/>
      <c r="C106" s="183"/>
      <c r="D106" s="183"/>
      <c r="E106" s="183"/>
      <c r="F106" s="183"/>
      <c r="G106" s="183"/>
      <c r="H106" s="183"/>
      <c r="I106" s="183"/>
    </row>
    <row r="107" spans="1:9" ht="15.75" customHeight="1">
      <c r="A107" s="4"/>
    </row>
    <row r="108" spans="1:9" ht="15.75" customHeight="1">
      <c r="B108" s="66" t="s">
        <v>10</v>
      </c>
      <c r="C108" s="175" t="s">
        <v>85</v>
      </c>
      <c r="D108" s="175"/>
      <c r="E108" s="175"/>
      <c r="F108" s="175"/>
      <c r="I108" s="69"/>
    </row>
    <row r="109" spans="1:9" ht="15.75" customHeight="1">
      <c r="A109" s="67"/>
      <c r="C109" s="176" t="s">
        <v>11</v>
      </c>
      <c r="D109" s="176"/>
      <c r="E109" s="176"/>
      <c r="F109" s="176"/>
      <c r="I109" s="68" t="s">
        <v>12</v>
      </c>
    </row>
    <row r="110" spans="1:9" ht="15.75" customHeight="1">
      <c r="A110" s="26"/>
      <c r="C110" s="12"/>
      <c r="D110" s="12"/>
      <c r="E110" s="12"/>
      <c r="G110" s="12"/>
      <c r="H110" s="12"/>
    </row>
    <row r="111" spans="1:9" ht="15.75" customHeight="1">
      <c r="B111" s="66" t="s">
        <v>13</v>
      </c>
      <c r="C111" s="177"/>
      <c r="D111" s="177"/>
      <c r="E111" s="177"/>
      <c r="F111" s="177"/>
      <c r="I111" s="69"/>
    </row>
    <row r="112" spans="1:9" ht="15.75" customHeight="1">
      <c r="A112" s="67"/>
      <c r="C112" s="178" t="s">
        <v>11</v>
      </c>
      <c r="D112" s="178"/>
      <c r="E112" s="178"/>
      <c r="F112" s="178"/>
      <c r="I112" s="68" t="s">
        <v>12</v>
      </c>
    </row>
    <row r="113" spans="1:9" ht="15.75" customHeight="1">
      <c r="A113" s="4" t="s">
        <v>14</v>
      </c>
    </row>
    <row r="114" spans="1:9">
      <c r="A114" s="179" t="s">
        <v>15</v>
      </c>
      <c r="B114" s="179"/>
      <c r="C114" s="179"/>
      <c r="D114" s="179"/>
      <c r="E114" s="179"/>
      <c r="F114" s="179"/>
      <c r="G114" s="179"/>
      <c r="H114" s="179"/>
      <c r="I114" s="179"/>
    </row>
    <row r="115" spans="1:9" ht="45" customHeight="1">
      <c r="A115" s="168" t="s">
        <v>16</v>
      </c>
      <c r="B115" s="168"/>
      <c r="C115" s="168"/>
      <c r="D115" s="168"/>
      <c r="E115" s="168"/>
      <c r="F115" s="168"/>
      <c r="G115" s="168"/>
      <c r="H115" s="168"/>
      <c r="I115" s="168"/>
    </row>
    <row r="116" spans="1:9" ht="30" customHeight="1">
      <c r="A116" s="168" t="s">
        <v>17</v>
      </c>
      <c r="B116" s="168"/>
      <c r="C116" s="168"/>
      <c r="D116" s="168"/>
      <c r="E116" s="168"/>
      <c r="F116" s="168"/>
      <c r="G116" s="168"/>
      <c r="H116" s="168"/>
      <c r="I116" s="168"/>
    </row>
    <row r="117" spans="1:9" ht="30" customHeight="1">
      <c r="A117" s="168" t="s">
        <v>21</v>
      </c>
      <c r="B117" s="168"/>
      <c r="C117" s="168"/>
      <c r="D117" s="168"/>
      <c r="E117" s="168"/>
      <c r="F117" s="168"/>
      <c r="G117" s="168"/>
      <c r="H117" s="168"/>
      <c r="I117" s="168"/>
    </row>
    <row r="118" spans="1:9" ht="15" customHeight="1">
      <c r="A118" s="168" t="s">
        <v>20</v>
      </c>
      <c r="B118" s="168"/>
      <c r="C118" s="168"/>
      <c r="D118" s="168"/>
      <c r="E118" s="168"/>
      <c r="F118" s="168"/>
      <c r="G118" s="168"/>
      <c r="H118" s="168"/>
      <c r="I118" s="168"/>
    </row>
  </sheetData>
  <autoFilter ref="I12:I68"/>
  <mergeCells count="29">
    <mergeCell ref="A14:I14"/>
    <mergeCell ref="A15:I15"/>
    <mergeCell ref="A27:I27"/>
    <mergeCell ref="A42:I42"/>
    <mergeCell ref="A52:I52"/>
    <mergeCell ref="A3:I3"/>
    <mergeCell ref="A4:I4"/>
    <mergeCell ref="A5:I5"/>
    <mergeCell ref="A8:I8"/>
    <mergeCell ref="A10:I10"/>
    <mergeCell ref="R75:U75"/>
    <mergeCell ref="C112:F112"/>
    <mergeCell ref="A85:I85"/>
    <mergeCell ref="A98:I98"/>
    <mergeCell ref="B99:G99"/>
    <mergeCell ref="B100:G100"/>
    <mergeCell ref="A102:I102"/>
    <mergeCell ref="A103:I103"/>
    <mergeCell ref="A104:I104"/>
    <mergeCell ref="A106:I106"/>
    <mergeCell ref="C108:F108"/>
    <mergeCell ref="C109:F109"/>
    <mergeCell ref="C111:F111"/>
    <mergeCell ref="A81:I81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0"/>
  <sheetViews>
    <sheetView topLeftCell="A90" workbookViewId="0">
      <selection activeCell="A104" sqref="A104:I104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1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149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269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31">
        <v>44043</v>
      </c>
      <c r="J6" s="2"/>
      <c r="K6" s="2"/>
      <c r="L6" s="2"/>
      <c r="M6" s="2"/>
    </row>
    <row r="7" spans="1:13" ht="15.75" customHeight="1">
      <c r="B7" s="66"/>
      <c r="C7" s="66"/>
      <c r="D7" s="66"/>
      <c r="E7" s="66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186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175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6" si="0">SUM(F16*G16/1000)</f>
        <v>62.943028199999993</v>
      </c>
      <c r="I16" s="13">
        <f>F16/12*G16</f>
        <v>5245.2523499999998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176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F17/12*G17</f>
        <v>13987.339599999998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177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F18/18*2*G18</f>
        <v>11607.841499999999</v>
      </c>
      <c r="J18" s="23"/>
      <c r="K18" s="8"/>
      <c r="L18" s="8"/>
      <c r="M18" s="8"/>
    </row>
    <row r="19" spans="1:13" ht="15.75" hidden="1" customHeight="1">
      <c r="A19" s="30">
        <v>4</v>
      </c>
      <c r="B19" s="34" t="s">
        <v>99</v>
      </c>
      <c r="C19" s="44" t="s">
        <v>100</v>
      </c>
      <c r="D19" s="34" t="s">
        <v>260</v>
      </c>
      <c r="E19" s="132">
        <v>40</v>
      </c>
      <c r="F19" s="33">
        <f>SUM(E19/10)</f>
        <v>4</v>
      </c>
      <c r="G19" s="33">
        <v>243.94</v>
      </c>
      <c r="H19" s="79">
        <f t="shared" si="0"/>
        <v>0.97575999999999996</v>
      </c>
      <c r="I19" s="13">
        <f>F19*G19</f>
        <v>975.76</v>
      </c>
      <c r="J19" s="23"/>
      <c r="K19" s="8"/>
      <c r="L19" s="8"/>
      <c r="M19" s="8"/>
    </row>
    <row r="20" spans="1:13" ht="15.75" customHeight="1">
      <c r="A20" s="30">
        <v>4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5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hidden="1" customHeight="1">
      <c r="A22" s="30">
        <v>7</v>
      </c>
      <c r="B22" s="34" t="s">
        <v>102</v>
      </c>
      <c r="C22" s="44" t="s">
        <v>52</v>
      </c>
      <c r="D22" s="34" t="s">
        <v>180</v>
      </c>
      <c r="E22" s="132">
        <v>822.72</v>
      </c>
      <c r="F22" s="33">
        <f>SUM(E22/100)</f>
        <v>8.2271999999999998</v>
      </c>
      <c r="G22" s="33">
        <v>386</v>
      </c>
      <c r="H22" s="79">
        <f t="shared" si="0"/>
        <v>3.1756991999999999</v>
      </c>
      <c r="I22" s="13">
        <f>F22*G22</f>
        <v>3175.6992</v>
      </c>
      <c r="J22" s="23"/>
      <c r="K22" s="8"/>
      <c r="L22" s="8"/>
      <c r="M22" s="8"/>
    </row>
    <row r="23" spans="1:13" ht="15.75" hidden="1" customHeight="1">
      <c r="A23" s="30">
        <v>8</v>
      </c>
      <c r="B23" s="76" t="s">
        <v>103</v>
      </c>
      <c r="C23" s="65" t="s">
        <v>52</v>
      </c>
      <c r="D23" s="76" t="s">
        <v>260</v>
      </c>
      <c r="E23" s="80">
        <v>96.6</v>
      </c>
      <c r="F23" s="78">
        <f>SUM(E23/100)</f>
        <v>0.96599999999999997</v>
      </c>
      <c r="G23" s="121">
        <v>63.49</v>
      </c>
      <c r="H23" s="79">
        <f t="shared" si="0"/>
        <v>6.1331339999999998E-2</v>
      </c>
      <c r="I23" s="13">
        <f>F23*G23</f>
        <v>61.331339999999997</v>
      </c>
      <c r="J23" s="23"/>
      <c r="K23" s="8"/>
      <c r="L23" s="8"/>
      <c r="M23" s="8"/>
    </row>
    <row r="24" spans="1:13" ht="15.75" hidden="1" customHeight="1">
      <c r="A24" s="30">
        <v>6</v>
      </c>
      <c r="B24" s="34" t="s">
        <v>122</v>
      </c>
      <c r="C24" s="44" t="s">
        <v>52</v>
      </c>
      <c r="D24" s="34" t="s">
        <v>178</v>
      </c>
      <c r="E24" s="167">
        <v>38</v>
      </c>
      <c r="F24" s="33">
        <v>0.38</v>
      </c>
      <c r="G24" s="33">
        <v>309.81</v>
      </c>
      <c r="H24" s="79">
        <f>G24*F24/1000</f>
        <v>0.11772780000000001</v>
      </c>
      <c r="I24" s="13">
        <f>F24*G24</f>
        <v>117.7278</v>
      </c>
      <c r="J24" s="23"/>
      <c r="K24" s="8"/>
      <c r="L24" s="8"/>
      <c r="M24" s="8"/>
    </row>
    <row r="25" spans="1:13" ht="15.75" hidden="1" customHeight="1">
      <c r="A25" s="30">
        <v>10</v>
      </c>
      <c r="B25" s="34" t="s">
        <v>96</v>
      </c>
      <c r="C25" s="44" t="s">
        <v>52</v>
      </c>
      <c r="D25" s="34" t="s">
        <v>178</v>
      </c>
      <c r="E25" s="132">
        <v>17</v>
      </c>
      <c r="F25" s="33">
        <f>SUM(E25/100)</f>
        <v>0.17</v>
      </c>
      <c r="G25" s="33">
        <v>746.6</v>
      </c>
      <c r="H25" s="79">
        <f t="shared" si="0"/>
        <v>0.12692200000000001</v>
      </c>
      <c r="I25" s="13">
        <f>F25/1*G25</f>
        <v>126.92200000000001</v>
      </c>
      <c r="J25" s="23"/>
      <c r="K25" s="8"/>
      <c r="L25" s="8"/>
      <c r="M25" s="8"/>
    </row>
    <row r="26" spans="1:13" ht="15.75" customHeight="1">
      <c r="A26" s="30">
        <v>6</v>
      </c>
      <c r="B26" s="34" t="s">
        <v>174</v>
      </c>
      <c r="C26" s="44" t="s">
        <v>33</v>
      </c>
      <c r="D26" s="34" t="s">
        <v>182</v>
      </c>
      <c r="E26" s="125">
        <v>0.2</v>
      </c>
      <c r="F26" s="33">
        <f>E26*258</f>
        <v>51.6</v>
      </c>
      <c r="G26" s="33">
        <v>289.5</v>
      </c>
      <c r="H26" s="79">
        <f t="shared" si="0"/>
        <v>14.9382</v>
      </c>
      <c r="I26" s="13">
        <f>F26/12*G26</f>
        <v>1244.8499999999999</v>
      </c>
      <c r="J26" s="23"/>
      <c r="K26" s="8"/>
      <c r="L26" s="8"/>
      <c r="M26" s="8"/>
    </row>
    <row r="27" spans="1:13" ht="15.75" customHeight="1">
      <c r="A27" s="184" t="s">
        <v>81</v>
      </c>
      <c r="B27" s="184"/>
      <c r="C27" s="184"/>
      <c r="D27" s="184"/>
      <c r="E27" s="184"/>
      <c r="F27" s="184"/>
      <c r="G27" s="184"/>
      <c r="H27" s="184"/>
      <c r="I27" s="184"/>
      <c r="J27" s="23"/>
      <c r="K27" s="8"/>
      <c r="L27" s="8"/>
      <c r="M27" s="8"/>
    </row>
    <row r="28" spans="1:13" ht="15.75" customHeight="1">
      <c r="A28" s="45"/>
      <c r="B28" s="55" t="s">
        <v>28</v>
      </c>
      <c r="C28" s="55"/>
      <c r="D28" s="55"/>
      <c r="E28" s="55"/>
      <c r="F28" s="55"/>
      <c r="G28" s="55"/>
      <c r="H28" s="55"/>
      <c r="I28" s="19"/>
      <c r="J28" s="23"/>
      <c r="K28" s="8"/>
      <c r="L28" s="8"/>
      <c r="M28" s="8"/>
    </row>
    <row r="29" spans="1:13" ht="15.75" customHeight="1">
      <c r="A29" s="45">
        <v>7</v>
      </c>
      <c r="B29" s="34" t="s">
        <v>104</v>
      </c>
      <c r="C29" s="44" t="s">
        <v>105</v>
      </c>
      <c r="D29" s="34" t="s">
        <v>184</v>
      </c>
      <c r="E29" s="33">
        <v>877.4</v>
      </c>
      <c r="F29" s="33">
        <f>SUM(E29*24/1000)</f>
        <v>21.057599999999997</v>
      </c>
      <c r="G29" s="33">
        <v>223.46</v>
      </c>
      <c r="H29" s="79">
        <f t="shared" ref="H29:H31" si="1">SUM(F29*G29/1000)</f>
        <v>4.7055312959999993</v>
      </c>
      <c r="I29" s="13">
        <f>F29/6*G29</f>
        <v>784.2552159999999</v>
      </c>
      <c r="J29" s="23"/>
      <c r="K29" s="8"/>
      <c r="L29" s="8"/>
      <c r="M29" s="8"/>
    </row>
    <row r="30" spans="1:13" ht="31.5" customHeight="1">
      <c r="A30" s="45">
        <v>8</v>
      </c>
      <c r="B30" s="34" t="s">
        <v>126</v>
      </c>
      <c r="C30" s="44" t="s">
        <v>105</v>
      </c>
      <c r="D30" s="34" t="s">
        <v>176</v>
      </c>
      <c r="E30" s="33">
        <v>214.34</v>
      </c>
      <c r="F30" s="33">
        <f>SUM(E30*52/1000)</f>
        <v>11.14568</v>
      </c>
      <c r="G30" s="33">
        <v>370.77</v>
      </c>
      <c r="H30" s="79">
        <f t="shared" si="1"/>
        <v>4.1324837735999997</v>
      </c>
      <c r="I30" s="13">
        <f t="shared" ref="I30:I32" si="2">F30/6*G30</f>
        <v>688.74729559999992</v>
      </c>
      <c r="J30" s="23"/>
      <c r="K30" s="8"/>
      <c r="L30" s="8"/>
      <c r="M30" s="8"/>
    </row>
    <row r="31" spans="1:13" ht="15.75" hidden="1" customHeight="1">
      <c r="A31" s="45">
        <v>16</v>
      </c>
      <c r="B31" s="34" t="s">
        <v>27</v>
      </c>
      <c r="C31" s="44" t="s">
        <v>105</v>
      </c>
      <c r="D31" s="34" t="s">
        <v>179</v>
      </c>
      <c r="E31" s="33">
        <v>877.4</v>
      </c>
      <c r="F31" s="33">
        <f>SUM(E31/1000)</f>
        <v>0.87739999999999996</v>
      </c>
      <c r="G31" s="33">
        <v>4329.78</v>
      </c>
      <c r="H31" s="79">
        <f t="shared" si="1"/>
        <v>3.7989489719999998</v>
      </c>
      <c r="I31" s="13">
        <f>F31*G31</f>
        <v>3798.9489719999997</v>
      </c>
      <c r="J31" s="23"/>
      <c r="K31" s="8"/>
      <c r="L31" s="8"/>
      <c r="M31" s="8"/>
    </row>
    <row r="32" spans="1:13" ht="15.75" customHeight="1">
      <c r="A32" s="45">
        <v>9</v>
      </c>
      <c r="B32" s="34" t="s">
        <v>124</v>
      </c>
      <c r="C32" s="44" t="s">
        <v>39</v>
      </c>
      <c r="D32" s="34" t="s">
        <v>181</v>
      </c>
      <c r="E32" s="33">
        <v>8</v>
      </c>
      <c r="F32" s="33">
        <v>12.4</v>
      </c>
      <c r="G32" s="33">
        <v>1866.51</v>
      </c>
      <c r="H32" s="79">
        <v>16.145</v>
      </c>
      <c r="I32" s="13">
        <f t="shared" si="2"/>
        <v>3857.4540000000002</v>
      </c>
      <c r="J32" s="23"/>
      <c r="K32" s="8"/>
      <c r="L32" s="8"/>
      <c r="M32" s="8"/>
    </row>
    <row r="33" spans="1:14" ht="15.75" hidden="1" customHeight="1">
      <c r="A33" s="45">
        <v>4</v>
      </c>
      <c r="B33" s="76" t="s">
        <v>63</v>
      </c>
      <c r="C33" s="65" t="s">
        <v>33</v>
      </c>
      <c r="D33" s="76" t="s">
        <v>65</v>
      </c>
      <c r="E33" s="77"/>
      <c r="F33" s="78">
        <v>2</v>
      </c>
      <c r="G33" s="78">
        <v>191.32</v>
      </c>
      <c r="H33" s="79">
        <f t="shared" ref="H33:H34" si="3">SUM(F33*G33/1000)</f>
        <v>0.38263999999999998</v>
      </c>
      <c r="I33" s="13">
        <v>0</v>
      </c>
      <c r="J33" s="23"/>
      <c r="K33" s="8"/>
    </row>
    <row r="34" spans="1:14" ht="15.75" hidden="1" customHeight="1">
      <c r="A34" s="30">
        <v>8</v>
      </c>
      <c r="B34" s="76" t="s">
        <v>64</v>
      </c>
      <c r="C34" s="65" t="s">
        <v>32</v>
      </c>
      <c r="D34" s="76" t="s">
        <v>65</v>
      </c>
      <c r="E34" s="77"/>
      <c r="F34" s="78">
        <v>3</v>
      </c>
      <c r="G34" s="78">
        <v>1136.32</v>
      </c>
      <c r="H34" s="79">
        <f t="shared" si="3"/>
        <v>3.40896</v>
      </c>
      <c r="I34" s="13">
        <v>0</v>
      </c>
      <c r="J34" s="24"/>
    </row>
    <row r="35" spans="1:14" ht="15.75" hidden="1" customHeight="1">
      <c r="A35" s="45"/>
      <c r="B35" s="53" t="s">
        <v>5</v>
      </c>
      <c r="C35" s="53"/>
      <c r="D35" s="53"/>
      <c r="E35" s="53"/>
      <c r="F35" s="13"/>
      <c r="G35" s="14"/>
      <c r="H35" s="14"/>
      <c r="I35" s="19"/>
      <c r="J35" s="24"/>
    </row>
    <row r="36" spans="1:14" ht="15.75" hidden="1" customHeight="1">
      <c r="A36" s="35">
        <v>10</v>
      </c>
      <c r="B36" s="76" t="s">
        <v>26</v>
      </c>
      <c r="C36" s="65" t="s">
        <v>32</v>
      </c>
      <c r="D36" s="76"/>
      <c r="E36" s="77"/>
      <c r="F36" s="78">
        <v>15</v>
      </c>
      <c r="G36" s="78">
        <v>1527.22</v>
      </c>
      <c r="H36" s="79">
        <f>SUM(F36*G36/1000)</f>
        <v>22.908300000000001</v>
      </c>
      <c r="I36" s="13">
        <f t="shared" ref="I36:I41" si="4">F36/6*G36</f>
        <v>3818.05</v>
      </c>
      <c r="J36" s="24"/>
    </row>
    <row r="37" spans="1:14" ht="15.75" hidden="1" customHeight="1">
      <c r="A37" s="35">
        <v>11</v>
      </c>
      <c r="B37" s="76" t="s">
        <v>66</v>
      </c>
      <c r="C37" s="65" t="s">
        <v>29</v>
      </c>
      <c r="D37" s="76" t="s">
        <v>108</v>
      </c>
      <c r="E37" s="78">
        <v>547.85</v>
      </c>
      <c r="F37" s="78">
        <f>SUM(E37*50/1000)</f>
        <v>27.392499999999998</v>
      </c>
      <c r="G37" s="78">
        <v>2102.71</v>
      </c>
      <c r="H37" s="79">
        <f t="shared" ref="H37:H41" si="5">SUM(F37*G37/1000)</f>
        <v>57.598483674999997</v>
      </c>
      <c r="I37" s="13">
        <f t="shared" si="4"/>
        <v>9599.747279166666</v>
      </c>
      <c r="J37" s="24"/>
    </row>
    <row r="38" spans="1:14" ht="15.75" hidden="1" customHeight="1">
      <c r="A38" s="35">
        <v>12</v>
      </c>
      <c r="B38" s="76" t="s">
        <v>67</v>
      </c>
      <c r="C38" s="65" t="s">
        <v>29</v>
      </c>
      <c r="D38" s="76" t="s">
        <v>109</v>
      </c>
      <c r="E38" s="78">
        <v>140</v>
      </c>
      <c r="F38" s="78">
        <f>SUM(E38*155/1000)</f>
        <v>21.7</v>
      </c>
      <c r="G38" s="78">
        <v>350.75</v>
      </c>
      <c r="H38" s="79">
        <f t="shared" si="5"/>
        <v>7.611275</v>
      </c>
      <c r="I38" s="13">
        <f t="shared" si="4"/>
        <v>1268.5458333333333</v>
      </c>
      <c r="J38" s="24"/>
    </row>
    <row r="39" spans="1:14" ht="31.5" hidden="1" customHeight="1">
      <c r="A39" s="35">
        <v>13</v>
      </c>
      <c r="B39" s="76" t="s">
        <v>79</v>
      </c>
      <c r="C39" s="65" t="s">
        <v>105</v>
      </c>
      <c r="D39" s="76" t="s">
        <v>127</v>
      </c>
      <c r="E39" s="78">
        <v>140</v>
      </c>
      <c r="F39" s="78">
        <f>SUM(E39*12/1000)</f>
        <v>1.68</v>
      </c>
      <c r="G39" s="78">
        <v>5803.28</v>
      </c>
      <c r="H39" s="79">
        <f t="shared" si="5"/>
        <v>9.7495103999999984</v>
      </c>
      <c r="I39" s="13">
        <f t="shared" si="4"/>
        <v>1624.9183999999998</v>
      </c>
      <c r="J39" s="24"/>
    </row>
    <row r="40" spans="1:14" ht="15.75" hidden="1" customHeight="1">
      <c r="A40" s="35">
        <v>14</v>
      </c>
      <c r="B40" s="76" t="s">
        <v>110</v>
      </c>
      <c r="C40" s="65" t="s">
        <v>105</v>
      </c>
      <c r="D40" s="76" t="s">
        <v>68</v>
      </c>
      <c r="E40" s="78">
        <v>140</v>
      </c>
      <c r="F40" s="78">
        <f>SUM(E40*45/1000)</f>
        <v>6.3</v>
      </c>
      <c r="G40" s="78">
        <v>428.7</v>
      </c>
      <c r="H40" s="79">
        <f t="shared" si="5"/>
        <v>2.7008100000000002</v>
      </c>
      <c r="I40" s="13">
        <f t="shared" si="4"/>
        <v>450.13499999999999</v>
      </c>
      <c r="J40" s="24"/>
    </row>
    <row r="41" spans="1:14" ht="15.75" hidden="1" customHeight="1">
      <c r="A41" s="35">
        <v>15</v>
      </c>
      <c r="B41" s="76" t="s">
        <v>69</v>
      </c>
      <c r="C41" s="65" t="s">
        <v>33</v>
      </c>
      <c r="D41" s="76"/>
      <c r="E41" s="77"/>
      <c r="F41" s="78">
        <v>0.9</v>
      </c>
      <c r="G41" s="78">
        <v>798</v>
      </c>
      <c r="H41" s="79">
        <f t="shared" si="5"/>
        <v>0.71820000000000006</v>
      </c>
      <c r="I41" s="13">
        <f t="shared" si="4"/>
        <v>119.69999999999999</v>
      </c>
      <c r="J41" s="24"/>
      <c r="L41" s="20"/>
      <c r="M41" s="21"/>
      <c r="N41" s="22"/>
    </row>
    <row r="42" spans="1:14" ht="15.75" hidden="1" customHeight="1">
      <c r="A42" s="195" t="s">
        <v>136</v>
      </c>
      <c r="B42" s="196"/>
      <c r="C42" s="196"/>
      <c r="D42" s="196"/>
      <c r="E42" s="196"/>
      <c r="F42" s="196"/>
      <c r="G42" s="196"/>
      <c r="H42" s="196"/>
      <c r="I42" s="197"/>
      <c r="J42" s="24"/>
      <c r="L42" s="20"/>
      <c r="M42" s="21"/>
      <c r="N42" s="22"/>
    </row>
    <row r="43" spans="1:14" ht="15.75" hidden="1" customHeight="1">
      <c r="A43" s="45">
        <v>19</v>
      </c>
      <c r="B43" s="76" t="s">
        <v>111</v>
      </c>
      <c r="C43" s="65" t="s">
        <v>105</v>
      </c>
      <c r="D43" s="76" t="s">
        <v>41</v>
      </c>
      <c r="E43" s="77">
        <v>1640.4</v>
      </c>
      <c r="F43" s="78">
        <f>SUM(E43*2/1000)</f>
        <v>3.2808000000000002</v>
      </c>
      <c r="G43" s="13">
        <v>849.49</v>
      </c>
      <c r="H43" s="79">
        <f t="shared" ref="H43:H51" si="6">SUM(F43*G43/1000)</f>
        <v>2.7870067920000001</v>
      </c>
      <c r="I43" s="13">
        <f t="shared" ref="I43:I45" si="7">F43/2*G43</f>
        <v>1393.5033960000001</v>
      </c>
      <c r="J43" s="24"/>
      <c r="L43" s="20"/>
      <c r="M43" s="21"/>
      <c r="N43" s="22"/>
    </row>
    <row r="44" spans="1:14" ht="15.75" hidden="1" customHeight="1">
      <c r="A44" s="45">
        <v>20</v>
      </c>
      <c r="B44" s="76" t="s">
        <v>34</v>
      </c>
      <c r="C44" s="65" t="s">
        <v>105</v>
      </c>
      <c r="D44" s="76" t="s">
        <v>41</v>
      </c>
      <c r="E44" s="77">
        <v>918.25</v>
      </c>
      <c r="F44" s="78">
        <f>SUM(E44*2/1000)</f>
        <v>1.8365</v>
      </c>
      <c r="G44" s="13">
        <v>579.48</v>
      </c>
      <c r="H44" s="79">
        <f t="shared" si="6"/>
        <v>1.06421502</v>
      </c>
      <c r="I44" s="13">
        <f t="shared" si="7"/>
        <v>532.10751000000005</v>
      </c>
      <c r="J44" s="24"/>
      <c r="L44" s="20"/>
      <c r="M44" s="21"/>
      <c r="N44" s="22"/>
    </row>
    <row r="45" spans="1:14" ht="15.75" hidden="1" customHeight="1">
      <c r="A45" s="45">
        <v>21</v>
      </c>
      <c r="B45" s="76" t="s">
        <v>35</v>
      </c>
      <c r="C45" s="65" t="s">
        <v>105</v>
      </c>
      <c r="D45" s="76" t="s">
        <v>41</v>
      </c>
      <c r="E45" s="77">
        <v>5592.26</v>
      </c>
      <c r="F45" s="78">
        <f>SUM(E45*2/1000)</f>
        <v>11.184520000000001</v>
      </c>
      <c r="G45" s="13">
        <v>579.48</v>
      </c>
      <c r="H45" s="79">
        <f t="shared" si="6"/>
        <v>6.4812056496000006</v>
      </c>
      <c r="I45" s="13">
        <f t="shared" si="7"/>
        <v>3240.6028248000002</v>
      </c>
      <c r="J45" s="24"/>
      <c r="L45" s="20"/>
      <c r="M45" s="21"/>
      <c r="N45" s="22"/>
    </row>
    <row r="46" spans="1:14" ht="15.75" hidden="1" customHeight="1">
      <c r="A46" s="45">
        <v>22</v>
      </c>
      <c r="B46" s="76" t="s">
        <v>36</v>
      </c>
      <c r="C46" s="65" t="s">
        <v>105</v>
      </c>
      <c r="D46" s="76" t="s">
        <v>41</v>
      </c>
      <c r="E46" s="77">
        <v>2817.65</v>
      </c>
      <c r="F46" s="78">
        <f>SUM(E46*2/1000)</f>
        <v>5.6353</v>
      </c>
      <c r="G46" s="13">
        <v>606.77</v>
      </c>
      <c r="H46" s="79">
        <f t="shared" si="6"/>
        <v>3.4193309809999999</v>
      </c>
      <c r="I46" s="13">
        <f>F46/2*G46</f>
        <v>1709.6654905</v>
      </c>
      <c r="J46" s="24"/>
      <c r="L46" s="20"/>
      <c r="M46" s="21"/>
      <c r="N46" s="22"/>
    </row>
    <row r="47" spans="1:14" ht="15.75" hidden="1" customHeight="1">
      <c r="A47" s="45">
        <v>23</v>
      </c>
      <c r="B47" s="76" t="s">
        <v>55</v>
      </c>
      <c r="C47" s="65" t="s">
        <v>105</v>
      </c>
      <c r="D47" s="76" t="s">
        <v>129</v>
      </c>
      <c r="E47" s="77">
        <v>3280.8</v>
      </c>
      <c r="F47" s="78">
        <f>SUM(E47*5/1000)</f>
        <v>16.404</v>
      </c>
      <c r="G47" s="13">
        <v>1213.55</v>
      </c>
      <c r="H47" s="79">
        <f t="shared" si="6"/>
        <v>19.9070742</v>
      </c>
      <c r="I47" s="13">
        <f>F47/5*G47</f>
        <v>3981.4148399999999</v>
      </c>
      <c r="J47" s="24"/>
      <c r="L47" s="20"/>
      <c r="M47" s="21"/>
      <c r="N47" s="22"/>
    </row>
    <row r="48" spans="1:14" ht="31.5" hidden="1" customHeight="1">
      <c r="A48" s="45">
        <v>16</v>
      </c>
      <c r="B48" s="76" t="s">
        <v>112</v>
      </c>
      <c r="C48" s="65" t="s">
        <v>105</v>
      </c>
      <c r="D48" s="76" t="s">
        <v>41</v>
      </c>
      <c r="E48" s="77">
        <v>3280.8</v>
      </c>
      <c r="F48" s="78">
        <f>SUM(E48*2/1000)</f>
        <v>6.5616000000000003</v>
      </c>
      <c r="G48" s="13">
        <v>1213.55</v>
      </c>
      <c r="H48" s="79">
        <f t="shared" si="6"/>
        <v>7.9628296799999996</v>
      </c>
      <c r="I48" s="13">
        <f>F48/2*G48</f>
        <v>3981.4148399999999</v>
      </c>
      <c r="J48" s="24"/>
      <c r="L48" s="20"/>
      <c r="M48" s="21"/>
      <c r="N48" s="22"/>
    </row>
    <row r="49" spans="1:14" ht="31.5" hidden="1" customHeight="1">
      <c r="A49" s="45">
        <v>17</v>
      </c>
      <c r="B49" s="76" t="s">
        <v>128</v>
      </c>
      <c r="C49" s="65" t="s">
        <v>37</v>
      </c>
      <c r="D49" s="76" t="s">
        <v>41</v>
      </c>
      <c r="E49" s="77">
        <v>40</v>
      </c>
      <c r="F49" s="78">
        <f>SUM(E49*2/100)</f>
        <v>0.8</v>
      </c>
      <c r="G49" s="13">
        <v>2730.49</v>
      </c>
      <c r="H49" s="79">
        <f t="shared" si="6"/>
        <v>2.1843919999999999</v>
      </c>
      <c r="I49" s="13">
        <f>F49/2*G49</f>
        <v>1092.1959999999999</v>
      </c>
      <c r="J49" s="24"/>
      <c r="L49" s="20"/>
      <c r="M49" s="21"/>
      <c r="N49" s="22"/>
    </row>
    <row r="50" spans="1:14" ht="15.75" hidden="1" customHeight="1">
      <c r="A50" s="45">
        <v>16</v>
      </c>
      <c r="B50" s="76" t="s">
        <v>38</v>
      </c>
      <c r="C50" s="65" t="s">
        <v>39</v>
      </c>
      <c r="D50" s="76" t="s">
        <v>41</v>
      </c>
      <c r="E50" s="77">
        <v>1</v>
      </c>
      <c r="F50" s="78">
        <v>0.02</v>
      </c>
      <c r="G50" s="13">
        <v>5652.13</v>
      </c>
      <c r="H50" s="79">
        <f t="shared" si="6"/>
        <v>0.11304260000000001</v>
      </c>
      <c r="I50" s="13">
        <f>F50/2*G50</f>
        <v>56.521300000000004</v>
      </c>
      <c r="J50" s="24"/>
      <c r="L50" s="20"/>
      <c r="M50" s="21"/>
      <c r="N50" s="22"/>
    </row>
    <row r="51" spans="1:14" ht="15.75" hidden="1" customHeight="1">
      <c r="A51" s="45">
        <v>14</v>
      </c>
      <c r="B51" s="76" t="s">
        <v>40</v>
      </c>
      <c r="C51" s="65" t="s">
        <v>113</v>
      </c>
      <c r="D51" s="76" t="s">
        <v>70</v>
      </c>
      <c r="E51" s="77">
        <v>238</v>
      </c>
      <c r="F51" s="78">
        <f>SUM(E51)*3</f>
        <v>714</v>
      </c>
      <c r="G51" s="13">
        <v>65.67</v>
      </c>
      <c r="H51" s="79">
        <f t="shared" si="6"/>
        <v>46.888380000000005</v>
      </c>
      <c r="I51" s="13">
        <f>E51*G51</f>
        <v>15629.460000000001</v>
      </c>
      <c r="J51" s="24"/>
      <c r="L51" s="20"/>
      <c r="M51" s="21"/>
      <c r="N51" s="22"/>
    </row>
    <row r="52" spans="1:14" ht="15.75" customHeight="1">
      <c r="A52" s="185" t="s">
        <v>151</v>
      </c>
      <c r="B52" s="186"/>
      <c r="C52" s="186"/>
      <c r="D52" s="186"/>
      <c r="E52" s="186"/>
      <c r="F52" s="186"/>
      <c r="G52" s="186"/>
      <c r="H52" s="186"/>
      <c r="I52" s="187"/>
      <c r="J52" s="24"/>
      <c r="L52" s="20"/>
      <c r="M52" s="21"/>
      <c r="N52" s="22"/>
    </row>
    <row r="53" spans="1:14" ht="15.75" hidden="1" customHeight="1">
      <c r="A53" s="58"/>
      <c r="B53" s="52" t="s">
        <v>42</v>
      </c>
      <c r="C53" s="17"/>
      <c r="D53" s="16"/>
      <c r="E53" s="16"/>
      <c r="F53" s="16"/>
      <c r="G53" s="30"/>
      <c r="H53" s="30"/>
      <c r="I53" s="19"/>
      <c r="J53" s="24"/>
      <c r="L53" s="20"/>
      <c r="M53" s="21"/>
      <c r="N53" s="22"/>
    </row>
    <row r="54" spans="1:14" ht="15.75" hidden="1" customHeight="1">
      <c r="A54" s="45">
        <v>15</v>
      </c>
      <c r="B54" s="76" t="s">
        <v>130</v>
      </c>
      <c r="C54" s="65" t="s">
        <v>98</v>
      </c>
      <c r="D54" s="76" t="s">
        <v>53</v>
      </c>
      <c r="E54" s="85">
        <v>1640.4</v>
      </c>
      <c r="F54" s="13">
        <f>E54/100</f>
        <v>16.404</v>
      </c>
      <c r="G54" s="78">
        <v>472.59</v>
      </c>
      <c r="H54" s="79">
        <f>SUM(F54*G54/1000)</f>
        <v>7.7523663599999999</v>
      </c>
      <c r="I54" s="13">
        <v>0</v>
      </c>
      <c r="J54" s="24"/>
      <c r="L54" s="20"/>
      <c r="M54" s="21"/>
      <c r="N54" s="22"/>
    </row>
    <row r="55" spans="1:14" ht="31.5" hidden="1" customHeight="1">
      <c r="A55" s="45">
        <v>18</v>
      </c>
      <c r="B55" s="76" t="s">
        <v>131</v>
      </c>
      <c r="C55" s="65" t="s">
        <v>98</v>
      </c>
      <c r="D55" s="76" t="s">
        <v>132</v>
      </c>
      <c r="E55" s="77">
        <v>164.04</v>
      </c>
      <c r="F55" s="13">
        <f>E55*6/100</f>
        <v>9.8423999999999996</v>
      </c>
      <c r="G55" s="86">
        <v>1547.28</v>
      </c>
      <c r="H55" s="79">
        <f>F55*G55/1000</f>
        <v>15.228948671999998</v>
      </c>
      <c r="I55" s="13">
        <f>F55/6*G55</f>
        <v>2538.1581119999996</v>
      </c>
      <c r="J55" s="24"/>
      <c r="L55" s="20"/>
      <c r="M55" s="21"/>
      <c r="N55" s="22"/>
    </row>
    <row r="56" spans="1:14" ht="15.75" hidden="1" customHeight="1">
      <c r="A56" s="45">
        <v>19</v>
      </c>
      <c r="B56" s="87" t="s">
        <v>89</v>
      </c>
      <c r="C56" s="88" t="s">
        <v>98</v>
      </c>
      <c r="D56" s="87" t="s">
        <v>133</v>
      </c>
      <c r="E56" s="89">
        <v>8</v>
      </c>
      <c r="F56" s="90">
        <f>E56*8/100</f>
        <v>0.64</v>
      </c>
      <c r="G56" s="86">
        <v>1547.28</v>
      </c>
      <c r="H56" s="91">
        <f>F56*G56/1000</f>
        <v>0.99025920000000001</v>
      </c>
      <c r="I56" s="13">
        <f>F56/6*G56</f>
        <v>165.04320000000001</v>
      </c>
      <c r="J56" s="24"/>
      <c r="L56" s="20"/>
      <c r="M56" s="21"/>
      <c r="N56" s="22"/>
    </row>
    <row r="57" spans="1:14" ht="15.75" hidden="1" customHeight="1">
      <c r="A57" s="45"/>
      <c r="B57" s="87" t="s">
        <v>93</v>
      </c>
      <c r="C57" s="88" t="s">
        <v>94</v>
      </c>
      <c r="D57" s="87" t="s">
        <v>41</v>
      </c>
      <c r="E57" s="89">
        <v>8</v>
      </c>
      <c r="F57" s="90">
        <v>16</v>
      </c>
      <c r="G57" s="92">
        <v>180.78</v>
      </c>
      <c r="H57" s="91">
        <f>F57*G57/1000</f>
        <v>2.8924799999999999</v>
      </c>
      <c r="I57" s="13">
        <v>0</v>
      </c>
      <c r="J57" s="24"/>
      <c r="L57" s="20"/>
      <c r="M57" s="21"/>
      <c r="N57" s="22"/>
    </row>
    <row r="58" spans="1:14" ht="15.75" customHeight="1">
      <c r="A58" s="45"/>
      <c r="B58" s="71" t="s">
        <v>43</v>
      </c>
      <c r="C58" s="71"/>
      <c r="D58" s="71"/>
      <c r="E58" s="71"/>
      <c r="F58" s="71"/>
      <c r="G58" s="71"/>
      <c r="H58" s="71"/>
      <c r="I58" s="37"/>
      <c r="J58" s="24"/>
      <c r="L58" s="20"/>
      <c r="M58" s="21"/>
      <c r="N58" s="22"/>
    </row>
    <row r="59" spans="1:14" ht="15.75" customHeight="1">
      <c r="A59" s="45">
        <v>10</v>
      </c>
      <c r="B59" s="87" t="s">
        <v>90</v>
      </c>
      <c r="C59" s="88" t="s">
        <v>25</v>
      </c>
      <c r="D59" s="87" t="s">
        <v>178</v>
      </c>
      <c r="E59" s="89">
        <v>329.4</v>
      </c>
      <c r="F59" s="90">
        <v>2400</v>
      </c>
      <c r="G59" s="93">
        <v>1.4</v>
      </c>
      <c r="H59" s="91">
        <f>G59*F59</f>
        <v>3360</v>
      </c>
      <c r="I59" s="13">
        <f>F59/12*G59</f>
        <v>280</v>
      </c>
      <c r="J59" s="24"/>
      <c r="L59" s="20"/>
      <c r="M59" s="21"/>
      <c r="N59" s="22"/>
    </row>
    <row r="60" spans="1:14" ht="15.75" hidden="1" customHeight="1">
      <c r="A60" s="45"/>
      <c r="B60" s="87" t="s">
        <v>44</v>
      </c>
      <c r="C60" s="88" t="s">
        <v>25</v>
      </c>
      <c r="D60" s="87" t="s">
        <v>53</v>
      </c>
      <c r="E60" s="89">
        <v>1640.4</v>
      </c>
      <c r="F60" s="90">
        <v>16.404</v>
      </c>
      <c r="G60" s="94">
        <v>739.61</v>
      </c>
      <c r="H60" s="91">
        <f>G60*F60/1000</f>
        <v>12.132562439999999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1" t="s">
        <v>45</v>
      </c>
      <c r="C61" s="17"/>
      <c r="D61" s="41"/>
      <c r="E61" s="41"/>
      <c r="F61" s="16"/>
      <c r="G61" s="30"/>
      <c r="H61" s="30"/>
      <c r="I61" s="19"/>
      <c r="J61" s="24"/>
      <c r="L61" s="20"/>
      <c r="M61" s="21"/>
      <c r="N61" s="22"/>
    </row>
    <row r="62" spans="1:14" ht="15.75" customHeight="1">
      <c r="A62" s="45">
        <v>11</v>
      </c>
      <c r="B62" s="15" t="s">
        <v>46</v>
      </c>
      <c r="C62" s="17" t="s">
        <v>113</v>
      </c>
      <c r="D62" s="15" t="s">
        <v>178</v>
      </c>
      <c r="E62" s="19">
        <v>40</v>
      </c>
      <c r="F62" s="78">
        <v>40</v>
      </c>
      <c r="G62" s="120">
        <v>318.82</v>
      </c>
      <c r="H62" s="73">
        <f t="shared" ref="H62:H69" si="8">SUM(F62*G62/1000)</f>
        <v>12.752799999999999</v>
      </c>
      <c r="I62" s="13">
        <f>G62*1</f>
        <v>318.82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47</v>
      </c>
      <c r="C63" s="17" t="s">
        <v>113</v>
      </c>
      <c r="D63" s="15" t="s">
        <v>65</v>
      </c>
      <c r="E63" s="19">
        <v>15</v>
      </c>
      <c r="F63" s="78">
        <v>15</v>
      </c>
      <c r="G63" s="13">
        <v>76.25</v>
      </c>
      <c r="H63" s="73">
        <f t="shared" si="8"/>
        <v>1.14375</v>
      </c>
      <c r="I63" s="13">
        <v>0</v>
      </c>
      <c r="J63" s="24"/>
      <c r="L63" s="20"/>
      <c r="M63" s="21"/>
      <c r="N63" s="22"/>
    </row>
    <row r="64" spans="1:14" ht="15.75" customHeight="1">
      <c r="A64" s="30">
        <v>12</v>
      </c>
      <c r="B64" s="123" t="s">
        <v>48</v>
      </c>
      <c r="C64" s="133" t="s">
        <v>114</v>
      </c>
      <c r="D64" s="41"/>
      <c r="E64" s="132">
        <v>18281</v>
      </c>
      <c r="F64" s="39">
        <f>SUM(E64/100)</f>
        <v>182.81</v>
      </c>
      <c r="G64" s="38">
        <v>304.13</v>
      </c>
      <c r="H64" s="73">
        <f t="shared" si="8"/>
        <v>55.598005299999997</v>
      </c>
      <c r="I64" s="13">
        <f>F64*G64</f>
        <v>55598.005299999997</v>
      </c>
      <c r="J64" s="24"/>
      <c r="L64" s="20"/>
      <c r="M64" s="21"/>
      <c r="N64" s="22"/>
    </row>
    <row r="65" spans="1:22" ht="15.75" customHeight="1">
      <c r="A65" s="30">
        <v>13</v>
      </c>
      <c r="B65" s="123" t="s">
        <v>49</v>
      </c>
      <c r="C65" s="42" t="s">
        <v>115</v>
      </c>
      <c r="D65" s="41"/>
      <c r="E65" s="132">
        <v>18281</v>
      </c>
      <c r="F65" s="38">
        <f>SUM(E65/1000)</f>
        <v>18.280999999999999</v>
      </c>
      <c r="G65" s="38">
        <v>236.84</v>
      </c>
      <c r="H65" s="73">
        <f t="shared" si="8"/>
        <v>4.3296720399999993</v>
      </c>
      <c r="I65" s="13">
        <f t="shared" ref="I65:I68" si="9">F65*G65</f>
        <v>4329.6720399999995</v>
      </c>
      <c r="J65" s="24"/>
      <c r="L65" s="20"/>
      <c r="M65" s="21"/>
      <c r="N65" s="22"/>
    </row>
    <row r="66" spans="1:22" ht="15.75" customHeight="1">
      <c r="A66" s="30">
        <v>14</v>
      </c>
      <c r="B66" s="123" t="s">
        <v>50</v>
      </c>
      <c r="C66" s="42" t="s">
        <v>74</v>
      </c>
      <c r="D66" s="41"/>
      <c r="E66" s="132">
        <v>2730</v>
      </c>
      <c r="F66" s="38">
        <f>SUM(E66/100)</f>
        <v>27.3</v>
      </c>
      <c r="G66" s="38">
        <v>2974.1</v>
      </c>
      <c r="H66" s="73">
        <f t="shared" si="8"/>
        <v>81.19292999999999</v>
      </c>
      <c r="I66" s="13">
        <f t="shared" si="9"/>
        <v>81192.929999999993</v>
      </c>
      <c r="J66" s="24"/>
      <c r="L66" s="20"/>
    </row>
    <row r="67" spans="1:22" ht="15.75" customHeight="1">
      <c r="A67" s="30">
        <v>15</v>
      </c>
      <c r="B67" s="134" t="s">
        <v>116</v>
      </c>
      <c r="C67" s="42" t="s">
        <v>33</v>
      </c>
      <c r="D67" s="41"/>
      <c r="E67" s="132">
        <v>20.100000000000001</v>
      </c>
      <c r="F67" s="38">
        <f>SUM(E67)</f>
        <v>20.100000000000001</v>
      </c>
      <c r="G67" s="38">
        <v>47.98</v>
      </c>
      <c r="H67" s="73">
        <f t="shared" si="8"/>
        <v>0.96439799999999998</v>
      </c>
      <c r="I67" s="13">
        <f t="shared" si="9"/>
        <v>964.39800000000002</v>
      </c>
    </row>
    <row r="68" spans="1:22" ht="15.75" customHeight="1">
      <c r="A68" s="30">
        <v>16</v>
      </c>
      <c r="B68" s="134" t="s">
        <v>140</v>
      </c>
      <c r="C68" s="42" t="s">
        <v>33</v>
      </c>
      <c r="D68" s="41"/>
      <c r="E68" s="132">
        <v>20.100000000000001</v>
      </c>
      <c r="F68" s="38">
        <f>SUM(E68)</f>
        <v>20.100000000000001</v>
      </c>
      <c r="G68" s="38">
        <v>49.7</v>
      </c>
      <c r="H68" s="73">
        <f t="shared" si="8"/>
        <v>0.99897000000000014</v>
      </c>
      <c r="I68" s="13">
        <f t="shared" si="9"/>
        <v>998.97000000000014</v>
      </c>
    </row>
    <row r="69" spans="1:22" ht="15.75" hidden="1" customHeight="1">
      <c r="A69" s="30">
        <v>13</v>
      </c>
      <c r="B69" s="15" t="s">
        <v>56</v>
      </c>
      <c r="C69" s="17" t="s">
        <v>57</v>
      </c>
      <c r="D69" s="15" t="s">
        <v>53</v>
      </c>
      <c r="E69" s="19">
        <v>12</v>
      </c>
      <c r="F69" s="78">
        <f>SUM(E69)</f>
        <v>12</v>
      </c>
      <c r="G69" s="13">
        <v>49.88</v>
      </c>
      <c r="H69" s="73">
        <f t="shared" si="8"/>
        <v>0.59856000000000009</v>
      </c>
      <c r="I69" s="13">
        <v>0</v>
      </c>
    </row>
    <row r="70" spans="1:22" ht="15.75" customHeight="1">
      <c r="A70" s="30"/>
      <c r="B70" s="135" t="s">
        <v>188</v>
      </c>
      <c r="C70" s="42"/>
      <c r="D70" s="41"/>
      <c r="E70" s="18"/>
      <c r="F70" s="136"/>
      <c r="G70" s="38"/>
      <c r="H70" s="73"/>
      <c r="I70" s="13"/>
    </row>
    <row r="71" spans="1:22" ht="30.75" customHeight="1">
      <c r="A71" s="30">
        <v>17</v>
      </c>
      <c r="B71" s="41" t="s">
        <v>189</v>
      </c>
      <c r="C71" s="45" t="s">
        <v>190</v>
      </c>
      <c r="D71" s="41"/>
      <c r="E71" s="18">
        <v>5926.8</v>
      </c>
      <c r="F71" s="38">
        <f>E71*12</f>
        <v>71121.600000000006</v>
      </c>
      <c r="G71" s="38">
        <v>2.4900000000000002</v>
      </c>
      <c r="H71" s="13"/>
      <c r="I71" s="13">
        <f>G71*F71/12</f>
        <v>14757.732000000004</v>
      </c>
    </row>
    <row r="72" spans="1:22" ht="15.75" hidden="1" customHeight="1">
      <c r="A72" s="58"/>
      <c r="B72" s="71" t="s">
        <v>117</v>
      </c>
      <c r="C72" s="71"/>
      <c r="D72" s="71"/>
      <c r="E72" s="71"/>
      <c r="F72" s="71"/>
      <c r="G72" s="71"/>
      <c r="H72" s="71"/>
      <c r="I72" s="1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9"/>
    </row>
    <row r="73" spans="1:22" ht="15.75" hidden="1" customHeight="1">
      <c r="A73" s="30">
        <v>16</v>
      </c>
      <c r="B73" s="76" t="s">
        <v>118</v>
      </c>
      <c r="C73" s="17"/>
      <c r="D73" s="15"/>
      <c r="E73" s="74"/>
      <c r="F73" s="13">
        <v>1</v>
      </c>
      <c r="G73" s="13">
        <v>27356</v>
      </c>
      <c r="H73" s="73">
        <f>G73*F73/1000</f>
        <v>27.356000000000002</v>
      </c>
      <c r="I73" s="13">
        <f>G73</f>
        <v>27356</v>
      </c>
      <c r="J73" s="26"/>
      <c r="K73" s="26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2" ht="15.75" customHeight="1">
      <c r="A74" s="30"/>
      <c r="B74" s="53" t="s">
        <v>71</v>
      </c>
      <c r="C74" s="53"/>
      <c r="D74" s="53"/>
      <c r="E74" s="53"/>
      <c r="F74" s="19"/>
      <c r="G74" s="30"/>
      <c r="H74" s="30"/>
      <c r="I74" s="19"/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2" ht="15.75" hidden="1" customHeight="1">
      <c r="A75" s="30"/>
      <c r="B75" s="15" t="s">
        <v>83</v>
      </c>
      <c r="C75" s="17" t="s">
        <v>31</v>
      </c>
      <c r="D75" s="15"/>
      <c r="E75" s="19">
        <v>2</v>
      </c>
      <c r="F75" s="78">
        <f>SUM(E75)</f>
        <v>2</v>
      </c>
      <c r="G75" s="13">
        <v>358.51</v>
      </c>
      <c r="H75" s="73">
        <f>SUM(F75*G75/1000)</f>
        <v>0.71701999999999999</v>
      </c>
      <c r="I75" s="13">
        <v>0</v>
      </c>
      <c r="J75" s="5"/>
      <c r="K75" s="5"/>
      <c r="L75" s="5"/>
      <c r="M75" s="5"/>
      <c r="N75" s="5"/>
      <c r="O75" s="5"/>
      <c r="P75" s="5"/>
      <c r="Q75" s="5"/>
      <c r="R75" s="178"/>
      <c r="S75" s="178"/>
      <c r="T75" s="178"/>
      <c r="U75" s="178"/>
    </row>
    <row r="76" spans="1:22" ht="15.75" hidden="1" customHeight="1">
      <c r="A76" s="30"/>
      <c r="B76" s="15" t="s">
        <v>72</v>
      </c>
      <c r="C76" s="17" t="s">
        <v>31</v>
      </c>
      <c r="D76" s="15"/>
      <c r="E76" s="19">
        <v>1</v>
      </c>
      <c r="F76" s="13">
        <v>1</v>
      </c>
      <c r="G76" s="13">
        <v>852.99</v>
      </c>
      <c r="H76" s="73">
        <f>F76*G76/1000</f>
        <v>0.85299000000000003</v>
      </c>
      <c r="I76" s="13">
        <v>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2" ht="36" customHeight="1">
      <c r="A77" s="30">
        <v>18</v>
      </c>
      <c r="B77" s="41" t="s">
        <v>191</v>
      </c>
      <c r="C77" s="42" t="s">
        <v>113</v>
      </c>
      <c r="D77" s="41" t="s">
        <v>179</v>
      </c>
      <c r="E77" s="18">
        <v>2</v>
      </c>
      <c r="F77" s="38">
        <f>E77*12</f>
        <v>24</v>
      </c>
      <c r="G77" s="38">
        <v>404</v>
      </c>
      <c r="H77" s="73"/>
      <c r="I77" s="13">
        <f>G77*F77/12</f>
        <v>808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customHeight="1">
      <c r="A78" s="30">
        <v>19</v>
      </c>
      <c r="B78" s="41" t="s">
        <v>192</v>
      </c>
      <c r="C78" s="42" t="s">
        <v>113</v>
      </c>
      <c r="D78" s="41" t="s">
        <v>179</v>
      </c>
      <c r="E78" s="18">
        <v>1</v>
      </c>
      <c r="F78" s="38">
        <f>E78*12</f>
        <v>12</v>
      </c>
      <c r="G78" s="38">
        <v>1759</v>
      </c>
      <c r="H78" s="73"/>
      <c r="I78" s="13">
        <f>G78*F78/12</f>
        <v>1759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2" ht="15.75" hidden="1" customHeight="1">
      <c r="A79" s="30"/>
      <c r="B79" s="54" t="s">
        <v>73</v>
      </c>
      <c r="C79" s="42"/>
      <c r="D79" s="30"/>
      <c r="E79" s="30"/>
      <c r="F79" s="19"/>
      <c r="G79" s="38" t="s">
        <v>134</v>
      </c>
      <c r="H79" s="38"/>
      <c r="I79" s="19"/>
    </row>
    <row r="80" spans="1:22" ht="15.75" hidden="1" customHeight="1">
      <c r="A80" s="30">
        <v>39</v>
      </c>
      <c r="B80" s="56" t="s">
        <v>119</v>
      </c>
      <c r="C80" s="17" t="s">
        <v>74</v>
      </c>
      <c r="D80" s="15"/>
      <c r="E80" s="19"/>
      <c r="F80" s="13">
        <v>1.35</v>
      </c>
      <c r="G80" s="13">
        <v>2759.44</v>
      </c>
      <c r="H80" s="73">
        <f>SUM(F80*G80/1000)</f>
        <v>3.725244</v>
      </c>
      <c r="I80" s="13">
        <v>0</v>
      </c>
    </row>
    <row r="81" spans="1:9" ht="15.75" customHeight="1">
      <c r="A81" s="169" t="s">
        <v>152</v>
      </c>
      <c r="B81" s="170"/>
      <c r="C81" s="170"/>
      <c r="D81" s="170"/>
      <c r="E81" s="170"/>
      <c r="F81" s="170"/>
      <c r="G81" s="170"/>
      <c r="H81" s="170"/>
      <c r="I81" s="171"/>
    </row>
    <row r="82" spans="1:9" ht="15.75" customHeight="1">
      <c r="A82" s="30">
        <v>20</v>
      </c>
      <c r="B82" s="41" t="s">
        <v>120</v>
      </c>
      <c r="C82" s="42" t="s">
        <v>54</v>
      </c>
      <c r="D82" s="146"/>
      <c r="E82" s="38">
        <v>5926.8</v>
      </c>
      <c r="F82" s="38">
        <f>SUM(E82*12)</f>
        <v>71121.600000000006</v>
      </c>
      <c r="G82" s="38">
        <v>3.38</v>
      </c>
      <c r="H82" s="13">
        <f>SUM(F82*G82/1000)</f>
        <v>240.391008</v>
      </c>
      <c r="I82" s="13">
        <f>F82/12*G82</f>
        <v>20032.583999999999</v>
      </c>
    </row>
    <row r="83" spans="1:9" ht="31.5" customHeight="1">
      <c r="A83" s="30">
        <v>21</v>
      </c>
      <c r="B83" s="143" t="s">
        <v>193</v>
      </c>
      <c r="C83" s="137"/>
      <c r="D83" s="144"/>
      <c r="E83" s="145">
        <f>E82</f>
        <v>5926.8</v>
      </c>
      <c r="F83" s="139">
        <f>E83*12</f>
        <v>71121.600000000006</v>
      </c>
      <c r="G83" s="139">
        <v>3.05</v>
      </c>
      <c r="H83" s="130">
        <f>F83*G83/1000</f>
        <v>216.92088000000001</v>
      </c>
      <c r="I83" s="131">
        <f>F83/12*G83</f>
        <v>18076.739999999998</v>
      </c>
    </row>
    <row r="84" spans="1:9" ht="15.75" customHeight="1">
      <c r="A84" s="58"/>
      <c r="B84" s="43" t="s">
        <v>76</v>
      </c>
      <c r="C84" s="45"/>
      <c r="D84" s="16"/>
      <c r="E84" s="16"/>
      <c r="F84" s="16"/>
      <c r="G84" s="19"/>
      <c r="H84" s="19"/>
      <c r="I84" s="32">
        <f>I83+I82+I78+I77+I71+I68+I67+I66+I65+I64+I59+I32+I30+I29+I26+I21+I20+I18+I17+I16+I62</f>
        <v>236743.13444960001</v>
      </c>
    </row>
    <row r="85" spans="1:9" ht="15.75" customHeight="1">
      <c r="A85" s="172" t="s">
        <v>59</v>
      </c>
      <c r="B85" s="173"/>
      <c r="C85" s="173"/>
      <c r="D85" s="173"/>
      <c r="E85" s="173"/>
      <c r="F85" s="173"/>
      <c r="G85" s="173"/>
      <c r="H85" s="173"/>
      <c r="I85" s="174"/>
    </row>
    <row r="86" spans="1:9" ht="19.5" customHeight="1">
      <c r="A86" s="30">
        <v>22</v>
      </c>
      <c r="B86" s="97" t="s">
        <v>78</v>
      </c>
      <c r="C86" s="98" t="s">
        <v>113</v>
      </c>
      <c r="D86" s="63"/>
      <c r="E86" s="38"/>
      <c r="F86" s="38">
        <v>11</v>
      </c>
      <c r="G86" s="38">
        <v>215.85</v>
      </c>
      <c r="H86" s="96">
        <f t="shared" ref="H86" si="10">G86*F86/1000</f>
        <v>2.3743499999999997</v>
      </c>
      <c r="I86" s="13">
        <f>G86*2</f>
        <v>431.7</v>
      </c>
    </row>
    <row r="87" spans="1:9" ht="19.5" customHeight="1">
      <c r="A87" s="30">
        <v>23</v>
      </c>
      <c r="B87" s="97" t="s">
        <v>158</v>
      </c>
      <c r="C87" s="98" t="s">
        <v>80</v>
      </c>
      <c r="D87" s="63" t="s">
        <v>273</v>
      </c>
      <c r="E87" s="38"/>
      <c r="F87" s="38">
        <v>16</v>
      </c>
      <c r="G87" s="38">
        <v>222.63</v>
      </c>
      <c r="H87" s="96"/>
      <c r="I87" s="13">
        <f>G87*1</f>
        <v>222.63</v>
      </c>
    </row>
    <row r="88" spans="1:9" ht="51.75" customHeight="1">
      <c r="A88" s="30">
        <v>24</v>
      </c>
      <c r="B88" s="97" t="s">
        <v>170</v>
      </c>
      <c r="C88" s="98" t="s">
        <v>167</v>
      </c>
      <c r="D88" s="41" t="s">
        <v>278</v>
      </c>
      <c r="E88" s="38"/>
      <c r="F88" s="38">
        <v>31</v>
      </c>
      <c r="G88" s="38">
        <v>1523.6</v>
      </c>
      <c r="H88" s="96"/>
      <c r="I88" s="13">
        <f>G88*18</f>
        <v>27424.799999999999</v>
      </c>
    </row>
    <row r="89" spans="1:9" ht="67.5" customHeight="1">
      <c r="A89" s="30">
        <v>25</v>
      </c>
      <c r="B89" s="97" t="s">
        <v>171</v>
      </c>
      <c r="C89" s="98" t="s">
        <v>167</v>
      </c>
      <c r="D89" s="41" t="s">
        <v>274</v>
      </c>
      <c r="E89" s="38"/>
      <c r="F89" s="38">
        <v>25</v>
      </c>
      <c r="G89" s="38">
        <v>1421.68</v>
      </c>
      <c r="H89" s="96"/>
      <c r="I89" s="13">
        <f>G89*5</f>
        <v>7108.4000000000005</v>
      </c>
    </row>
    <row r="90" spans="1:9" ht="30.75" customHeight="1">
      <c r="A90" s="30">
        <v>26</v>
      </c>
      <c r="B90" s="97" t="s">
        <v>270</v>
      </c>
      <c r="C90" s="98" t="s">
        <v>77</v>
      </c>
      <c r="D90" s="63" t="s">
        <v>275</v>
      </c>
      <c r="E90" s="38"/>
      <c r="F90" s="38">
        <v>1</v>
      </c>
      <c r="G90" s="38">
        <v>732.07</v>
      </c>
      <c r="H90" s="96"/>
      <c r="I90" s="13">
        <f>G90*1</f>
        <v>732.07</v>
      </c>
    </row>
    <row r="91" spans="1:9" ht="19.5" customHeight="1">
      <c r="A91" s="30">
        <v>27</v>
      </c>
      <c r="B91" s="159" t="s">
        <v>159</v>
      </c>
      <c r="C91" s="98" t="s">
        <v>167</v>
      </c>
      <c r="D91" s="63" t="s">
        <v>344</v>
      </c>
      <c r="E91" s="38"/>
      <c r="F91" s="38">
        <v>33</v>
      </c>
      <c r="G91" s="38">
        <v>284</v>
      </c>
      <c r="H91" s="96"/>
      <c r="I91" s="13">
        <v>0</v>
      </c>
    </row>
    <row r="92" spans="1:9" ht="29.25" customHeight="1">
      <c r="A92" s="30">
        <v>28</v>
      </c>
      <c r="B92" s="97" t="s">
        <v>194</v>
      </c>
      <c r="C92" s="98" t="s">
        <v>37</v>
      </c>
      <c r="D92" s="63" t="s">
        <v>178</v>
      </c>
      <c r="E92" s="38"/>
      <c r="F92" s="38">
        <v>0.03</v>
      </c>
      <c r="G92" s="38">
        <v>4070.89</v>
      </c>
      <c r="H92" s="96"/>
      <c r="I92" s="13">
        <v>0</v>
      </c>
    </row>
    <row r="93" spans="1:9" ht="15.75" customHeight="1">
      <c r="A93" s="30">
        <v>29</v>
      </c>
      <c r="B93" s="97" t="s">
        <v>271</v>
      </c>
      <c r="C93" s="98" t="s">
        <v>113</v>
      </c>
      <c r="D93" s="63" t="s">
        <v>272</v>
      </c>
      <c r="E93" s="38"/>
      <c r="F93" s="38">
        <v>1</v>
      </c>
      <c r="G93" s="38">
        <v>191.43</v>
      </c>
      <c r="H93" s="96"/>
      <c r="I93" s="13">
        <f>G93*1</f>
        <v>191.43</v>
      </c>
    </row>
    <row r="94" spans="1:9" ht="31.5" customHeight="1">
      <c r="A94" s="30">
        <v>30</v>
      </c>
      <c r="B94" s="97" t="s">
        <v>215</v>
      </c>
      <c r="C94" s="98" t="s">
        <v>86</v>
      </c>
      <c r="D94" s="41" t="s">
        <v>279</v>
      </c>
      <c r="E94" s="38"/>
      <c r="F94" s="38">
        <v>10</v>
      </c>
      <c r="G94" s="38">
        <v>913.43</v>
      </c>
      <c r="H94" s="96"/>
      <c r="I94" s="13">
        <f>G94*4</f>
        <v>3653.72</v>
      </c>
    </row>
    <row r="95" spans="1:9" ht="31.5" customHeight="1">
      <c r="A95" s="30">
        <v>31</v>
      </c>
      <c r="B95" s="97" t="s">
        <v>280</v>
      </c>
      <c r="C95" s="98" t="s">
        <v>86</v>
      </c>
      <c r="D95" s="63" t="s">
        <v>281</v>
      </c>
      <c r="E95" s="38"/>
      <c r="F95" s="38">
        <v>1</v>
      </c>
      <c r="G95" s="38">
        <v>587.65</v>
      </c>
      <c r="H95" s="96"/>
      <c r="I95" s="13">
        <f>G95*1</f>
        <v>587.65</v>
      </c>
    </row>
    <row r="96" spans="1:9" ht="20.25" customHeight="1">
      <c r="A96" s="30">
        <v>32</v>
      </c>
      <c r="B96" s="97" t="s">
        <v>209</v>
      </c>
      <c r="C96" s="98" t="s">
        <v>39</v>
      </c>
      <c r="D96" s="63" t="s">
        <v>178</v>
      </c>
      <c r="E96" s="38"/>
      <c r="F96" s="160">
        <v>7.0000000000000007E-2</v>
      </c>
      <c r="G96" s="38">
        <v>27139.18</v>
      </c>
      <c r="H96" s="96"/>
      <c r="I96" s="13">
        <v>0</v>
      </c>
    </row>
    <row r="97" spans="1:9" ht="15.75" customHeight="1">
      <c r="A97" s="30"/>
      <c r="B97" s="50" t="s">
        <v>51</v>
      </c>
      <c r="C97" s="46"/>
      <c r="D97" s="59"/>
      <c r="E97" s="59"/>
      <c r="F97" s="46">
        <v>1</v>
      </c>
      <c r="G97" s="46"/>
      <c r="H97" s="46"/>
      <c r="I97" s="32">
        <f>SUM(I86:I96)</f>
        <v>40352.400000000001</v>
      </c>
    </row>
    <row r="98" spans="1:9" ht="15.75" customHeight="1">
      <c r="A98" s="30"/>
      <c r="B98" s="56" t="s">
        <v>75</v>
      </c>
      <c r="C98" s="16"/>
      <c r="D98" s="16"/>
      <c r="E98" s="16"/>
      <c r="F98" s="47"/>
      <c r="G98" s="48"/>
      <c r="H98" s="48"/>
      <c r="I98" s="18">
        <v>0</v>
      </c>
    </row>
    <row r="99" spans="1:9" ht="15.75" customHeight="1">
      <c r="A99" s="60"/>
      <c r="B99" s="51" t="s">
        <v>141</v>
      </c>
      <c r="C99" s="36"/>
      <c r="D99" s="36"/>
      <c r="E99" s="36"/>
      <c r="F99" s="36"/>
      <c r="G99" s="36"/>
      <c r="H99" s="36"/>
      <c r="I99" s="49">
        <f>I84+I97</f>
        <v>277095.53444960003</v>
      </c>
    </row>
    <row r="100" spans="1:9" ht="15.75" customHeight="1">
      <c r="A100" s="188" t="s">
        <v>345</v>
      </c>
      <c r="B100" s="188"/>
      <c r="C100" s="188"/>
      <c r="D100" s="188"/>
      <c r="E100" s="188"/>
      <c r="F100" s="188"/>
      <c r="G100" s="188"/>
      <c r="H100" s="188"/>
      <c r="I100" s="188"/>
    </row>
    <row r="101" spans="1:9" ht="15.75" customHeight="1">
      <c r="A101" s="72"/>
      <c r="B101" s="180" t="s">
        <v>346</v>
      </c>
      <c r="C101" s="180"/>
      <c r="D101" s="180"/>
      <c r="E101" s="180"/>
      <c r="F101" s="180"/>
      <c r="G101" s="180"/>
      <c r="H101" s="75"/>
      <c r="I101" s="3"/>
    </row>
    <row r="102" spans="1:9" ht="15.75" customHeight="1">
      <c r="A102" s="67"/>
      <c r="B102" s="176" t="s">
        <v>6</v>
      </c>
      <c r="C102" s="176"/>
      <c r="D102" s="176"/>
      <c r="E102" s="176"/>
      <c r="F102" s="176"/>
      <c r="G102" s="176"/>
      <c r="H102" s="25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81" t="s">
        <v>7</v>
      </c>
      <c r="B104" s="181"/>
      <c r="C104" s="181"/>
      <c r="D104" s="181"/>
      <c r="E104" s="181"/>
      <c r="F104" s="181"/>
      <c r="G104" s="181"/>
      <c r="H104" s="181"/>
      <c r="I104" s="181"/>
    </row>
    <row r="105" spans="1:9" ht="15.75" customHeight="1">
      <c r="A105" s="181" t="s">
        <v>8</v>
      </c>
      <c r="B105" s="181"/>
      <c r="C105" s="181"/>
      <c r="D105" s="181"/>
      <c r="E105" s="181"/>
      <c r="F105" s="181"/>
      <c r="G105" s="181"/>
      <c r="H105" s="181"/>
      <c r="I105" s="181"/>
    </row>
    <row r="106" spans="1:9" ht="15.75" customHeight="1">
      <c r="A106" s="182" t="s">
        <v>60</v>
      </c>
      <c r="B106" s="182"/>
      <c r="C106" s="182"/>
      <c r="D106" s="182"/>
      <c r="E106" s="182"/>
      <c r="F106" s="182"/>
      <c r="G106" s="182"/>
      <c r="H106" s="182"/>
      <c r="I106" s="182"/>
    </row>
    <row r="107" spans="1:9" ht="15.75" customHeight="1">
      <c r="A107" s="11"/>
    </row>
    <row r="108" spans="1:9" ht="15.75" customHeight="1">
      <c r="A108" s="183" t="s">
        <v>9</v>
      </c>
      <c r="B108" s="183"/>
      <c r="C108" s="183"/>
      <c r="D108" s="183"/>
      <c r="E108" s="183"/>
      <c r="F108" s="183"/>
      <c r="G108" s="183"/>
      <c r="H108" s="183"/>
      <c r="I108" s="183"/>
    </row>
    <row r="109" spans="1:9" ht="15.75" customHeight="1">
      <c r="A109" s="4"/>
    </row>
    <row r="110" spans="1:9" ht="15.75" customHeight="1">
      <c r="B110" s="66" t="s">
        <v>10</v>
      </c>
      <c r="C110" s="175" t="s">
        <v>85</v>
      </c>
      <c r="D110" s="175"/>
      <c r="E110" s="175"/>
      <c r="F110" s="175"/>
      <c r="I110" s="69"/>
    </row>
    <row r="111" spans="1:9" ht="15.75" customHeight="1">
      <c r="A111" s="67"/>
      <c r="C111" s="176" t="s">
        <v>11</v>
      </c>
      <c r="D111" s="176"/>
      <c r="E111" s="176"/>
      <c r="F111" s="176"/>
      <c r="I111" s="68" t="s">
        <v>12</v>
      </c>
    </row>
    <row r="112" spans="1:9" ht="15.75" customHeight="1">
      <c r="A112" s="26"/>
      <c r="C112" s="12"/>
      <c r="D112" s="12"/>
      <c r="E112" s="12"/>
      <c r="G112" s="12"/>
      <c r="H112" s="12"/>
    </row>
    <row r="113" spans="1:9" ht="15.75" customHeight="1">
      <c r="B113" s="66" t="s">
        <v>13</v>
      </c>
      <c r="C113" s="177"/>
      <c r="D113" s="177"/>
      <c r="E113" s="177"/>
      <c r="F113" s="177"/>
      <c r="I113" s="69"/>
    </row>
    <row r="114" spans="1:9" ht="15.75" customHeight="1">
      <c r="A114" s="67"/>
      <c r="C114" s="178" t="s">
        <v>11</v>
      </c>
      <c r="D114" s="178"/>
      <c r="E114" s="178"/>
      <c r="F114" s="178"/>
      <c r="I114" s="68" t="s">
        <v>12</v>
      </c>
    </row>
    <row r="115" spans="1:9" ht="15.75" customHeight="1">
      <c r="A115" s="4" t="s">
        <v>14</v>
      </c>
    </row>
    <row r="116" spans="1:9">
      <c r="A116" s="179" t="s">
        <v>15</v>
      </c>
      <c r="B116" s="179"/>
      <c r="C116" s="179"/>
      <c r="D116" s="179"/>
      <c r="E116" s="179"/>
      <c r="F116" s="179"/>
      <c r="G116" s="179"/>
      <c r="H116" s="179"/>
      <c r="I116" s="179"/>
    </row>
    <row r="117" spans="1:9" ht="45" customHeight="1">
      <c r="A117" s="168" t="s">
        <v>16</v>
      </c>
      <c r="B117" s="168"/>
      <c r="C117" s="168"/>
      <c r="D117" s="168"/>
      <c r="E117" s="168"/>
      <c r="F117" s="168"/>
      <c r="G117" s="168"/>
      <c r="H117" s="168"/>
      <c r="I117" s="168"/>
    </row>
    <row r="118" spans="1:9" ht="30" customHeight="1">
      <c r="A118" s="168" t="s">
        <v>17</v>
      </c>
      <c r="B118" s="168"/>
      <c r="C118" s="168"/>
      <c r="D118" s="168"/>
      <c r="E118" s="168"/>
      <c r="F118" s="168"/>
      <c r="G118" s="168"/>
      <c r="H118" s="168"/>
      <c r="I118" s="168"/>
    </row>
    <row r="119" spans="1:9" ht="30" customHeight="1">
      <c r="A119" s="168" t="s">
        <v>21</v>
      </c>
      <c r="B119" s="168"/>
      <c r="C119" s="168"/>
      <c r="D119" s="168"/>
      <c r="E119" s="168"/>
      <c r="F119" s="168"/>
      <c r="G119" s="168"/>
      <c r="H119" s="168"/>
      <c r="I119" s="168"/>
    </row>
    <row r="120" spans="1:9" ht="15" customHeight="1">
      <c r="A120" s="168" t="s">
        <v>20</v>
      </c>
      <c r="B120" s="168"/>
      <c r="C120" s="168"/>
      <c r="D120" s="168"/>
      <c r="E120" s="168"/>
      <c r="F120" s="168"/>
      <c r="G120" s="168"/>
      <c r="H120" s="168"/>
      <c r="I120" s="168"/>
    </row>
  </sheetData>
  <autoFilter ref="I12:I68"/>
  <mergeCells count="29">
    <mergeCell ref="A14:I14"/>
    <mergeCell ref="A15:I15"/>
    <mergeCell ref="A27:I27"/>
    <mergeCell ref="A42:I42"/>
    <mergeCell ref="A52:I52"/>
    <mergeCell ref="A3:I3"/>
    <mergeCell ref="A4:I4"/>
    <mergeCell ref="A5:I5"/>
    <mergeCell ref="A8:I8"/>
    <mergeCell ref="A10:I10"/>
    <mergeCell ref="R75:U75"/>
    <mergeCell ref="C114:F114"/>
    <mergeCell ref="A85:I85"/>
    <mergeCell ref="A100:I100"/>
    <mergeCell ref="B101:G101"/>
    <mergeCell ref="B102:G102"/>
    <mergeCell ref="A104:I104"/>
    <mergeCell ref="A105:I105"/>
    <mergeCell ref="A106:I106"/>
    <mergeCell ref="A108:I108"/>
    <mergeCell ref="C110:F110"/>
    <mergeCell ref="C111:F111"/>
    <mergeCell ref="C113:F113"/>
    <mergeCell ref="A81:I81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3"/>
  <sheetViews>
    <sheetView topLeftCell="A90" workbookViewId="0">
      <selection activeCell="A108" sqref="A108:I108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150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282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31">
        <v>44074</v>
      </c>
      <c r="J6" s="2"/>
      <c r="K6" s="2"/>
      <c r="L6" s="2"/>
      <c r="M6" s="2"/>
    </row>
    <row r="7" spans="1:13" ht="15.75" customHeight="1">
      <c r="B7" s="66"/>
      <c r="C7" s="66"/>
      <c r="D7" s="66"/>
      <c r="E7" s="66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186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175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6" si="0">SUM(F16*G16/1000)</f>
        <v>62.943028199999993</v>
      </c>
      <c r="I16" s="13">
        <f>F16/12*G16</f>
        <v>5245.2523499999998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176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F17/12*G17</f>
        <v>13987.339599999998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177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F18/18*2*G18</f>
        <v>11607.841499999999</v>
      </c>
      <c r="J18" s="23"/>
      <c r="K18" s="8"/>
      <c r="L18" s="8"/>
      <c r="M18" s="8"/>
    </row>
    <row r="19" spans="1:13" ht="15.75" hidden="1" customHeight="1">
      <c r="A19" s="30">
        <v>4</v>
      </c>
      <c r="B19" s="34" t="s">
        <v>99</v>
      </c>
      <c r="C19" s="44" t="s">
        <v>100</v>
      </c>
      <c r="D19" s="34" t="s">
        <v>260</v>
      </c>
      <c r="E19" s="132">
        <v>40</v>
      </c>
      <c r="F19" s="33">
        <f>SUM(E19/10)</f>
        <v>4</v>
      </c>
      <c r="G19" s="33">
        <v>243.94</v>
      </c>
      <c r="H19" s="79">
        <f t="shared" si="0"/>
        <v>0.97575999999999996</v>
      </c>
      <c r="I19" s="13">
        <f>F19*G19</f>
        <v>975.76</v>
      </c>
      <c r="J19" s="23"/>
      <c r="K19" s="8"/>
      <c r="L19" s="8"/>
      <c r="M19" s="8"/>
    </row>
    <row r="20" spans="1:13" ht="15.75" customHeight="1">
      <c r="A20" s="30">
        <v>4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5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hidden="1" customHeight="1">
      <c r="A22" s="30">
        <v>7</v>
      </c>
      <c r="B22" s="34" t="s">
        <v>102</v>
      </c>
      <c r="C22" s="44" t="s">
        <v>52</v>
      </c>
      <c r="D22" s="34" t="s">
        <v>180</v>
      </c>
      <c r="E22" s="132">
        <v>822.72</v>
      </c>
      <c r="F22" s="33">
        <f>SUM(E22/100)</f>
        <v>8.2271999999999998</v>
      </c>
      <c r="G22" s="33">
        <v>386</v>
      </c>
      <c r="H22" s="79">
        <f t="shared" si="0"/>
        <v>3.1756991999999999</v>
      </c>
      <c r="I22" s="13">
        <f>F22*G22</f>
        <v>3175.6992</v>
      </c>
      <c r="J22" s="23"/>
      <c r="K22" s="8"/>
      <c r="L22" s="8"/>
      <c r="M22" s="8"/>
    </row>
    <row r="23" spans="1:13" ht="15.75" hidden="1" customHeight="1">
      <c r="A23" s="30">
        <v>8</v>
      </c>
      <c r="B23" s="76" t="s">
        <v>103</v>
      </c>
      <c r="C23" s="65" t="s">
        <v>52</v>
      </c>
      <c r="D23" s="76" t="s">
        <v>260</v>
      </c>
      <c r="E23" s="80">
        <v>96.6</v>
      </c>
      <c r="F23" s="78">
        <f>SUM(E23/100)</f>
        <v>0.96599999999999997</v>
      </c>
      <c r="G23" s="121">
        <v>63.49</v>
      </c>
      <c r="H23" s="79">
        <f t="shared" si="0"/>
        <v>6.1331339999999998E-2</v>
      </c>
      <c r="I23" s="13">
        <f>F23*G23</f>
        <v>61.331339999999997</v>
      </c>
      <c r="J23" s="23"/>
      <c r="K23" s="8"/>
      <c r="L23" s="8"/>
      <c r="M23" s="8"/>
    </row>
    <row r="24" spans="1:13" ht="15.75" hidden="1" customHeight="1">
      <c r="A24" s="30">
        <v>6</v>
      </c>
      <c r="B24" s="34" t="s">
        <v>122</v>
      </c>
      <c r="C24" s="44" t="s">
        <v>52</v>
      </c>
      <c r="D24" s="34" t="s">
        <v>178</v>
      </c>
      <c r="E24" s="167">
        <v>38</v>
      </c>
      <c r="F24" s="33">
        <v>0.38</v>
      </c>
      <c r="G24" s="33">
        <v>309.81</v>
      </c>
      <c r="H24" s="79">
        <f>G24*F24/1000</f>
        <v>0.11772780000000001</v>
      </c>
      <c r="I24" s="13">
        <f>F24*G24</f>
        <v>117.7278</v>
      </c>
      <c r="J24" s="23"/>
      <c r="K24" s="8"/>
      <c r="L24" s="8"/>
      <c r="M24" s="8"/>
    </row>
    <row r="25" spans="1:13" ht="15.75" hidden="1" customHeight="1">
      <c r="A25" s="30">
        <v>10</v>
      </c>
      <c r="B25" s="34" t="s">
        <v>96</v>
      </c>
      <c r="C25" s="44" t="s">
        <v>52</v>
      </c>
      <c r="D25" s="34" t="s">
        <v>178</v>
      </c>
      <c r="E25" s="132">
        <v>17</v>
      </c>
      <c r="F25" s="33">
        <f>SUM(E25/100)</f>
        <v>0.17</v>
      </c>
      <c r="G25" s="33">
        <v>746.6</v>
      </c>
      <c r="H25" s="79">
        <f t="shared" si="0"/>
        <v>0.12692200000000001</v>
      </c>
      <c r="I25" s="13">
        <f>F25/1*G25</f>
        <v>126.92200000000001</v>
      </c>
      <c r="J25" s="23"/>
      <c r="K25" s="8"/>
      <c r="L25" s="8"/>
      <c r="M25" s="8"/>
    </row>
    <row r="26" spans="1:13" ht="15.75" customHeight="1">
      <c r="A26" s="30">
        <v>6</v>
      </c>
      <c r="B26" s="34" t="s">
        <v>174</v>
      </c>
      <c r="C26" s="44" t="s">
        <v>33</v>
      </c>
      <c r="D26" s="34" t="s">
        <v>182</v>
      </c>
      <c r="E26" s="125">
        <v>0.2</v>
      </c>
      <c r="F26" s="33">
        <f>E26*258</f>
        <v>51.6</v>
      </c>
      <c r="G26" s="33">
        <v>289.5</v>
      </c>
      <c r="H26" s="79">
        <f t="shared" si="0"/>
        <v>14.9382</v>
      </c>
      <c r="I26" s="13">
        <f>F26/12*G26</f>
        <v>1244.8499999999999</v>
      </c>
      <c r="J26" s="23"/>
      <c r="K26" s="8"/>
      <c r="L26" s="8"/>
      <c r="M26" s="8"/>
    </row>
    <row r="27" spans="1:13" ht="15.75" customHeight="1">
      <c r="A27" s="184" t="s">
        <v>81</v>
      </c>
      <c r="B27" s="184"/>
      <c r="C27" s="184"/>
      <c r="D27" s="184"/>
      <c r="E27" s="184"/>
      <c r="F27" s="184"/>
      <c r="G27" s="184"/>
      <c r="H27" s="184"/>
      <c r="I27" s="184"/>
      <c r="J27" s="23"/>
      <c r="K27" s="8"/>
      <c r="L27" s="8"/>
      <c r="M27" s="8"/>
    </row>
    <row r="28" spans="1:13" ht="15.75" customHeight="1">
      <c r="A28" s="45"/>
      <c r="B28" s="55" t="s">
        <v>28</v>
      </c>
      <c r="C28" s="55"/>
      <c r="D28" s="55"/>
      <c r="E28" s="55"/>
      <c r="F28" s="55"/>
      <c r="G28" s="55"/>
      <c r="H28" s="55"/>
      <c r="I28" s="19"/>
      <c r="J28" s="23"/>
      <c r="K28" s="8"/>
      <c r="L28" s="8"/>
      <c r="M28" s="8"/>
    </row>
    <row r="29" spans="1:13" ht="15.75" customHeight="1">
      <c r="A29" s="45">
        <v>7</v>
      </c>
      <c r="B29" s="34" t="s">
        <v>104</v>
      </c>
      <c r="C29" s="44" t="s">
        <v>105</v>
      </c>
      <c r="D29" s="34" t="s">
        <v>184</v>
      </c>
      <c r="E29" s="33">
        <v>877.4</v>
      </c>
      <c r="F29" s="33">
        <f>SUM(E29*24/1000)</f>
        <v>21.057599999999997</v>
      </c>
      <c r="G29" s="33">
        <v>223.46</v>
      </c>
      <c r="H29" s="79">
        <f t="shared" ref="H29:H31" si="1">SUM(F29*G29/1000)</f>
        <v>4.7055312959999993</v>
      </c>
      <c r="I29" s="13">
        <f>F29/6*G29</f>
        <v>784.2552159999999</v>
      </c>
      <c r="J29" s="23"/>
      <c r="K29" s="8"/>
      <c r="L29" s="8"/>
      <c r="M29" s="8"/>
    </row>
    <row r="30" spans="1:13" ht="31.5" customHeight="1">
      <c r="A30" s="45">
        <v>8</v>
      </c>
      <c r="B30" s="34" t="s">
        <v>126</v>
      </c>
      <c r="C30" s="44" t="s">
        <v>105</v>
      </c>
      <c r="D30" s="34" t="s">
        <v>176</v>
      </c>
      <c r="E30" s="33">
        <v>214.34</v>
      </c>
      <c r="F30" s="33">
        <f>SUM(E30*52/1000)</f>
        <v>11.14568</v>
      </c>
      <c r="G30" s="33">
        <v>370.77</v>
      </c>
      <c r="H30" s="79">
        <f t="shared" si="1"/>
        <v>4.1324837735999997</v>
      </c>
      <c r="I30" s="13">
        <f t="shared" ref="I30:I32" si="2">F30/6*G30</f>
        <v>688.74729559999992</v>
      </c>
      <c r="J30" s="23"/>
      <c r="K30" s="8"/>
      <c r="L30" s="8"/>
      <c r="M30" s="8"/>
    </row>
    <row r="31" spans="1:13" ht="15.75" hidden="1" customHeight="1">
      <c r="A31" s="45">
        <v>16</v>
      </c>
      <c r="B31" s="34" t="s">
        <v>27</v>
      </c>
      <c r="C31" s="44" t="s">
        <v>105</v>
      </c>
      <c r="D31" s="34" t="s">
        <v>179</v>
      </c>
      <c r="E31" s="33">
        <v>877.4</v>
      </c>
      <c r="F31" s="33">
        <f>SUM(E31/1000)</f>
        <v>0.87739999999999996</v>
      </c>
      <c r="G31" s="33">
        <v>4329.78</v>
      </c>
      <c r="H31" s="79">
        <f t="shared" si="1"/>
        <v>3.7989489719999998</v>
      </c>
      <c r="I31" s="13">
        <f>F31*G31</f>
        <v>3798.9489719999997</v>
      </c>
      <c r="J31" s="23"/>
      <c r="K31" s="8"/>
      <c r="L31" s="8"/>
      <c r="M31" s="8"/>
    </row>
    <row r="32" spans="1:13" ht="15.75" customHeight="1">
      <c r="A32" s="45">
        <v>9</v>
      </c>
      <c r="B32" s="34" t="s">
        <v>124</v>
      </c>
      <c r="C32" s="44" t="s">
        <v>39</v>
      </c>
      <c r="D32" s="34" t="s">
        <v>181</v>
      </c>
      <c r="E32" s="33">
        <v>8</v>
      </c>
      <c r="F32" s="33">
        <v>12.4</v>
      </c>
      <c r="G32" s="33">
        <v>1866.51</v>
      </c>
      <c r="H32" s="79">
        <v>16.145</v>
      </c>
      <c r="I32" s="13">
        <f t="shared" si="2"/>
        <v>3857.4540000000002</v>
      </c>
      <c r="J32" s="23"/>
      <c r="K32" s="8"/>
      <c r="L32" s="8"/>
      <c r="M32" s="8"/>
    </row>
    <row r="33" spans="1:14" ht="15.75" hidden="1" customHeight="1">
      <c r="A33" s="45">
        <v>4</v>
      </c>
      <c r="B33" s="76" t="s">
        <v>63</v>
      </c>
      <c r="C33" s="65" t="s">
        <v>33</v>
      </c>
      <c r="D33" s="76" t="s">
        <v>65</v>
      </c>
      <c r="E33" s="77"/>
      <c r="F33" s="78">
        <v>2</v>
      </c>
      <c r="G33" s="78">
        <v>191.32</v>
      </c>
      <c r="H33" s="79">
        <f t="shared" ref="H33:H34" si="3">SUM(F33*G33/1000)</f>
        <v>0.38263999999999998</v>
      </c>
      <c r="I33" s="13">
        <v>0</v>
      </c>
      <c r="J33" s="23"/>
      <c r="K33" s="8"/>
    </row>
    <row r="34" spans="1:14" ht="15.75" hidden="1" customHeight="1">
      <c r="A34" s="30">
        <v>8</v>
      </c>
      <c r="B34" s="76" t="s">
        <v>64</v>
      </c>
      <c r="C34" s="65" t="s">
        <v>32</v>
      </c>
      <c r="D34" s="76" t="s">
        <v>65</v>
      </c>
      <c r="E34" s="77"/>
      <c r="F34" s="78">
        <v>3</v>
      </c>
      <c r="G34" s="78">
        <v>1136.32</v>
      </c>
      <c r="H34" s="79">
        <f t="shared" si="3"/>
        <v>3.40896</v>
      </c>
      <c r="I34" s="13">
        <v>0</v>
      </c>
      <c r="J34" s="24"/>
    </row>
    <row r="35" spans="1:14" ht="15.75" hidden="1" customHeight="1">
      <c r="A35" s="45"/>
      <c r="B35" s="53" t="s">
        <v>5</v>
      </c>
      <c r="C35" s="53"/>
      <c r="D35" s="53"/>
      <c r="E35" s="53"/>
      <c r="F35" s="13"/>
      <c r="G35" s="14"/>
      <c r="H35" s="14"/>
      <c r="I35" s="19"/>
      <c r="J35" s="24"/>
    </row>
    <row r="36" spans="1:14" ht="15.75" hidden="1" customHeight="1">
      <c r="A36" s="35">
        <v>10</v>
      </c>
      <c r="B36" s="76" t="s">
        <v>26</v>
      </c>
      <c r="C36" s="65" t="s">
        <v>32</v>
      </c>
      <c r="D36" s="76"/>
      <c r="E36" s="77"/>
      <c r="F36" s="78">
        <v>15</v>
      </c>
      <c r="G36" s="78">
        <v>1527.22</v>
      </c>
      <c r="H36" s="79">
        <f>SUM(F36*G36/1000)</f>
        <v>22.908300000000001</v>
      </c>
      <c r="I36" s="13">
        <f t="shared" ref="I36:I41" si="4">F36/6*G36</f>
        <v>3818.05</v>
      </c>
      <c r="J36" s="24"/>
    </row>
    <row r="37" spans="1:14" ht="15.75" hidden="1" customHeight="1">
      <c r="A37" s="35">
        <v>11</v>
      </c>
      <c r="B37" s="76" t="s">
        <v>66</v>
      </c>
      <c r="C37" s="65" t="s">
        <v>29</v>
      </c>
      <c r="D37" s="76" t="s">
        <v>108</v>
      </c>
      <c r="E37" s="78">
        <v>547.85</v>
      </c>
      <c r="F37" s="78">
        <f>SUM(E37*50/1000)</f>
        <v>27.392499999999998</v>
      </c>
      <c r="G37" s="78">
        <v>2102.71</v>
      </c>
      <c r="H37" s="79">
        <f t="shared" ref="H37:H41" si="5">SUM(F37*G37/1000)</f>
        <v>57.598483674999997</v>
      </c>
      <c r="I37" s="13">
        <f t="shared" si="4"/>
        <v>9599.747279166666</v>
      </c>
      <c r="J37" s="24"/>
    </row>
    <row r="38" spans="1:14" ht="15.75" hidden="1" customHeight="1">
      <c r="A38" s="35">
        <v>12</v>
      </c>
      <c r="B38" s="76" t="s">
        <v>67</v>
      </c>
      <c r="C38" s="65" t="s">
        <v>29</v>
      </c>
      <c r="D38" s="76" t="s">
        <v>109</v>
      </c>
      <c r="E38" s="78">
        <v>140</v>
      </c>
      <c r="F38" s="78">
        <f>SUM(E38*155/1000)</f>
        <v>21.7</v>
      </c>
      <c r="G38" s="78">
        <v>350.75</v>
      </c>
      <c r="H38" s="79">
        <f t="shared" si="5"/>
        <v>7.611275</v>
      </c>
      <c r="I38" s="13">
        <f t="shared" si="4"/>
        <v>1268.5458333333333</v>
      </c>
      <c r="J38" s="24"/>
    </row>
    <row r="39" spans="1:14" ht="31.5" hidden="1" customHeight="1">
      <c r="A39" s="35">
        <v>13</v>
      </c>
      <c r="B39" s="76" t="s">
        <v>79</v>
      </c>
      <c r="C39" s="65" t="s">
        <v>105</v>
      </c>
      <c r="D39" s="76" t="s">
        <v>127</v>
      </c>
      <c r="E39" s="78">
        <v>140</v>
      </c>
      <c r="F39" s="78">
        <f>SUM(E39*12/1000)</f>
        <v>1.68</v>
      </c>
      <c r="G39" s="78">
        <v>5803.28</v>
      </c>
      <c r="H39" s="79">
        <f t="shared" si="5"/>
        <v>9.7495103999999984</v>
      </c>
      <c r="I39" s="13">
        <f t="shared" si="4"/>
        <v>1624.9183999999998</v>
      </c>
      <c r="J39" s="24"/>
    </row>
    <row r="40" spans="1:14" ht="15.75" hidden="1" customHeight="1">
      <c r="A40" s="35">
        <v>14</v>
      </c>
      <c r="B40" s="76" t="s">
        <v>110</v>
      </c>
      <c r="C40" s="65" t="s">
        <v>105</v>
      </c>
      <c r="D40" s="76" t="s">
        <v>68</v>
      </c>
      <c r="E40" s="78">
        <v>140</v>
      </c>
      <c r="F40" s="78">
        <f>SUM(E40*45/1000)</f>
        <v>6.3</v>
      </c>
      <c r="G40" s="78">
        <v>428.7</v>
      </c>
      <c r="H40" s="79">
        <f t="shared" si="5"/>
        <v>2.7008100000000002</v>
      </c>
      <c r="I40" s="13">
        <f t="shared" si="4"/>
        <v>450.13499999999999</v>
      </c>
      <c r="J40" s="24"/>
    </row>
    <row r="41" spans="1:14" ht="15.75" hidden="1" customHeight="1">
      <c r="A41" s="35">
        <v>15</v>
      </c>
      <c r="B41" s="76" t="s">
        <v>69</v>
      </c>
      <c r="C41" s="65" t="s">
        <v>33</v>
      </c>
      <c r="D41" s="76"/>
      <c r="E41" s="77"/>
      <c r="F41" s="78">
        <v>0.9</v>
      </c>
      <c r="G41" s="78">
        <v>798</v>
      </c>
      <c r="H41" s="79">
        <f t="shared" si="5"/>
        <v>0.71820000000000006</v>
      </c>
      <c r="I41" s="13">
        <f t="shared" si="4"/>
        <v>119.69999999999999</v>
      </c>
      <c r="J41" s="24"/>
      <c r="L41" s="20"/>
      <c r="M41" s="21"/>
      <c r="N41" s="22"/>
    </row>
    <row r="42" spans="1:14" ht="15.75" customHeight="1">
      <c r="A42" s="195" t="s">
        <v>136</v>
      </c>
      <c r="B42" s="196"/>
      <c r="C42" s="196"/>
      <c r="D42" s="196"/>
      <c r="E42" s="196"/>
      <c r="F42" s="196"/>
      <c r="G42" s="196"/>
      <c r="H42" s="196"/>
      <c r="I42" s="197"/>
      <c r="J42" s="24"/>
      <c r="L42" s="20"/>
      <c r="M42" s="21"/>
      <c r="N42" s="22"/>
    </row>
    <row r="43" spans="1:14" ht="15.75" hidden="1" customHeight="1">
      <c r="A43" s="45">
        <v>19</v>
      </c>
      <c r="B43" s="76" t="s">
        <v>111</v>
      </c>
      <c r="C43" s="65" t="s">
        <v>105</v>
      </c>
      <c r="D43" s="76" t="s">
        <v>41</v>
      </c>
      <c r="E43" s="77">
        <v>1640.4</v>
      </c>
      <c r="F43" s="78">
        <f>SUM(E43*2/1000)</f>
        <v>3.2808000000000002</v>
      </c>
      <c r="G43" s="13">
        <v>849.49</v>
      </c>
      <c r="H43" s="79">
        <f t="shared" ref="H43:H51" si="6">SUM(F43*G43/1000)</f>
        <v>2.7870067920000001</v>
      </c>
      <c r="I43" s="13">
        <f t="shared" ref="I43:I45" si="7">F43/2*G43</f>
        <v>1393.5033960000001</v>
      </c>
      <c r="J43" s="24"/>
      <c r="L43" s="20"/>
      <c r="M43" s="21"/>
      <c r="N43" s="22"/>
    </row>
    <row r="44" spans="1:14" ht="15.75" hidden="1" customHeight="1">
      <c r="A44" s="45">
        <v>20</v>
      </c>
      <c r="B44" s="76" t="s">
        <v>34</v>
      </c>
      <c r="C44" s="65" t="s">
        <v>105</v>
      </c>
      <c r="D44" s="76" t="s">
        <v>41</v>
      </c>
      <c r="E44" s="77">
        <v>918.25</v>
      </c>
      <c r="F44" s="78">
        <f>SUM(E44*2/1000)</f>
        <v>1.8365</v>
      </c>
      <c r="G44" s="13">
        <v>579.48</v>
      </c>
      <c r="H44" s="79">
        <f t="shared" si="6"/>
        <v>1.06421502</v>
      </c>
      <c r="I44" s="13">
        <f t="shared" si="7"/>
        <v>532.10751000000005</v>
      </c>
      <c r="J44" s="24"/>
      <c r="L44" s="20"/>
      <c r="M44" s="21"/>
      <c r="N44" s="22"/>
    </row>
    <row r="45" spans="1:14" ht="15.75" hidden="1" customHeight="1">
      <c r="A45" s="45">
        <v>21</v>
      </c>
      <c r="B45" s="76" t="s">
        <v>35</v>
      </c>
      <c r="C45" s="65" t="s">
        <v>105</v>
      </c>
      <c r="D45" s="76" t="s">
        <v>41</v>
      </c>
      <c r="E45" s="77">
        <v>5592.26</v>
      </c>
      <c r="F45" s="78">
        <f>SUM(E45*2/1000)</f>
        <v>11.184520000000001</v>
      </c>
      <c r="G45" s="13">
        <v>579.48</v>
      </c>
      <c r="H45" s="79">
        <f t="shared" si="6"/>
        <v>6.4812056496000006</v>
      </c>
      <c r="I45" s="13">
        <f t="shared" si="7"/>
        <v>3240.6028248000002</v>
      </c>
      <c r="J45" s="24"/>
      <c r="L45" s="20"/>
      <c r="M45" s="21"/>
      <c r="N45" s="22"/>
    </row>
    <row r="46" spans="1:14" ht="15.75" hidden="1" customHeight="1">
      <c r="A46" s="45">
        <v>22</v>
      </c>
      <c r="B46" s="76" t="s">
        <v>36</v>
      </c>
      <c r="C46" s="65" t="s">
        <v>105</v>
      </c>
      <c r="D46" s="76" t="s">
        <v>41</v>
      </c>
      <c r="E46" s="77">
        <v>2817.65</v>
      </c>
      <c r="F46" s="78">
        <f>SUM(E46*2/1000)</f>
        <v>5.6353</v>
      </c>
      <c r="G46" s="13">
        <v>606.77</v>
      </c>
      <c r="H46" s="79">
        <f t="shared" si="6"/>
        <v>3.4193309809999999</v>
      </c>
      <c r="I46" s="13">
        <f>F46/2*G46</f>
        <v>1709.6654905</v>
      </c>
      <c r="J46" s="24"/>
      <c r="L46" s="20"/>
      <c r="M46" s="21"/>
      <c r="N46" s="22"/>
    </row>
    <row r="47" spans="1:14" ht="15.75" hidden="1" customHeight="1">
      <c r="A47" s="45">
        <v>23</v>
      </c>
      <c r="B47" s="76" t="s">
        <v>55</v>
      </c>
      <c r="C47" s="65" t="s">
        <v>105</v>
      </c>
      <c r="D47" s="76" t="s">
        <v>129</v>
      </c>
      <c r="E47" s="77">
        <v>3280.8</v>
      </c>
      <c r="F47" s="78">
        <f>SUM(E47*5/1000)</f>
        <v>16.404</v>
      </c>
      <c r="G47" s="13">
        <v>1213.55</v>
      </c>
      <c r="H47" s="79">
        <f t="shared" si="6"/>
        <v>19.9070742</v>
      </c>
      <c r="I47" s="13">
        <f>F47/5*G47</f>
        <v>3981.4148399999999</v>
      </c>
      <c r="J47" s="24"/>
      <c r="L47" s="20"/>
      <c r="M47" s="21"/>
      <c r="N47" s="22"/>
    </row>
    <row r="48" spans="1:14" ht="31.5" hidden="1" customHeight="1">
      <c r="A48" s="45">
        <v>16</v>
      </c>
      <c r="B48" s="76" t="s">
        <v>112</v>
      </c>
      <c r="C48" s="65" t="s">
        <v>105</v>
      </c>
      <c r="D48" s="76" t="s">
        <v>41</v>
      </c>
      <c r="E48" s="77">
        <v>3280.8</v>
      </c>
      <c r="F48" s="78">
        <f>SUM(E48*2/1000)</f>
        <v>6.5616000000000003</v>
      </c>
      <c r="G48" s="13">
        <v>1213.55</v>
      </c>
      <c r="H48" s="79">
        <f t="shared" si="6"/>
        <v>7.9628296799999996</v>
      </c>
      <c r="I48" s="13">
        <f>F48/2*G48</f>
        <v>3981.4148399999999</v>
      </c>
      <c r="J48" s="24"/>
      <c r="L48" s="20"/>
      <c r="M48" s="21"/>
      <c r="N48" s="22"/>
    </row>
    <row r="49" spans="1:14" ht="31.5" hidden="1" customHeight="1">
      <c r="A49" s="45">
        <v>17</v>
      </c>
      <c r="B49" s="76" t="s">
        <v>128</v>
      </c>
      <c r="C49" s="65" t="s">
        <v>37</v>
      </c>
      <c r="D49" s="76" t="s">
        <v>41</v>
      </c>
      <c r="E49" s="77">
        <v>40</v>
      </c>
      <c r="F49" s="78">
        <f>SUM(E49*2/100)</f>
        <v>0.8</v>
      </c>
      <c r="G49" s="13">
        <v>2730.49</v>
      </c>
      <c r="H49" s="79">
        <f t="shared" si="6"/>
        <v>2.1843919999999999</v>
      </c>
      <c r="I49" s="13">
        <f>F49/2*G49</f>
        <v>1092.1959999999999</v>
      </c>
      <c r="J49" s="24"/>
      <c r="L49" s="20"/>
      <c r="M49" s="21"/>
      <c r="N49" s="22"/>
    </row>
    <row r="50" spans="1:14" ht="15.75" hidden="1" customHeight="1">
      <c r="A50" s="45">
        <v>16</v>
      </c>
      <c r="B50" s="76" t="s">
        <v>38</v>
      </c>
      <c r="C50" s="65" t="s">
        <v>39</v>
      </c>
      <c r="D50" s="76" t="s">
        <v>41</v>
      </c>
      <c r="E50" s="77">
        <v>1</v>
      </c>
      <c r="F50" s="78">
        <v>0.02</v>
      </c>
      <c r="G50" s="13">
        <v>5652.13</v>
      </c>
      <c r="H50" s="79">
        <f t="shared" si="6"/>
        <v>0.11304260000000001</v>
      </c>
      <c r="I50" s="13">
        <f>F50/2*G50</f>
        <v>56.521300000000004</v>
      </c>
      <c r="J50" s="24"/>
      <c r="L50" s="20"/>
      <c r="M50" s="21"/>
      <c r="N50" s="22"/>
    </row>
    <row r="51" spans="1:14" ht="15.75" customHeight="1">
      <c r="A51" s="45">
        <v>10</v>
      </c>
      <c r="B51" s="76" t="s">
        <v>40</v>
      </c>
      <c r="C51" s="65" t="s">
        <v>113</v>
      </c>
      <c r="D51" s="126">
        <v>44048</v>
      </c>
      <c r="E51" s="77">
        <v>238</v>
      </c>
      <c r="F51" s="78">
        <f>SUM(E51)*3</f>
        <v>714</v>
      </c>
      <c r="G51" s="164">
        <v>87.32</v>
      </c>
      <c r="H51" s="79">
        <f t="shared" si="6"/>
        <v>62.346479999999993</v>
      </c>
      <c r="I51" s="13">
        <f>E51*G51</f>
        <v>20782.16</v>
      </c>
      <c r="J51" s="24"/>
      <c r="L51" s="20"/>
      <c r="M51" s="21"/>
      <c r="N51" s="22"/>
    </row>
    <row r="52" spans="1:14" ht="15.75" customHeight="1">
      <c r="A52" s="185" t="s">
        <v>137</v>
      </c>
      <c r="B52" s="186"/>
      <c r="C52" s="186"/>
      <c r="D52" s="186"/>
      <c r="E52" s="186"/>
      <c r="F52" s="186"/>
      <c r="G52" s="186"/>
      <c r="H52" s="186"/>
      <c r="I52" s="187"/>
      <c r="J52" s="24"/>
      <c r="L52" s="20"/>
      <c r="M52" s="21"/>
      <c r="N52" s="22"/>
    </row>
    <row r="53" spans="1:14" ht="15.75" hidden="1" customHeight="1">
      <c r="A53" s="58"/>
      <c r="B53" s="52" t="s">
        <v>42</v>
      </c>
      <c r="C53" s="17"/>
      <c r="D53" s="16"/>
      <c r="E53" s="16"/>
      <c r="F53" s="16"/>
      <c r="G53" s="30"/>
      <c r="H53" s="30"/>
      <c r="I53" s="19"/>
      <c r="J53" s="24"/>
      <c r="L53" s="20"/>
      <c r="M53" s="21"/>
      <c r="N53" s="22"/>
    </row>
    <row r="54" spans="1:14" ht="15.75" hidden="1" customHeight="1">
      <c r="A54" s="45">
        <v>15</v>
      </c>
      <c r="B54" s="76" t="s">
        <v>130</v>
      </c>
      <c r="C54" s="65" t="s">
        <v>98</v>
      </c>
      <c r="D54" s="76" t="s">
        <v>53</v>
      </c>
      <c r="E54" s="85">
        <v>1640.4</v>
      </c>
      <c r="F54" s="13">
        <f>E54/100</f>
        <v>16.404</v>
      </c>
      <c r="G54" s="78">
        <v>472.59</v>
      </c>
      <c r="H54" s="79">
        <f>SUM(F54*G54/1000)</f>
        <v>7.7523663599999999</v>
      </c>
      <c r="I54" s="13">
        <v>0</v>
      </c>
      <c r="J54" s="24"/>
      <c r="L54" s="20"/>
      <c r="M54" s="21"/>
      <c r="N54" s="22"/>
    </row>
    <row r="55" spans="1:14" ht="31.5" hidden="1" customHeight="1">
      <c r="A55" s="45">
        <v>18</v>
      </c>
      <c r="B55" s="76" t="s">
        <v>131</v>
      </c>
      <c r="C55" s="65" t="s">
        <v>98</v>
      </c>
      <c r="D55" s="76" t="s">
        <v>132</v>
      </c>
      <c r="E55" s="77">
        <v>164.04</v>
      </c>
      <c r="F55" s="13">
        <f>E55*6/100</f>
        <v>9.8423999999999996</v>
      </c>
      <c r="G55" s="86">
        <v>1547.28</v>
      </c>
      <c r="H55" s="79">
        <f>F55*G55/1000</f>
        <v>15.228948671999998</v>
      </c>
      <c r="I55" s="13">
        <f>F55/6*G55</f>
        <v>2538.1581119999996</v>
      </c>
      <c r="J55" s="24"/>
      <c r="L55" s="20"/>
      <c r="M55" s="21"/>
      <c r="N55" s="22"/>
    </row>
    <row r="56" spans="1:14" ht="15.75" hidden="1" customHeight="1">
      <c r="A56" s="45">
        <v>19</v>
      </c>
      <c r="B56" s="87" t="s">
        <v>89</v>
      </c>
      <c r="C56" s="88" t="s">
        <v>98</v>
      </c>
      <c r="D56" s="87" t="s">
        <v>133</v>
      </c>
      <c r="E56" s="89">
        <v>8</v>
      </c>
      <c r="F56" s="90">
        <f>E56*8/100</f>
        <v>0.64</v>
      </c>
      <c r="G56" s="86">
        <v>1547.28</v>
      </c>
      <c r="H56" s="91">
        <f>F56*G56/1000</f>
        <v>0.99025920000000001</v>
      </c>
      <c r="I56" s="13">
        <f>F56/6*G56</f>
        <v>165.04320000000001</v>
      </c>
      <c r="J56" s="24"/>
      <c r="L56" s="20"/>
      <c r="M56" s="21"/>
      <c r="N56" s="22"/>
    </row>
    <row r="57" spans="1:14" ht="15.75" hidden="1" customHeight="1">
      <c r="A57" s="45"/>
      <c r="B57" s="87" t="s">
        <v>93</v>
      </c>
      <c r="C57" s="88" t="s">
        <v>94</v>
      </c>
      <c r="D57" s="87" t="s">
        <v>41</v>
      </c>
      <c r="E57" s="89">
        <v>8</v>
      </c>
      <c r="F57" s="90">
        <v>16</v>
      </c>
      <c r="G57" s="92">
        <v>180.78</v>
      </c>
      <c r="H57" s="91">
        <f>F57*G57/1000</f>
        <v>2.8924799999999999</v>
      </c>
      <c r="I57" s="13">
        <v>0</v>
      </c>
      <c r="J57" s="24"/>
      <c r="L57" s="20"/>
      <c r="M57" s="21"/>
      <c r="N57" s="22"/>
    </row>
    <row r="58" spans="1:14" ht="15.75" customHeight="1">
      <c r="A58" s="45"/>
      <c r="B58" s="71" t="s">
        <v>43</v>
      </c>
      <c r="C58" s="71"/>
      <c r="D58" s="71"/>
      <c r="E58" s="71"/>
      <c r="F58" s="71"/>
      <c r="G58" s="71"/>
      <c r="H58" s="71"/>
      <c r="I58" s="37"/>
      <c r="J58" s="24"/>
      <c r="L58" s="20"/>
      <c r="M58" s="21"/>
      <c r="N58" s="22"/>
    </row>
    <row r="59" spans="1:14" ht="15.75" customHeight="1">
      <c r="A59" s="45">
        <v>11</v>
      </c>
      <c r="B59" s="87" t="s">
        <v>90</v>
      </c>
      <c r="C59" s="88" t="s">
        <v>25</v>
      </c>
      <c r="D59" s="87" t="s">
        <v>178</v>
      </c>
      <c r="E59" s="89">
        <v>329.4</v>
      </c>
      <c r="F59" s="90">
        <v>2400</v>
      </c>
      <c r="G59" s="93">
        <v>1.4</v>
      </c>
      <c r="H59" s="91">
        <f>G59*F59</f>
        <v>3360</v>
      </c>
      <c r="I59" s="13">
        <f>F59/12*G59</f>
        <v>280</v>
      </c>
      <c r="J59" s="24"/>
      <c r="L59" s="20"/>
      <c r="M59" s="21"/>
      <c r="N59" s="22"/>
    </row>
    <row r="60" spans="1:14" ht="15.75" hidden="1" customHeight="1">
      <c r="A60" s="45"/>
      <c r="B60" s="87" t="s">
        <v>44</v>
      </c>
      <c r="C60" s="88" t="s">
        <v>25</v>
      </c>
      <c r="D60" s="87" t="s">
        <v>53</v>
      </c>
      <c r="E60" s="89">
        <v>1640.4</v>
      </c>
      <c r="F60" s="90">
        <v>16.404</v>
      </c>
      <c r="G60" s="94">
        <v>739.61</v>
      </c>
      <c r="H60" s="91">
        <f>G60*F60/1000</f>
        <v>12.132562439999999</v>
      </c>
      <c r="I60" s="13">
        <v>0</v>
      </c>
      <c r="J60" s="24"/>
      <c r="L60" s="20"/>
      <c r="M60" s="21"/>
      <c r="N60" s="22"/>
    </row>
    <row r="61" spans="1:14" ht="17.25" customHeight="1">
      <c r="A61" s="45"/>
      <c r="B61" s="71" t="s">
        <v>45</v>
      </c>
      <c r="C61" s="17"/>
      <c r="D61" s="41"/>
      <c r="E61" s="41"/>
      <c r="F61" s="16"/>
      <c r="G61" s="30"/>
      <c r="H61" s="30"/>
      <c r="I61" s="19"/>
      <c r="J61" s="24"/>
      <c r="L61" s="20"/>
      <c r="M61" s="21"/>
      <c r="N61" s="22"/>
    </row>
    <row r="62" spans="1:14" ht="16.5" customHeight="1">
      <c r="A62" s="45">
        <v>12</v>
      </c>
      <c r="B62" s="15" t="s">
        <v>46</v>
      </c>
      <c r="C62" s="17" t="s">
        <v>113</v>
      </c>
      <c r="D62" s="15"/>
      <c r="E62" s="19">
        <v>40</v>
      </c>
      <c r="F62" s="78">
        <v>40</v>
      </c>
      <c r="G62" s="120">
        <v>318.82</v>
      </c>
      <c r="H62" s="73">
        <f t="shared" ref="H62:H69" si="8">SUM(F62*G62/1000)</f>
        <v>12.752799999999999</v>
      </c>
      <c r="I62" s="13">
        <f>G62*1</f>
        <v>318.82</v>
      </c>
      <c r="J62" s="24"/>
      <c r="L62" s="20"/>
      <c r="M62" s="21"/>
      <c r="N62" s="22"/>
    </row>
    <row r="63" spans="1:14" ht="17.25" hidden="1" customHeight="1">
      <c r="A63" s="30">
        <v>29</v>
      </c>
      <c r="B63" s="15" t="s">
        <v>47</v>
      </c>
      <c r="C63" s="17" t="s">
        <v>113</v>
      </c>
      <c r="D63" s="15" t="s">
        <v>65</v>
      </c>
      <c r="E63" s="19">
        <v>15</v>
      </c>
      <c r="F63" s="78">
        <v>15</v>
      </c>
      <c r="G63" s="13">
        <v>76.25</v>
      </c>
      <c r="H63" s="73">
        <f t="shared" si="8"/>
        <v>1.14375</v>
      </c>
      <c r="I63" s="13">
        <v>0</v>
      </c>
      <c r="J63" s="24"/>
      <c r="L63" s="20"/>
      <c r="M63" s="21"/>
      <c r="N63" s="22"/>
    </row>
    <row r="64" spans="1:14" ht="19.5" hidden="1" customHeight="1">
      <c r="A64" s="30">
        <v>26</v>
      </c>
      <c r="B64" s="15" t="s">
        <v>48</v>
      </c>
      <c r="C64" s="17" t="s">
        <v>114</v>
      </c>
      <c r="D64" s="15" t="s">
        <v>53</v>
      </c>
      <c r="E64" s="77">
        <v>24648</v>
      </c>
      <c r="F64" s="13">
        <f>SUM(E64/100)</f>
        <v>246.48</v>
      </c>
      <c r="G64" s="13">
        <v>212.15</v>
      </c>
      <c r="H64" s="73">
        <f t="shared" si="8"/>
        <v>52.290731999999998</v>
      </c>
      <c r="I64" s="13">
        <f>F64*G64</f>
        <v>52290.731999999996</v>
      </c>
      <c r="J64" s="24"/>
      <c r="L64" s="20"/>
      <c r="M64" s="21"/>
      <c r="N64" s="22"/>
    </row>
    <row r="65" spans="1:22" ht="18.75" hidden="1" customHeight="1">
      <c r="A65" s="30">
        <v>27</v>
      </c>
      <c r="B65" s="15" t="s">
        <v>49</v>
      </c>
      <c r="C65" s="17" t="s">
        <v>115</v>
      </c>
      <c r="D65" s="15"/>
      <c r="E65" s="77">
        <v>24648</v>
      </c>
      <c r="F65" s="13">
        <f>SUM(E65/1000)</f>
        <v>24.648</v>
      </c>
      <c r="G65" s="13">
        <v>165.21</v>
      </c>
      <c r="H65" s="73">
        <f t="shared" si="8"/>
        <v>4.0720960800000006</v>
      </c>
      <c r="I65" s="13">
        <f t="shared" ref="I65:I68" si="9">F65*G65</f>
        <v>4072.0960800000003</v>
      </c>
      <c r="J65" s="24"/>
      <c r="L65" s="20"/>
      <c r="M65" s="21"/>
      <c r="N65" s="22"/>
    </row>
    <row r="66" spans="1:22" ht="18.75" hidden="1" customHeight="1">
      <c r="A66" s="30">
        <v>28</v>
      </c>
      <c r="B66" s="15" t="s">
        <v>50</v>
      </c>
      <c r="C66" s="17" t="s">
        <v>74</v>
      </c>
      <c r="D66" s="15" t="s">
        <v>53</v>
      </c>
      <c r="E66" s="77">
        <v>2730</v>
      </c>
      <c r="F66" s="13">
        <f>SUM(E66/100)</f>
        <v>27.3</v>
      </c>
      <c r="G66" s="13">
        <v>2074.63</v>
      </c>
      <c r="H66" s="73">
        <f t="shared" si="8"/>
        <v>56.637399000000002</v>
      </c>
      <c r="I66" s="13">
        <f t="shared" si="9"/>
        <v>56637.399000000005</v>
      </c>
      <c r="J66" s="24"/>
      <c r="L66" s="20"/>
    </row>
    <row r="67" spans="1:22" ht="19.5" hidden="1" customHeight="1">
      <c r="A67" s="30">
        <v>29</v>
      </c>
      <c r="B67" s="95" t="s">
        <v>116</v>
      </c>
      <c r="C67" s="17" t="s">
        <v>33</v>
      </c>
      <c r="D67" s="15"/>
      <c r="E67" s="77">
        <v>20.28</v>
      </c>
      <c r="F67" s="13">
        <f>SUM(E67)</f>
        <v>20.28</v>
      </c>
      <c r="G67" s="13">
        <v>45.32</v>
      </c>
      <c r="H67" s="73">
        <f t="shared" si="8"/>
        <v>0.91908960000000006</v>
      </c>
      <c r="I67" s="13">
        <f t="shared" si="9"/>
        <v>919.08960000000002</v>
      </c>
    </row>
    <row r="68" spans="1:22" ht="20.25" hidden="1" customHeight="1">
      <c r="A68" s="30">
        <v>30</v>
      </c>
      <c r="B68" s="95" t="s">
        <v>140</v>
      </c>
      <c r="C68" s="17" t="s">
        <v>33</v>
      </c>
      <c r="D68" s="15"/>
      <c r="E68" s="77">
        <v>20.28</v>
      </c>
      <c r="F68" s="13">
        <f>SUM(E68)</f>
        <v>20.28</v>
      </c>
      <c r="G68" s="13">
        <v>42.28</v>
      </c>
      <c r="H68" s="73">
        <f t="shared" si="8"/>
        <v>0.85743840000000016</v>
      </c>
      <c r="I68" s="13">
        <f t="shared" si="9"/>
        <v>857.43840000000012</v>
      </c>
    </row>
    <row r="69" spans="1:22" ht="20.25" hidden="1" customHeight="1">
      <c r="A69" s="30">
        <v>13</v>
      </c>
      <c r="B69" s="15" t="s">
        <v>56</v>
      </c>
      <c r="C69" s="17" t="s">
        <v>57</v>
      </c>
      <c r="D69" s="15" t="s">
        <v>53</v>
      </c>
      <c r="E69" s="19">
        <v>12</v>
      </c>
      <c r="F69" s="78">
        <f>SUM(E69)</f>
        <v>12</v>
      </c>
      <c r="G69" s="13">
        <v>49.88</v>
      </c>
      <c r="H69" s="73">
        <f t="shared" si="8"/>
        <v>0.59856000000000009</v>
      </c>
      <c r="I69" s="13">
        <v>0</v>
      </c>
    </row>
    <row r="70" spans="1:22" ht="20.25" customHeight="1">
      <c r="A70" s="30"/>
      <c r="B70" s="135" t="s">
        <v>188</v>
      </c>
      <c r="C70" s="42"/>
      <c r="D70" s="41"/>
      <c r="E70" s="18"/>
      <c r="F70" s="136"/>
      <c r="G70" s="38"/>
      <c r="H70" s="73"/>
      <c r="I70" s="13"/>
    </row>
    <row r="71" spans="1:22" ht="35.25" customHeight="1">
      <c r="A71" s="30">
        <v>13</v>
      </c>
      <c r="B71" s="41" t="s">
        <v>189</v>
      </c>
      <c r="C71" s="45" t="s">
        <v>190</v>
      </c>
      <c r="D71" s="41"/>
      <c r="E71" s="18">
        <v>5926.8</v>
      </c>
      <c r="F71" s="38">
        <f>E71*12</f>
        <v>71121.600000000006</v>
      </c>
      <c r="G71" s="38">
        <v>2.4900000000000002</v>
      </c>
      <c r="H71" s="13"/>
      <c r="I71" s="13">
        <f>G71*F71/12</f>
        <v>14757.732000000004</v>
      </c>
    </row>
    <row r="72" spans="1:22" ht="21" hidden="1" customHeight="1">
      <c r="A72" s="58"/>
      <c r="B72" s="71" t="s">
        <v>117</v>
      </c>
      <c r="C72" s="71"/>
      <c r="D72" s="71"/>
      <c r="E72" s="71"/>
      <c r="F72" s="71"/>
      <c r="G72" s="71"/>
      <c r="H72" s="71"/>
      <c r="I72" s="1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9"/>
    </row>
    <row r="73" spans="1:22" ht="21" hidden="1" customHeight="1">
      <c r="A73" s="30">
        <v>16</v>
      </c>
      <c r="B73" s="76" t="s">
        <v>118</v>
      </c>
      <c r="C73" s="17"/>
      <c r="D73" s="15"/>
      <c r="E73" s="74"/>
      <c r="F73" s="13">
        <v>1</v>
      </c>
      <c r="G73" s="13">
        <v>27356</v>
      </c>
      <c r="H73" s="73">
        <f>G73*F73/1000</f>
        <v>27.356000000000002</v>
      </c>
      <c r="I73" s="13">
        <f>G73</f>
        <v>27356</v>
      </c>
      <c r="J73" s="26"/>
      <c r="K73" s="26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2" ht="23.25" customHeight="1">
      <c r="A74" s="30"/>
      <c r="B74" s="53" t="s">
        <v>71</v>
      </c>
      <c r="C74" s="53"/>
      <c r="D74" s="53"/>
      <c r="E74" s="53"/>
      <c r="F74" s="19"/>
      <c r="G74" s="30"/>
      <c r="H74" s="30"/>
      <c r="I74" s="19"/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2" ht="20.25" hidden="1" customHeight="1">
      <c r="A75" s="30"/>
      <c r="B75" s="15" t="s">
        <v>83</v>
      </c>
      <c r="C75" s="17" t="s">
        <v>31</v>
      </c>
      <c r="D75" s="15"/>
      <c r="E75" s="19">
        <v>2</v>
      </c>
      <c r="F75" s="78">
        <f>SUM(E75)</f>
        <v>2</v>
      </c>
      <c r="G75" s="13">
        <v>358.51</v>
      </c>
      <c r="H75" s="73">
        <f>SUM(F75*G75/1000)</f>
        <v>0.71701999999999999</v>
      </c>
      <c r="I75" s="13">
        <v>0</v>
      </c>
      <c r="J75" s="5"/>
      <c r="K75" s="5"/>
      <c r="L75" s="5"/>
      <c r="M75" s="5"/>
      <c r="N75" s="5"/>
      <c r="O75" s="5"/>
      <c r="P75" s="5"/>
      <c r="Q75" s="5"/>
      <c r="R75" s="178"/>
      <c r="S75" s="178"/>
      <c r="T75" s="178"/>
      <c r="U75" s="178"/>
    </row>
    <row r="76" spans="1:22" ht="21" hidden="1" customHeight="1">
      <c r="A76" s="30"/>
      <c r="B76" s="15" t="s">
        <v>72</v>
      </c>
      <c r="C76" s="17" t="s">
        <v>31</v>
      </c>
      <c r="D76" s="15"/>
      <c r="E76" s="19">
        <v>1</v>
      </c>
      <c r="F76" s="13">
        <v>1</v>
      </c>
      <c r="G76" s="13">
        <v>852.99</v>
      </c>
      <c r="H76" s="73">
        <f>F76*G76/1000</f>
        <v>0.85299000000000003</v>
      </c>
      <c r="I76" s="13">
        <v>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2" ht="31.5" customHeight="1">
      <c r="A77" s="30">
        <v>14</v>
      </c>
      <c r="B77" s="41" t="s">
        <v>191</v>
      </c>
      <c r="C77" s="42" t="s">
        <v>113</v>
      </c>
      <c r="D77" s="41" t="s">
        <v>179</v>
      </c>
      <c r="E77" s="18">
        <v>2</v>
      </c>
      <c r="F77" s="38">
        <f>E77*12</f>
        <v>24</v>
      </c>
      <c r="G77" s="38">
        <v>404</v>
      </c>
      <c r="H77" s="73"/>
      <c r="I77" s="13">
        <f>G77*F77/12</f>
        <v>808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6.5" customHeight="1">
      <c r="A78" s="30"/>
      <c r="B78" s="41" t="s">
        <v>192</v>
      </c>
      <c r="C78" s="42" t="s">
        <v>113</v>
      </c>
      <c r="D78" s="41" t="s">
        <v>179</v>
      </c>
      <c r="E78" s="18">
        <v>1</v>
      </c>
      <c r="F78" s="38">
        <f>E78*12</f>
        <v>12</v>
      </c>
      <c r="G78" s="38">
        <v>1759</v>
      </c>
      <c r="H78" s="73"/>
      <c r="I78" s="13">
        <f>G78*F78/12</f>
        <v>1759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2" ht="24.75" hidden="1" customHeight="1">
      <c r="A79" s="30"/>
      <c r="B79" s="54" t="s">
        <v>73</v>
      </c>
      <c r="C79" s="42"/>
      <c r="D79" s="30"/>
      <c r="E79" s="30"/>
      <c r="F79" s="19"/>
      <c r="G79" s="38" t="s">
        <v>134</v>
      </c>
      <c r="H79" s="38"/>
      <c r="I79" s="19"/>
    </row>
    <row r="80" spans="1:22" ht="25.5" hidden="1" customHeight="1">
      <c r="A80" s="30">
        <v>39</v>
      </c>
      <c r="B80" s="56" t="s">
        <v>119</v>
      </c>
      <c r="C80" s="17" t="s">
        <v>74</v>
      </c>
      <c r="D80" s="15"/>
      <c r="E80" s="19"/>
      <c r="F80" s="13">
        <v>1.35</v>
      </c>
      <c r="G80" s="13">
        <v>2759.44</v>
      </c>
      <c r="H80" s="73">
        <f>SUM(F80*G80/1000)</f>
        <v>3.725244</v>
      </c>
      <c r="I80" s="13">
        <v>0</v>
      </c>
    </row>
    <row r="81" spans="1:9" ht="15.75" customHeight="1">
      <c r="A81" s="169" t="s">
        <v>138</v>
      </c>
      <c r="B81" s="170"/>
      <c r="C81" s="170"/>
      <c r="D81" s="170"/>
      <c r="E81" s="170"/>
      <c r="F81" s="170"/>
      <c r="G81" s="170"/>
      <c r="H81" s="170"/>
      <c r="I81" s="171"/>
    </row>
    <row r="82" spans="1:9" ht="15.75" customHeight="1">
      <c r="A82" s="30">
        <v>15</v>
      </c>
      <c r="B82" s="41" t="s">
        <v>120</v>
      </c>
      <c r="C82" s="42" t="s">
        <v>54</v>
      </c>
      <c r="D82" s="146"/>
      <c r="E82" s="38">
        <v>5926.8</v>
      </c>
      <c r="F82" s="38">
        <f>SUM(E82*12)</f>
        <v>71121.600000000006</v>
      </c>
      <c r="G82" s="38">
        <v>3.38</v>
      </c>
      <c r="H82" s="13">
        <f>SUM(F82*G82/1000)</f>
        <v>240.391008</v>
      </c>
      <c r="I82" s="13">
        <f>F82/12*G82</f>
        <v>20032.583999999999</v>
      </c>
    </row>
    <row r="83" spans="1:9" ht="31.5" customHeight="1">
      <c r="A83" s="30">
        <v>16</v>
      </c>
      <c r="B83" s="143" t="s">
        <v>193</v>
      </c>
      <c r="C83" s="137"/>
      <c r="D83" s="144"/>
      <c r="E83" s="145">
        <f>E82</f>
        <v>5926.8</v>
      </c>
      <c r="F83" s="139">
        <f>E83*12</f>
        <v>71121.600000000006</v>
      </c>
      <c r="G83" s="139">
        <v>3.05</v>
      </c>
      <c r="H83" s="130">
        <f>F83*G83/1000</f>
        <v>216.92088000000001</v>
      </c>
      <c r="I83" s="131">
        <f>F83/12*G83</f>
        <v>18076.739999999998</v>
      </c>
    </row>
    <row r="84" spans="1:9" ht="15.75" customHeight="1">
      <c r="A84" s="58"/>
      <c r="B84" s="43" t="s">
        <v>76</v>
      </c>
      <c r="C84" s="45"/>
      <c r="D84" s="16"/>
      <c r="E84" s="16"/>
      <c r="F84" s="16"/>
      <c r="G84" s="19"/>
      <c r="H84" s="19"/>
      <c r="I84" s="32">
        <f>I83+I82+I78+I77+I71+I62+I59+I51+I32+I30+I29+I26+I21+I20+I18+I17+I16</f>
        <v>114441.31910959998</v>
      </c>
    </row>
    <row r="85" spans="1:9" ht="15.75" customHeight="1">
      <c r="A85" s="172" t="s">
        <v>59</v>
      </c>
      <c r="B85" s="173"/>
      <c r="C85" s="173"/>
      <c r="D85" s="173"/>
      <c r="E85" s="173"/>
      <c r="F85" s="173"/>
      <c r="G85" s="173"/>
      <c r="H85" s="173"/>
      <c r="I85" s="174"/>
    </row>
    <row r="86" spans="1:9" ht="15.75" customHeight="1">
      <c r="A86" s="30">
        <v>17</v>
      </c>
      <c r="B86" s="97" t="s">
        <v>78</v>
      </c>
      <c r="C86" s="98" t="s">
        <v>113</v>
      </c>
      <c r="D86" s="63"/>
      <c r="E86" s="38"/>
      <c r="F86" s="38">
        <v>12</v>
      </c>
      <c r="G86" s="38">
        <v>215.85</v>
      </c>
      <c r="H86" s="96">
        <f>G86*F86/1000</f>
        <v>2.5901999999999998</v>
      </c>
      <c r="I86" s="13">
        <f>G86*1</f>
        <v>215.85</v>
      </c>
    </row>
    <row r="87" spans="1:9" ht="33" customHeight="1">
      <c r="A87" s="30">
        <v>18</v>
      </c>
      <c r="B87" s="97" t="s">
        <v>229</v>
      </c>
      <c r="C87" s="98" t="s">
        <v>113</v>
      </c>
      <c r="D87" s="41" t="s">
        <v>289</v>
      </c>
      <c r="E87" s="38"/>
      <c r="F87" s="38">
        <v>5</v>
      </c>
      <c r="G87" s="38">
        <v>945.36</v>
      </c>
      <c r="H87" s="96"/>
      <c r="I87" s="13">
        <f>G87*2</f>
        <v>1890.72</v>
      </c>
    </row>
    <row r="88" spans="1:9" ht="30" customHeight="1">
      <c r="A88" s="30">
        <v>19</v>
      </c>
      <c r="B88" s="97" t="s">
        <v>283</v>
      </c>
      <c r="C88" s="98" t="s">
        <v>113</v>
      </c>
      <c r="D88" s="63" t="s">
        <v>290</v>
      </c>
      <c r="E88" s="38"/>
      <c r="F88" s="38">
        <v>1</v>
      </c>
      <c r="G88" s="38">
        <v>1179.28</v>
      </c>
      <c r="H88" s="96"/>
      <c r="I88" s="13">
        <f>G88*1</f>
        <v>1179.28</v>
      </c>
    </row>
    <row r="89" spans="1:9" ht="15.75" customHeight="1">
      <c r="A89" s="30">
        <v>20</v>
      </c>
      <c r="B89" s="159" t="s">
        <v>232</v>
      </c>
      <c r="C89" s="98" t="s">
        <v>113</v>
      </c>
      <c r="D89" s="63"/>
      <c r="E89" s="38"/>
      <c r="F89" s="38">
        <v>3</v>
      </c>
      <c r="G89" s="38">
        <v>235</v>
      </c>
      <c r="H89" s="96"/>
      <c r="I89" s="13">
        <f>G89*3</f>
        <v>705</v>
      </c>
    </row>
    <row r="90" spans="1:9" ht="15.75" customHeight="1">
      <c r="A90" s="30">
        <v>21</v>
      </c>
      <c r="B90" s="159" t="s">
        <v>284</v>
      </c>
      <c r="C90" s="98" t="s">
        <v>113</v>
      </c>
      <c r="D90" s="63"/>
      <c r="E90" s="38"/>
      <c r="F90" s="38">
        <v>1</v>
      </c>
      <c r="G90" s="38">
        <v>98</v>
      </c>
      <c r="H90" s="96"/>
      <c r="I90" s="13">
        <f>G90*1</f>
        <v>98</v>
      </c>
    </row>
    <row r="91" spans="1:9" ht="15.75" customHeight="1">
      <c r="A91" s="30">
        <v>22</v>
      </c>
      <c r="B91" s="159" t="s">
        <v>285</v>
      </c>
      <c r="C91" s="98" t="s">
        <v>113</v>
      </c>
      <c r="D91" s="63"/>
      <c r="E91" s="38"/>
      <c r="F91" s="38">
        <v>2</v>
      </c>
      <c r="G91" s="38">
        <v>62</v>
      </c>
      <c r="H91" s="96"/>
      <c r="I91" s="13">
        <f>G91*2</f>
        <v>124</v>
      </c>
    </row>
    <row r="92" spans="1:9" ht="15.75" customHeight="1">
      <c r="A92" s="30">
        <v>23</v>
      </c>
      <c r="B92" s="159" t="s">
        <v>159</v>
      </c>
      <c r="C92" s="98" t="s">
        <v>167</v>
      </c>
      <c r="D92" s="63" t="s">
        <v>344</v>
      </c>
      <c r="E92" s="38"/>
      <c r="F92" s="38">
        <v>47</v>
      </c>
      <c r="G92" s="38">
        <v>284</v>
      </c>
      <c r="H92" s="96"/>
      <c r="I92" s="13">
        <v>0</v>
      </c>
    </row>
    <row r="93" spans="1:9" ht="34.5" customHeight="1">
      <c r="A93" s="30">
        <v>24</v>
      </c>
      <c r="B93" s="97" t="s">
        <v>194</v>
      </c>
      <c r="C93" s="98" t="s">
        <v>37</v>
      </c>
      <c r="D93" s="63" t="s">
        <v>178</v>
      </c>
      <c r="E93" s="38"/>
      <c r="F93" s="38">
        <v>0.04</v>
      </c>
      <c r="G93" s="38">
        <v>4070.89</v>
      </c>
      <c r="H93" s="96"/>
      <c r="I93" s="13">
        <v>0</v>
      </c>
    </row>
    <row r="94" spans="1:9" ht="15.75" customHeight="1">
      <c r="A94" s="30">
        <v>25</v>
      </c>
      <c r="B94" s="97" t="s">
        <v>286</v>
      </c>
      <c r="C94" s="98" t="s">
        <v>54</v>
      </c>
      <c r="D94" s="63" t="s">
        <v>291</v>
      </c>
      <c r="E94" s="38"/>
      <c r="F94" s="38">
        <f>2.4+1.55</f>
        <v>3.95</v>
      </c>
      <c r="G94" s="38">
        <v>622.82000000000005</v>
      </c>
      <c r="H94" s="96"/>
      <c r="I94" s="13">
        <f>G94*1.55</f>
        <v>965.37100000000009</v>
      </c>
    </row>
    <row r="95" spans="1:9" ht="15.75" customHeight="1">
      <c r="A95" s="30">
        <v>26</v>
      </c>
      <c r="B95" s="97" t="s">
        <v>263</v>
      </c>
      <c r="C95" s="98" t="s">
        <v>113</v>
      </c>
      <c r="D95" s="63" t="s">
        <v>292</v>
      </c>
      <c r="E95" s="38"/>
      <c r="F95" s="38">
        <v>16</v>
      </c>
      <c r="G95" s="38">
        <v>250</v>
      </c>
      <c r="H95" s="96"/>
      <c r="I95" s="13">
        <f>G95*4</f>
        <v>1000</v>
      </c>
    </row>
    <row r="96" spans="1:9" ht="15.75" customHeight="1">
      <c r="A96" s="30">
        <v>27</v>
      </c>
      <c r="B96" s="97" t="s">
        <v>287</v>
      </c>
      <c r="C96" s="98" t="s">
        <v>113</v>
      </c>
      <c r="D96" s="63" t="s">
        <v>293</v>
      </c>
      <c r="E96" s="38"/>
      <c r="F96" s="38">
        <v>1</v>
      </c>
      <c r="G96" s="38">
        <v>220.1</v>
      </c>
      <c r="H96" s="96"/>
      <c r="I96" s="13">
        <f>G96*1</f>
        <v>220.1</v>
      </c>
    </row>
    <row r="97" spans="1:9" ht="15.75" customHeight="1">
      <c r="A97" s="30">
        <v>28</v>
      </c>
      <c r="B97" s="97" t="s">
        <v>288</v>
      </c>
      <c r="C97" s="98" t="s">
        <v>173</v>
      </c>
      <c r="D97" s="63" t="s">
        <v>293</v>
      </c>
      <c r="E97" s="38"/>
      <c r="F97" s="38">
        <v>1</v>
      </c>
      <c r="G97" s="38">
        <v>6315.22</v>
      </c>
      <c r="H97" s="96"/>
      <c r="I97" s="13">
        <f>G97*1</f>
        <v>6315.22</v>
      </c>
    </row>
    <row r="98" spans="1:9" ht="15.75" customHeight="1">
      <c r="A98" s="30">
        <v>29</v>
      </c>
      <c r="B98" s="97" t="s">
        <v>209</v>
      </c>
      <c r="C98" s="98" t="s">
        <v>39</v>
      </c>
      <c r="D98" s="63" t="s">
        <v>178</v>
      </c>
      <c r="E98" s="38"/>
      <c r="F98" s="160">
        <v>0.08</v>
      </c>
      <c r="G98" s="38">
        <v>27139.18</v>
      </c>
      <c r="H98" s="96"/>
      <c r="I98" s="13">
        <v>0</v>
      </c>
    </row>
    <row r="99" spans="1:9" ht="27" customHeight="1">
      <c r="A99" s="30">
        <v>30</v>
      </c>
      <c r="B99" s="97" t="s">
        <v>215</v>
      </c>
      <c r="C99" s="98" t="s">
        <v>86</v>
      </c>
      <c r="D99" s="63" t="s">
        <v>294</v>
      </c>
      <c r="E99" s="38"/>
      <c r="F99" s="38">
        <v>11</v>
      </c>
      <c r="G99" s="38">
        <v>913.43</v>
      </c>
      <c r="H99" s="96"/>
      <c r="I99" s="13">
        <f>G99*1</f>
        <v>913.43</v>
      </c>
    </row>
    <row r="100" spans="1:9" ht="15.75" customHeight="1">
      <c r="A100" s="30"/>
      <c r="B100" s="50" t="s">
        <v>51</v>
      </c>
      <c r="C100" s="46"/>
      <c r="D100" s="59"/>
      <c r="E100" s="59"/>
      <c r="F100" s="46">
        <v>1</v>
      </c>
      <c r="G100" s="46"/>
      <c r="H100" s="46"/>
      <c r="I100" s="32">
        <f>SUM(I86:I99)</f>
        <v>13626.971000000001</v>
      </c>
    </row>
    <row r="101" spans="1:9" ht="15.75" customHeight="1">
      <c r="A101" s="30"/>
      <c r="B101" s="56" t="s">
        <v>75</v>
      </c>
      <c r="C101" s="16"/>
      <c r="D101" s="16"/>
      <c r="E101" s="16"/>
      <c r="F101" s="47"/>
      <c r="G101" s="48"/>
      <c r="H101" s="48"/>
      <c r="I101" s="18">
        <v>0</v>
      </c>
    </row>
    <row r="102" spans="1:9" ht="15.75" customHeight="1">
      <c r="A102" s="60"/>
      <c r="B102" s="51" t="s">
        <v>141</v>
      </c>
      <c r="C102" s="36"/>
      <c r="D102" s="36"/>
      <c r="E102" s="36"/>
      <c r="F102" s="36"/>
      <c r="G102" s="36"/>
      <c r="H102" s="36"/>
      <c r="I102" s="49">
        <f>I84+I100</f>
        <v>128068.29010959998</v>
      </c>
    </row>
    <row r="103" spans="1:9" ht="15.75" customHeight="1">
      <c r="A103" s="188" t="s">
        <v>347</v>
      </c>
      <c r="B103" s="188"/>
      <c r="C103" s="188"/>
      <c r="D103" s="188"/>
      <c r="E103" s="188"/>
      <c r="F103" s="188"/>
      <c r="G103" s="188"/>
      <c r="H103" s="188"/>
      <c r="I103" s="188"/>
    </row>
    <row r="104" spans="1:9" ht="15.75" customHeight="1">
      <c r="A104" s="72"/>
      <c r="B104" s="180" t="s">
        <v>348</v>
      </c>
      <c r="C104" s="180"/>
      <c r="D104" s="180"/>
      <c r="E104" s="180"/>
      <c r="F104" s="180"/>
      <c r="G104" s="180"/>
      <c r="H104" s="75"/>
      <c r="I104" s="3"/>
    </row>
    <row r="105" spans="1:9" ht="15.75" customHeight="1">
      <c r="A105" s="67"/>
      <c r="B105" s="176" t="s">
        <v>6</v>
      </c>
      <c r="C105" s="176"/>
      <c r="D105" s="176"/>
      <c r="E105" s="176"/>
      <c r="F105" s="176"/>
      <c r="G105" s="176"/>
      <c r="H105" s="25"/>
      <c r="I105" s="5"/>
    </row>
    <row r="106" spans="1:9" ht="15.7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 customHeight="1">
      <c r="A107" s="181" t="s">
        <v>7</v>
      </c>
      <c r="B107" s="181"/>
      <c r="C107" s="181"/>
      <c r="D107" s="181"/>
      <c r="E107" s="181"/>
      <c r="F107" s="181"/>
      <c r="G107" s="181"/>
      <c r="H107" s="181"/>
      <c r="I107" s="181"/>
    </row>
    <row r="108" spans="1:9" ht="15.75" customHeight="1">
      <c r="A108" s="181" t="s">
        <v>8</v>
      </c>
      <c r="B108" s="181"/>
      <c r="C108" s="181"/>
      <c r="D108" s="181"/>
      <c r="E108" s="181"/>
      <c r="F108" s="181"/>
      <c r="G108" s="181"/>
      <c r="H108" s="181"/>
      <c r="I108" s="181"/>
    </row>
    <row r="109" spans="1:9" ht="15.75" customHeight="1">
      <c r="A109" s="182" t="s">
        <v>60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15.75" customHeight="1">
      <c r="A110" s="11"/>
    </row>
    <row r="111" spans="1:9" ht="15.75" customHeight="1">
      <c r="A111" s="183" t="s">
        <v>9</v>
      </c>
      <c r="B111" s="183"/>
      <c r="C111" s="183"/>
      <c r="D111" s="183"/>
      <c r="E111" s="183"/>
      <c r="F111" s="183"/>
      <c r="G111" s="183"/>
      <c r="H111" s="183"/>
      <c r="I111" s="183"/>
    </row>
    <row r="112" spans="1:9" ht="15.75" customHeight="1">
      <c r="A112" s="4"/>
    </row>
    <row r="113" spans="1:9" ht="15.75" customHeight="1">
      <c r="B113" s="66" t="s">
        <v>10</v>
      </c>
      <c r="C113" s="175" t="s">
        <v>85</v>
      </c>
      <c r="D113" s="175"/>
      <c r="E113" s="175"/>
      <c r="F113" s="175"/>
      <c r="I113" s="69"/>
    </row>
    <row r="114" spans="1:9" ht="15.75" customHeight="1">
      <c r="A114" s="67"/>
      <c r="C114" s="176" t="s">
        <v>11</v>
      </c>
      <c r="D114" s="176"/>
      <c r="E114" s="176"/>
      <c r="F114" s="176"/>
      <c r="I114" s="68" t="s">
        <v>12</v>
      </c>
    </row>
    <row r="115" spans="1:9" ht="15.75" customHeight="1">
      <c r="A115" s="26"/>
      <c r="C115" s="12"/>
      <c r="D115" s="12"/>
      <c r="E115" s="12"/>
      <c r="G115" s="12"/>
      <c r="H115" s="12"/>
    </row>
    <row r="116" spans="1:9" ht="15.75" customHeight="1">
      <c r="B116" s="66" t="s">
        <v>13</v>
      </c>
      <c r="C116" s="177"/>
      <c r="D116" s="177"/>
      <c r="E116" s="177"/>
      <c r="F116" s="177"/>
      <c r="I116" s="69"/>
    </row>
    <row r="117" spans="1:9" ht="15.75" customHeight="1">
      <c r="A117" s="67"/>
      <c r="C117" s="178" t="s">
        <v>11</v>
      </c>
      <c r="D117" s="178"/>
      <c r="E117" s="178"/>
      <c r="F117" s="178"/>
      <c r="I117" s="68" t="s">
        <v>12</v>
      </c>
    </row>
    <row r="118" spans="1:9" ht="15.75" customHeight="1">
      <c r="A118" s="4" t="s">
        <v>14</v>
      </c>
    </row>
    <row r="119" spans="1:9">
      <c r="A119" s="179" t="s">
        <v>15</v>
      </c>
      <c r="B119" s="179"/>
      <c r="C119" s="179"/>
      <c r="D119" s="179"/>
      <c r="E119" s="179"/>
      <c r="F119" s="179"/>
      <c r="G119" s="179"/>
      <c r="H119" s="179"/>
      <c r="I119" s="179"/>
    </row>
    <row r="120" spans="1:9" ht="45" customHeight="1">
      <c r="A120" s="168" t="s">
        <v>16</v>
      </c>
      <c r="B120" s="168"/>
      <c r="C120" s="168"/>
      <c r="D120" s="168"/>
      <c r="E120" s="168"/>
      <c r="F120" s="168"/>
      <c r="G120" s="168"/>
      <c r="H120" s="168"/>
      <c r="I120" s="168"/>
    </row>
    <row r="121" spans="1:9" ht="30" customHeight="1">
      <c r="A121" s="168" t="s">
        <v>17</v>
      </c>
      <c r="B121" s="168"/>
      <c r="C121" s="168"/>
      <c r="D121" s="168"/>
      <c r="E121" s="168"/>
      <c r="F121" s="168"/>
      <c r="G121" s="168"/>
      <c r="H121" s="168"/>
      <c r="I121" s="168"/>
    </row>
    <row r="122" spans="1:9" ht="30" customHeight="1">
      <c r="A122" s="168" t="s">
        <v>21</v>
      </c>
      <c r="B122" s="168"/>
      <c r="C122" s="168"/>
      <c r="D122" s="168"/>
      <c r="E122" s="168"/>
      <c r="F122" s="168"/>
      <c r="G122" s="168"/>
      <c r="H122" s="168"/>
      <c r="I122" s="168"/>
    </row>
    <row r="123" spans="1:9" ht="15" customHeight="1">
      <c r="A123" s="168" t="s">
        <v>20</v>
      </c>
      <c r="B123" s="168"/>
      <c r="C123" s="168"/>
      <c r="D123" s="168"/>
      <c r="E123" s="168"/>
      <c r="F123" s="168"/>
      <c r="G123" s="168"/>
      <c r="H123" s="168"/>
      <c r="I123" s="168"/>
    </row>
  </sheetData>
  <autoFilter ref="I12:I68"/>
  <mergeCells count="29">
    <mergeCell ref="A14:I14"/>
    <mergeCell ref="A15:I15"/>
    <mergeCell ref="A27:I27"/>
    <mergeCell ref="A42:I42"/>
    <mergeCell ref="A52:I52"/>
    <mergeCell ref="A3:I3"/>
    <mergeCell ref="A4:I4"/>
    <mergeCell ref="A5:I5"/>
    <mergeCell ref="A8:I8"/>
    <mergeCell ref="A10:I10"/>
    <mergeCell ref="R75:U75"/>
    <mergeCell ref="C117:F117"/>
    <mergeCell ref="A85:I85"/>
    <mergeCell ref="A103:I103"/>
    <mergeCell ref="B104:G104"/>
    <mergeCell ref="B105:G105"/>
    <mergeCell ref="A107:I107"/>
    <mergeCell ref="A108:I108"/>
    <mergeCell ref="A109:I109"/>
    <mergeCell ref="A111:I111"/>
    <mergeCell ref="C113:F113"/>
    <mergeCell ref="C114:F114"/>
    <mergeCell ref="C116:F116"/>
    <mergeCell ref="A81:I81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0"/>
  <sheetViews>
    <sheetView topLeftCell="A89" workbookViewId="0">
      <selection activeCell="J102" sqref="J102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6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164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189" t="s">
        <v>153</v>
      </c>
      <c r="B3" s="189"/>
      <c r="C3" s="189"/>
      <c r="D3" s="189"/>
      <c r="E3" s="189"/>
      <c r="F3" s="189"/>
      <c r="G3" s="189"/>
      <c r="H3" s="189"/>
      <c r="I3" s="189"/>
      <c r="J3" s="3"/>
      <c r="K3" s="3"/>
      <c r="L3" s="3"/>
    </row>
    <row r="4" spans="1:13" ht="31.5" customHeight="1">
      <c r="A4" s="190" t="s">
        <v>121</v>
      </c>
      <c r="B4" s="190"/>
      <c r="C4" s="190"/>
      <c r="D4" s="190"/>
      <c r="E4" s="190"/>
      <c r="F4" s="190"/>
      <c r="G4" s="190"/>
      <c r="H4" s="190"/>
      <c r="I4" s="190"/>
    </row>
    <row r="5" spans="1:13" ht="15.75" customHeight="1">
      <c r="A5" s="189" t="s">
        <v>295</v>
      </c>
      <c r="B5" s="191"/>
      <c r="C5" s="191"/>
      <c r="D5" s="191"/>
      <c r="E5" s="191"/>
      <c r="F5" s="191"/>
      <c r="G5" s="191"/>
      <c r="H5" s="191"/>
      <c r="I5" s="191"/>
      <c r="J5" s="2"/>
      <c r="K5" s="2"/>
      <c r="L5" s="2"/>
      <c r="M5" s="2"/>
    </row>
    <row r="6" spans="1:13" ht="15.75" customHeight="1">
      <c r="A6" s="2"/>
      <c r="B6" s="70"/>
      <c r="C6" s="70"/>
      <c r="D6" s="70"/>
      <c r="E6" s="70"/>
      <c r="F6" s="70"/>
      <c r="G6" s="70"/>
      <c r="H6" s="70"/>
      <c r="I6" s="31">
        <v>44104</v>
      </c>
      <c r="J6" s="2"/>
      <c r="K6" s="2"/>
      <c r="L6" s="2"/>
      <c r="M6" s="2"/>
    </row>
    <row r="7" spans="1:13" ht="15.75" customHeight="1">
      <c r="B7" s="66"/>
      <c r="C7" s="66"/>
      <c r="D7" s="66"/>
      <c r="E7" s="66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186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3" t="s">
        <v>157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4" t="s">
        <v>58</v>
      </c>
      <c r="B14" s="194"/>
      <c r="C14" s="194"/>
      <c r="D14" s="194"/>
      <c r="E14" s="194"/>
      <c r="F14" s="194"/>
      <c r="G14" s="194"/>
      <c r="H14" s="194"/>
      <c r="I14" s="194"/>
      <c r="J14" s="8"/>
      <c r="K14" s="8"/>
      <c r="L14" s="8"/>
      <c r="M14" s="8"/>
    </row>
    <row r="15" spans="1:13" ht="15.7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34" t="s">
        <v>82</v>
      </c>
      <c r="C16" s="44" t="s">
        <v>98</v>
      </c>
      <c r="D16" s="34" t="s">
        <v>175</v>
      </c>
      <c r="E16" s="132">
        <v>160.5</v>
      </c>
      <c r="F16" s="33">
        <f>SUM(E16*156/100)</f>
        <v>250.38</v>
      </c>
      <c r="G16" s="33">
        <v>251.39</v>
      </c>
      <c r="H16" s="79">
        <f t="shared" ref="H16:H27" si="0">SUM(F16*G16/1000)</f>
        <v>62.943028199999993</v>
      </c>
      <c r="I16" s="13">
        <f>F16/12*G16</f>
        <v>5245.2523499999998</v>
      </c>
      <c r="J16" s="8"/>
      <c r="K16" s="8"/>
      <c r="L16" s="8"/>
      <c r="M16" s="8"/>
    </row>
    <row r="17" spans="1:13" ht="15.75" customHeight="1">
      <c r="A17" s="30">
        <v>2</v>
      </c>
      <c r="B17" s="34" t="s">
        <v>87</v>
      </c>
      <c r="C17" s="44" t="s">
        <v>98</v>
      </c>
      <c r="D17" s="34" t="s">
        <v>176</v>
      </c>
      <c r="E17" s="132">
        <v>642</v>
      </c>
      <c r="F17" s="33">
        <f>SUM(E17*104/100)</f>
        <v>667.68</v>
      </c>
      <c r="G17" s="33">
        <v>251.39</v>
      </c>
      <c r="H17" s="79">
        <f t="shared" si="0"/>
        <v>167.84807519999998</v>
      </c>
      <c r="I17" s="13">
        <f>F17/12*G17</f>
        <v>13987.339599999998</v>
      </c>
      <c r="J17" s="23"/>
      <c r="K17" s="8"/>
      <c r="L17" s="8"/>
      <c r="M17" s="8"/>
    </row>
    <row r="18" spans="1:13" ht="15.75" customHeight="1">
      <c r="A18" s="30">
        <v>3</v>
      </c>
      <c r="B18" s="34" t="s">
        <v>88</v>
      </c>
      <c r="C18" s="44" t="s">
        <v>98</v>
      </c>
      <c r="D18" s="34" t="s">
        <v>177</v>
      </c>
      <c r="E18" s="132">
        <f>SUM(E16+E17)</f>
        <v>802.5</v>
      </c>
      <c r="F18" s="33">
        <f>SUM(E18*18/100)</f>
        <v>144.44999999999999</v>
      </c>
      <c r="G18" s="33">
        <v>723.23</v>
      </c>
      <c r="H18" s="79">
        <f t="shared" si="0"/>
        <v>104.4705735</v>
      </c>
      <c r="I18" s="13">
        <f>F18/18*2*G18</f>
        <v>11607.841499999999</v>
      </c>
      <c r="J18" s="23"/>
      <c r="K18" s="8"/>
      <c r="L18" s="8"/>
      <c r="M18" s="8"/>
    </row>
    <row r="19" spans="1:13" ht="15.75" hidden="1" customHeight="1">
      <c r="A19" s="30">
        <v>4</v>
      </c>
      <c r="B19" s="76" t="s">
        <v>99</v>
      </c>
      <c r="C19" s="65" t="s">
        <v>100</v>
      </c>
      <c r="D19" s="76" t="s">
        <v>101</v>
      </c>
      <c r="E19" s="77">
        <v>38.4</v>
      </c>
      <c r="F19" s="78">
        <f>SUM(E19/10)</f>
        <v>3.84</v>
      </c>
      <c r="G19" s="78">
        <v>170.16</v>
      </c>
      <c r="H19" s="79">
        <f t="shared" si="0"/>
        <v>0.65341439999999995</v>
      </c>
      <c r="I19" s="13">
        <f>F19/2*G19</f>
        <v>326.7072</v>
      </c>
      <c r="J19" s="23"/>
      <c r="K19" s="8"/>
      <c r="L19" s="8"/>
      <c r="M19" s="8"/>
    </row>
    <row r="20" spans="1:13" ht="15.75" customHeight="1">
      <c r="A20" s="30">
        <v>4</v>
      </c>
      <c r="B20" s="34" t="s">
        <v>91</v>
      </c>
      <c r="C20" s="44" t="s">
        <v>98</v>
      </c>
      <c r="D20" s="34" t="s">
        <v>179</v>
      </c>
      <c r="E20" s="132">
        <v>58.4</v>
      </c>
      <c r="F20" s="33">
        <f>SUM(E20*12/100)</f>
        <v>7.0079999999999991</v>
      </c>
      <c r="G20" s="33">
        <v>312.35000000000002</v>
      </c>
      <c r="H20" s="79">
        <f t="shared" si="0"/>
        <v>2.1889487999999995</v>
      </c>
      <c r="I20" s="13">
        <f>F20/12*G20</f>
        <v>182.41239999999999</v>
      </c>
      <c r="J20" s="23"/>
      <c r="K20" s="8"/>
      <c r="L20" s="8"/>
      <c r="M20" s="8"/>
    </row>
    <row r="21" spans="1:13" ht="15.75" customHeight="1">
      <c r="A21" s="30">
        <v>5</v>
      </c>
      <c r="B21" s="34" t="s">
        <v>92</v>
      </c>
      <c r="C21" s="44" t="s">
        <v>98</v>
      </c>
      <c r="D21" s="34" t="s">
        <v>179</v>
      </c>
      <c r="E21" s="132">
        <v>9.08</v>
      </c>
      <c r="F21" s="33">
        <f>SUM(E21*12/100)</f>
        <v>1.0896000000000001</v>
      </c>
      <c r="G21" s="33">
        <v>309.81</v>
      </c>
      <c r="H21" s="79">
        <f t="shared" si="0"/>
        <v>0.33756897600000002</v>
      </c>
      <c r="I21" s="13">
        <f>F21/12*G21</f>
        <v>28.130748000000001</v>
      </c>
      <c r="J21" s="23"/>
      <c r="K21" s="8"/>
      <c r="L21" s="8"/>
      <c r="M21" s="8"/>
    </row>
    <row r="22" spans="1:13" ht="15.75" hidden="1" customHeight="1">
      <c r="A22" s="30">
        <v>7</v>
      </c>
      <c r="B22" s="76" t="s">
        <v>102</v>
      </c>
      <c r="C22" s="65" t="s">
        <v>52</v>
      </c>
      <c r="D22" s="76" t="s">
        <v>101</v>
      </c>
      <c r="E22" s="77">
        <v>822.72</v>
      </c>
      <c r="F22" s="78">
        <f>SUM(E22/100)</f>
        <v>8.2271999999999998</v>
      </c>
      <c r="G22" s="78">
        <v>269.26</v>
      </c>
      <c r="H22" s="79">
        <f t="shared" si="0"/>
        <v>2.2152558719999997</v>
      </c>
      <c r="I22" s="13">
        <f>F22*G22</f>
        <v>2215.2558719999997</v>
      </c>
      <c r="J22" s="23"/>
      <c r="K22" s="8"/>
      <c r="L22" s="8"/>
      <c r="M22" s="8"/>
    </row>
    <row r="23" spans="1:13" ht="15.75" hidden="1" customHeight="1">
      <c r="A23" s="30">
        <v>8</v>
      </c>
      <c r="B23" s="76" t="s">
        <v>103</v>
      </c>
      <c r="C23" s="65" t="s">
        <v>52</v>
      </c>
      <c r="D23" s="76" t="s">
        <v>101</v>
      </c>
      <c r="E23" s="80">
        <v>96.6</v>
      </c>
      <c r="F23" s="78">
        <f>SUM(E23/100)</f>
        <v>0.96599999999999997</v>
      </c>
      <c r="G23" s="78">
        <v>44.29</v>
      </c>
      <c r="H23" s="79">
        <f t="shared" si="0"/>
        <v>4.2784139999999998E-2</v>
      </c>
      <c r="I23" s="13">
        <f>F23*G23</f>
        <v>42.784140000000001</v>
      </c>
      <c r="J23" s="23"/>
      <c r="K23" s="8"/>
      <c r="L23" s="8"/>
      <c r="M23" s="8"/>
    </row>
    <row r="24" spans="1:13" ht="15.75" hidden="1" customHeight="1">
      <c r="A24" s="30">
        <v>6</v>
      </c>
      <c r="B24" s="76" t="s">
        <v>95</v>
      </c>
      <c r="C24" s="65" t="s">
        <v>52</v>
      </c>
      <c r="D24" s="76" t="s">
        <v>30</v>
      </c>
      <c r="E24" s="81">
        <v>32</v>
      </c>
      <c r="F24" s="78">
        <f>32*12/1000</f>
        <v>0.38400000000000001</v>
      </c>
      <c r="G24" s="78">
        <v>389.42</v>
      </c>
      <c r="H24" s="79">
        <f>G24*F24/100</f>
        <v>1.4953728000000002</v>
      </c>
      <c r="I24" s="13">
        <f>F24/12*G24</f>
        <v>12.461440000000001</v>
      </c>
      <c r="J24" s="23"/>
      <c r="K24" s="8"/>
      <c r="L24" s="8"/>
      <c r="M24" s="8"/>
    </row>
    <row r="25" spans="1:13" ht="15.75" hidden="1" customHeight="1">
      <c r="A25" s="30">
        <v>10</v>
      </c>
      <c r="B25" s="76" t="s">
        <v>122</v>
      </c>
      <c r="C25" s="65" t="s">
        <v>52</v>
      </c>
      <c r="D25" s="76" t="s">
        <v>53</v>
      </c>
      <c r="E25" s="82">
        <v>38</v>
      </c>
      <c r="F25" s="78">
        <v>0.38</v>
      </c>
      <c r="G25" s="78">
        <v>216.12</v>
      </c>
      <c r="H25" s="79">
        <f>G25*F25/1000</f>
        <v>8.2125600000000007E-2</v>
      </c>
      <c r="I25" s="13">
        <f>F25*G25</f>
        <v>82.125600000000006</v>
      </c>
      <c r="J25" s="23"/>
      <c r="K25" s="8"/>
      <c r="L25" s="8"/>
      <c r="M25" s="8"/>
    </row>
    <row r="26" spans="1:13" ht="15.75" hidden="1" customHeight="1">
      <c r="A26" s="30">
        <v>7</v>
      </c>
      <c r="B26" s="76" t="s">
        <v>96</v>
      </c>
      <c r="C26" s="65" t="s">
        <v>52</v>
      </c>
      <c r="D26" s="76" t="s">
        <v>123</v>
      </c>
      <c r="E26" s="77">
        <v>17</v>
      </c>
      <c r="F26" s="78">
        <f>SUM(E26*12/100)</f>
        <v>2.04</v>
      </c>
      <c r="G26" s="78">
        <v>520.79999999999995</v>
      </c>
      <c r="H26" s="79">
        <f t="shared" si="0"/>
        <v>1.062432</v>
      </c>
      <c r="I26" s="13">
        <f>F26/12*G26</f>
        <v>88.536000000000001</v>
      </c>
      <c r="J26" s="23"/>
      <c r="K26" s="8"/>
      <c r="L26" s="8"/>
      <c r="M26" s="8"/>
    </row>
    <row r="27" spans="1:13" ht="15.75" customHeight="1">
      <c r="A27" s="30">
        <v>6</v>
      </c>
      <c r="B27" s="34" t="s">
        <v>174</v>
      </c>
      <c r="C27" s="44" t="s">
        <v>33</v>
      </c>
      <c r="D27" s="34" t="s">
        <v>182</v>
      </c>
      <c r="E27" s="125">
        <v>0.2</v>
      </c>
      <c r="F27" s="33">
        <f>E27*258</f>
        <v>51.6</v>
      </c>
      <c r="G27" s="33">
        <v>289.5</v>
      </c>
      <c r="H27" s="79">
        <f t="shared" si="0"/>
        <v>14.9382</v>
      </c>
      <c r="I27" s="13">
        <f>F27/12*G27</f>
        <v>1244.8499999999999</v>
      </c>
      <c r="J27" s="23"/>
      <c r="K27" s="8"/>
      <c r="L27" s="8"/>
      <c r="M27" s="8"/>
    </row>
    <row r="28" spans="1:13" ht="15.75" customHeight="1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  <c r="J28" s="23"/>
      <c r="K28" s="8"/>
      <c r="L28" s="8"/>
      <c r="M28" s="8"/>
    </row>
    <row r="29" spans="1:13" ht="15.75" customHeight="1">
      <c r="A29" s="45"/>
      <c r="B29" s="55" t="s">
        <v>28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7</v>
      </c>
      <c r="B30" s="34" t="s">
        <v>104</v>
      </c>
      <c r="C30" s="44" t="s">
        <v>105</v>
      </c>
      <c r="D30" s="34" t="s">
        <v>184</v>
      </c>
      <c r="E30" s="33">
        <v>877.4</v>
      </c>
      <c r="F30" s="33">
        <f>SUM(E30*24/1000)</f>
        <v>21.057599999999997</v>
      </c>
      <c r="G30" s="33">
        <v>223.46</v>
      </c>
      <c r="H30" s="79">
        <f t="shared" ref="H30:H32" si="1">SUM(F30*G30/1000)</f>
        <v>4.7055312959999993</v>
      </c>
      <c r="I30" s="13">
        <f>F30/6*G30</f>
        <v>784.2552159999999</v>
      </c>
      <c r="J30" s="23"/>
      <c r="K30" s="8"/>
      <c r="L30" s="8"/>
      <c r="M30" s="8"/>
    </row>
    <row r="31" spans="1:13" ht="31.5" customHeight="1">
      <c r="A31" s="45">
        <v>8</v>
      </c>
      <c r="B31" s="34" t="s">
        <v>126</v>
      </c>
      <c r="C31" s="44" t="s">
        <v>105</v>
      </c>
      <c r="D31" s="34" t="s">
        <v>176</v>
      </c>
      <c r="E31" s="33">
        <v>214.34</v>
      </c>
      <c r="F31" s="33">
        <f>SUM(E31*52/1000)</f>
        <v>11.14568</v>
      </c>
      <c r="G31" s="33">
        <v>370.77</v>
      </c>
      <c r="H31" s="79">
        <f t="shared" si="1"/>
        <v>4.1324837735999997</v>
      </c>
      <c r="I31" s="13">
        <f t="shared" ref="I31:I33" si="2">F31/6*G31</f>
        <v>688.74729559999992</v>
      </c>
      <c r="J31" s="23"/>
      <c r="K31" s="8"/>
      <c r="L31" s="8"/>
      <c r="M31" s="8"/>
    </row>
    <row r="32" spans="1:13" ht="15.75" hidden="1" customHeight="1">
      <c r="A32" s="45">
        <v>16</v>
      </c>
      <c r="B32" s="34" t="s">
        <v>27</v>
      </c>
      <c r="C32" s="44" t="s">
        <v>105</v>
      </c>
      <c r="D32" s="34" t="s">
        <v>53</v>
      </c>
      <c r="E32" s="33">
        <v>877.4</v>
      </c>
      <c r="F32" s="33">
        <f>SUM(E32/1000)</f>
        <v>0.87739999999999996</v>
      </c>
      <c r="G32" s="33">
        <v>4329.78</v>
      </c>
      <c r="H32" s="79">
        <f t="shared" si="1"/>
        <v>3.7989489719999998</v>
      </c>
      <c r="I32" s="13">
        <f>F32*G32</f>
        <v>3798.9489719999997</v>
      </c>
      <c r="J32" s="23"/>
      <c r="K32" s="8"/>
      <c r="L32" s="8"/>
      <c r="M32" s="8"/>
    </row>
    <row r="33" spans="1:14" ht="15.75" customHeight="1">
      <c r="A33" s="45">
        <v>9</v>
      </c>
      <c r="B33" s="34" t="s">
        <v>124</v>
      </c>
      <c r="C33" s="44" t="s">
        <v>39</v>
      </c>
      <c r="D33" s="34" t="s">
        <v>181</v>
      </c>
      <c r="E33" s="33">
        <v>8</v>
      </c>
      <c r="F33" s="33">
        <v>12.4</v>
      </c>
      <c r="G33" s="33">
        <v>1866.51</v>
      </c>
      <c r="H33" s="79">
        <v>16.145</v>
      </c>
      <c r="I33" s="13">
        <f t="shared" si="2"/>
        <v>3857.4540000000002</v>
      </c>
      <c r="J33" s="23"/>
      <c r="K33" s="8"/>
      <c r="L33" s="8"/>
      <c r="M33" s="8"/>
    </row>
    <row r="34" spans="1:14" ht="15.75" hidden="1" customHeight="1">
      <c r="A34" s="45">
        <v>4</v>
      </c>
      <c r="B34" s="76" t="s">
        <v>63</v>
      </c>
      <c r="C34" s="65" t="s">
        <v>33</v>
      </c>
      <c r="D34" s="76" t="s">
        <v>65</v>
      </c>
      <c r="E34" s="77"/>
      <c r="F34" s="78">
        <v>2</v>
      </c>
      <c r="G34" s="78">
        <v>191.32</v>
      </c>
      <c r="H34" s="79">
        <f t="shared" ref="H34:H35" si="3">SUM(F34*G34/1000)</f>
        <v>0.38263999999999998</v>
      </c>
      <c r="I34" s="13">
        <v>0</v>
      </c>
      <c r="J34" s="23"/>
      <c r="K34" s="8"/>
    </row>
    <row r="35" spans="1:14" ht="15.75" hidden="1" customHeight="1">
      <c r="A35" s="30">
        <v>8</v>
      </c>
      <c r="B35" s="76" t="s">
        <v>64</v>
      </c>
      <c r="C35" s="65" t="s">
        <v>32</v>
      </c>
      <c r="D35" s="76" t="s">
        <v>65</v>
      </c>
      <c r="E35" s="77"/>
      <c r="F35" s="78">
        <v>3</v>
      </c>
      <c r="G35" s="78">
        <v>1136.32</v>
      </c>
      <c r="H35" s="79">
        <f t="shared" si="3"/>
        <v>3.40896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10</v>
      </c>
      <c r="B37" s="76" t="s">
        <v>26</v>
      </c>
      <c r="C37" s="65" t="s">
        <v>32</v>
      </c>
      <c r="D37" s="76"/>
      <c r="E37" s="77"/>
      <c r="F37" s="78">
        <v>15</v>
      </c>
      <c r="G37" s="78">
        <v>1527.22</v>
      </c>
      <c r="H37" s="79">
        <f>SUM(F37*G37/1000)</f>
        <v>22.908300000000001</v>
      </c>
      <c r="I37" s="13">
        <f t="shared" ref="I37:I42" si="4">F37/6*G37</f>
        <v>3818.05</v>
      </c>
      <c r="J37" s="24"/>
    </row>
    <row r="38" spans="1:14" ht="15.75" hidden="1" customHeight="1">
      <c r="A38" s="35">
        <v>11</v>
      </c>
      <c r="B38" s="76" t="s">
        <v>66</v>
      </c>
      <c r="C38" s="65" t="s">
        <v>29</v>
      </c>
      <c r="D38" s="76" t="s">
        <v>108</v>
      </c>
      <c r="E38" s="78">
        <v>547.85</v>
      </c>
      <c r="F38" s="78">
        <f>SUM(E38*50/1000)</f>
        <v>27.392499999999998</v>
      </c>
      <c r="G38" s="78">
        <v>2102.71</v>
      </c>
      <c r="H38" s="79">
        <f t="shared" ref="H38:H42" si="5">SUM(F38*G38/1000)</f>
        <v>57.598483674999997</v>
      </c>
      <c r="I38" s="13">
        <f t="shared" si="4"/>
        <v>9599.747279166666</v>
      </c>
      <c r="J38" s="24"/>
    </row>
    <row r="39" spans="1:14" ht="15.75" hidden="1" customHeight="1">
      <c r="A39" s="35">
        <v>12</v>
      </c>
      <c r="B39" s="76" t="s">
        <v>67</v>
      </c>
      <c r="C39" s="65" t="s">
        <v>29</v>
      </c>
      <c r="D39" s="76" t="s">
        <v>109</v>
      </c>
      <c r="E39" s="78">
        <v>140</v>
      </c>
      <c r="F39" s="78">
        <f>SUM(E39*155/1000)</f>
        <v>21.7</v>
      </c>
      <c r="G39" s="78">
        <v>350.75</v>
      </c>
      <c r="H39" s="79">
        <f t="shared" si="5"/>
        <v>7.611275</v>
      </c>
      <c r="I39" s="13">
        <f t="shared" si="4"/>
        <v>1268.5458333333333</v>
      </c>
      <c r="J39" s="24"/>
    </row>
    <row r="40" spans="1:14" ht="31.5" hidden="1" customHeight="1">
      <c r="A40" s="35">
        <v>13</v>
      </c>
      <c r="B40" s="76" t="s">
        <v>79</v>
      </c>
      <c r="C40" s="65" t="s">
        <v>105</v>
      </c>
      <c r="D40" s="76" t="s">
        <v>127</v>
      </c>
      <c r="E40" s="78">
        <v>140</v>
      </c>
      <c r="F40" s="78">
        <f>SUM(E40*12/1000)</f>
        <v>1.68</v>
      </c>
      <c r="G40" s="78">
        <v>5803.28</v>
      </c>
      <c r="H40" s="79">
        <f t="shared" si="5"/>
        <v>9.7495103999999984</v>
      </c>
      <c r="I40" s="13">
        <f t="shared" si="4"/>
        <v>1624.9183999999998</v>
      </c>
      <c r="J40" s="24"/>
    </row>
    <row r="41" spans="1:14" ht="15.75" hidden="1" customHeight="1">
      <c r="A41" s="35">
        <v>14</v>
      </c>
      <c r="B41" s="76" t="s">
        <v>110</v>
      </c>
      <c r="C41" s="65" t="s">
        <v>105</v>
      </c>
      <c r="D41" s="76" t="s">
        <v>68</v>
      </c>
      <c r="E41" s="78">
        <v>140</v>
      </c>
      <c r="F41" s="78">
        <f>SUM(E41*45/1000)</f>
        <v>6.3</v>
      </c>
      <c r="G41" s="78">
        <v>428.7</v>
      </c>
      <c r="H41" s="79">
        <f t="shared" si="5"/>
        <v>2.7008100000000002</v>
      </c>
      <c r="I41" s="13">
        <f t="shared" si="4"/>
        <v>450.13499999999999</v>
      </c>
      <c r="J41" s="24"/>
    </row>
    <row r="42" spans="1:14" ht="15.75" hidden="1" customHeight="1">
      <c r="A42" s="35">
        <v>15</v>
      </c>
      <c r="B42" s="76" t="s">
        <v>69</v>
      </c>
      <c r="C42" s="65" t="s">
        <v>33</v>
      </c>
      <c r="D42" s="76"/>
      <c r="E42" s="77"/>
      <c r="F42" s="78">
        <v>0.9</v>
      </c>
      <c r="G42" s="78">
        <v>798</v>
      </c>
      <c r="H42" s="79">
        <f t="shared" si="5"/>
        <v>0.71820000000000006</v>
      </c>
      <c r="I42" s="13">
        <f t="shared" si="4"/>
        <v>119.69999999999999</v>
      </c>
      <c r="J42" s="24"/>
      <c r="L42" s="20"/>
      <c r="M42" s="21"/>
      <c r="N42" s="22"/>
    </row>
    <row r="43" spans="1:14" ht="15.75" customHeight="1">
      <c r="A43" s="185" t="s">
        <v>136</v>
      </c>
      <c r="B43" s="186"/>
      <c r="C43" s="186"/>
      <c r="D43" s="186"/>
      <c r="E43" s="186"/>
      <c r="F43" s="186"/>
      <c r="G43" s="186"/>
      <c r="H43" s="186"/>
      <c r="I43" s="187"/>
      <c r="J43" s="24"/>
      <c r="L43" s="20"/>
      <c r="M43" s="21"/>
      <c r="N43" s="22"/>
    </row>
    <row r="44" spans="1:14" ht="15.75" customHeight="1">
      <c r="A44" s="45">
        <v>10</v>
      </c>
      <c r="B44" s="34" t="s">
        <v>111</v>
      </c>
      <c r="C44" s="44" t="s">
        <v>105</v>
      </c>
      <c r="D44" s="34" t="s">
        <v>178</v>
      </c>
      <c r="E44" s="132">
        <v>1640.4</v>
      </c>
      <c r="F44" s="33">
        <f>SUM(E44*2/1000)</f>
        <v>3.2808000000000002</v>
      </c>
      <c r="G44" s="38">
        <v>1217.79</v>
      </c>
      <c r="H44" s="79">
        <f t="shared" ref="H44:H52" si="6">SUM(F44*G44/1000)</f>
        <v>3.995325432</v>
      </c>
      <c r="I44" s="13">
        <f t="shared" ref="I44:I46" si="7">F44/2*G44</f>
        <v>1997.662716</v>
      </c>
      <c r="J44" s="24"/>
      <c r="L44" s="20"/>
      <c r="M44" s="21"/>
      <c r="N44" s="22"/>
    </row>
    <row r="45" spans="1:14" ht="15.75" customHeight="1">
      <c r="A45" s="45">
        <v>11</v>
      </c>
      <c r="B45" s="34" t="s">
        <v>34</v>
      </c>
      <c r="C45" s="44" t="s">
        <v>105</v>
      </c>
      <c r="D45" s="34" t="s">
        <v>178</v>
      </c>
      <c r="E45" s="132">
        <v>161.30000000000001</v>
      </c>
      <c r="F45" s="33">
        <f>SUM(E45*2/1000)</f>
        <v>0.3226</v>
      </c>
      <c r="G45" s="38">
        <v>830.69</v>
      </c>
      <c r="H45" s="79">
        <f t="shared" si="6"/>
        <v>0.26798059400000002</v>
      </c>
      <c r="I45" s="13">
        <f t="shared" si="7"/>
        <v>133.990297</v>
      </c>
      <c r="J45" s="24"/>
      <c r="L45" s="20"/>
      <c r="M45" s="21"/>
      <c r="N45" s="22"/>
    </row>
    <row r="46" spans="1:14" ht="15.75" customHeight="1">
      <c r="A46" s="45">
        <v>12</v>
      </c>
      <c r="B46" s="34" t="s">
        <v>35</v>
      </c>
      <c r="C46" s="44" t="s">
        <v>105</v>
      </c>
      <c r="D46" s="34" t="s">
        <v>178</v>
      </c>
      <c r="E46" s="132">
        <v>5592.26</v>
      </c>
      <c r="F46" s="33">
        <f>SUM(E46*2/1000)</f>
        <v>11.184520000000001</v>
      </c>
      <c r="G46" s="38">
        <v>830.69</v>
      </c>
      <c r="H46" s="79">
        <f t="shared" si="6"/>
        <v>9.2908689188000011</v>
      </c>
      <c r="I46" s="13">
        <f t="shared" si="7"/>
        <v>4645.4344594000004</v>
      </c>
      <c r="J46" s="24"/>
      <c r="L46" s="20"/>
      <c r="M46" s="21"/>
      <c r="N46" s="22"/>
    </row>
    <row r="47" spans="1:14" ht="15.75" customHeight="1">
      <c r="A47" s="45">
        <v>13</v>
      </c>
      <c r="B47" s="34" t="s">
        <v>36</v>
      </c>
      <c r="C47" s="44" t="s">
        <v>105</v>
      </c>
      <c r="D47" s="34" t="s">
        <v>178</v>
      </c>
      <c r="E47" s="132">
        <v>2817.65</v>
      </c>
      <c r="F47" s="33">
        <f>SUM(E47*2/1000)</f>
        <v>5.6353</v>
      </c>
      <c r="G47" s="38">
        <v>869.86</v>
      </c>
      <c r="H47" s="79">
        <f t="shared" si="6"/>
        <v>4.9019220580000002</v>
      </c>
      <c r="I47" s="13">
        <f>F47/2*G47</f>
        <v>2450.9610290000001</v>
      </c>
      <c r="J47" s="24"/>
      <c r="L47" s="20"/>
      <c r="M47" s="21"/>
      <c r="N47" s="22"/>
    </row>
    <row r="48" spans="1:14" ht="15.75" customHeight="1">
      <c r="A48" s="45">
        <v>14</v>
      </c>
      <c r="B48" s="34" t="s">
        <v>55</v>
      </c>
      <c r="C48" s="44" t="s">
        <v>105</v>
      </c>
      <c r="D48" s="34" t="s">
        <v>178</v>
      </c>
      <c r="E48" s="132">
        <v>3280.8</v>
      </c>
      <c r="F48" s="33">
        <f>SUM(E48*5/1000)</f>
        <v>16.404</v>
      </c>
      <c r="G48" s="38">
        <v>1739.68</v>
      </c>
      <c r="H48" s="79">
        <f t="shared" si="6"/>
        <v>28.53771072</v>
      </c>
      <c r="I48" s="13">
        <f>F48/5*G48</f>
        <v>5707.5421440000009</v>
      </c>
      <c r="J48" s="24"/>
      <c r="L48" s="20"/>
      <c r="M48" s="21"/>
      <c r="N48" s="22"/>
    </row>
    <row r="49" spans="1:14" ht="31.5" customHeight="1">
      <c r="A49" s="45">
        <v>15</v>
      </c>
      <c r="B49" s="34" t="s">
        <v>112</v>
      </c>
      <c r="C49" s="44" t="s">
        <v>105</v>
      </c>
      <c r="D49" s="34" t="s">
        <v>178</v>
      </c>
      <c r="E49" s="132">
        <v>3280.8</v>
      </c>
      <c r="F49" s="33">
        <f>SUM(E49*2/1000)</f>
        <v>6.5616000000000003</v>
      </c>
      <c r="G49" s="38">
        <v>1739.68</v>
      </c>
      <c r="H49" s="79">
        <f t="shared" si="6"/>
        <v>11.415084288000001</v>
      </c>
      <c r="I49" s="13">
        <f>F49/2*G49</f>
        <v>5707.5421440000009</v>
      </c>
      <c r="J49" s="24"/>
      <c r="L49" s="20"/>
      <c r="M49" s="21"/>
      <c r="N49" s="22"/>
    </row>
    <row r="50" spans="1:14" ht="31.5" customHeight="1">
      <c r="A50" s="45">
        <v>16</v>
      </c>
      <c r="B50" s="34" t="s">
        <v>128</v>
      </c>
      <c r="C50" s="44" t="s">
        <v>37</v>
      </c>
      <c r="D50" s="34" t="s">
        <v>178</v>
      </c>
      <c r="E50" s="132">
        <v>40</v>
      </c>
      <c r="F50" s="33">
        <f>SUM(E50*2/100)</f>
        <v>0.8</v>
      </c>
      <c r="G50" s="38">
        <v>3914.31</v>
      </c>
      <c r="H50" s="79">
        <f t="shared" si="6"/>
        <v>3.1314480000000002</v>
      </c>
      <c r="I50" s="13">
        <f>F50/2*G50</f>
        <v>1565.7240000000002</v>
      </c>
      <c r="J50" s="24"/>
      <c r="L50" s="20"/>
      <c r="M50" s="21"/>
      <c r="N50" s="22"/>
    </row>
    <row r="51" spans="1:14" ht="15.75" customHeight="1">
      <c r="A51" s="45">
        <v>17</v>
      </c>
      <c r="B51" s="34" t="s">
        <v>38</v>
      </c>
      <c r="C51" s="44" t="s">
        <v>39</v>
      </c>
      <c r="D51" s="34" t="s">
        <v>178</v>
      </c>
      <c r="E51" s="132">
        <v>1</v>
      </c>
      <c r="F51" s="33">
        <v>0.02</v>
      </c>
      <c r="G51" s="38">
        <v>8102.62</v>
      </c>
      <c r="H51" s="79">
        <f t="shared" si="6"/>
        <v>0.16205240000000001</v>
      </c>
      <c r="I51" s="13">
        <f>F51/2*G51</f>
        <v>81.026200000000003</v>
      </c>
      <c r="J51" s="24"/>
      <c r="L51" s="20"/>
      <c r="M51" s="21"/>
      <c r="N51" s="22"/>
    </row>
    <row r="52" spans="1:14" ht="15.75" hidden="1" customHeight="1">
      <c r="A52" s="45">
        <v>14</v>
      </c>
      <c r="B52" s="34" t="s">
        <v>40</v>
      </c>
      <c r="C52" s="44" t="s">
        <v>113</v>
      </c>
      <c r="D52" s="34" t="s">
        <v>70</v>
      </c>
      <c r="E52" s="132">
        <v>238</v>
      </c>
      <c r="F52" s="33">
        <f>SUM(E52)*3</f>
        <v>714</v>
      </c>
      <c r="G52" s="39">
        <v>87.32</v>
      </c>
      <c r="H52" s="79">
        <f t="shared" si="6"/>
        <v>62.346479999999993</v>
      </c>
      <c r="I52" s="13">
        <f>E52*G52</f>
        <v>20782.16</v>
      </c>
      <c r="J52" s="24"/>
      <c r="L52" s="20"/>
      <c r="M52" s="21"/>
      <c r="N52" s="22"/>
    </row>
    <row r="53" spans="1:14" ht="15.75" customHeight="1">
      <c r="A53" s="185" t="s">
        <v>137</v>
      </c>
      <c r="B53" s="186"/>
      <c r="C53" s="186"/>
      <c r="D53" s="186"/>
      <c r="E53" s="186"/>
      <c r="F53" s="186"/>
      <c r="G53" s="186"/>
      <c r="H53" s="186"/>
      <c r="I53" s="187"/>
      <c r="J53" s="24"/>
      <c r="L53" s="20"/>
      <c r="M53" s="21"/>
      <c r="N53" s="22"/>
    </row>
    <row r="54" spans="1:14" ht="15.75" hidden="1" customHeight="1">
      <c r="A54" s="127"/>
      <c r="B54" s="52" t="s">
        <v>42</v>
      </c>
      <c r="C54" s="17"/>
      <c r="D54" s="16"/>
      <c r="E54" s="16"/>
      <c r="F54" s="16"/>
      <c r="G54" s="30"/>
      <c r="H54" s="30"/>
      <c r="I54" s="19"/>
      <c r="J54" s="24"/>
      <c r="L54" s="20"/>
      <c r="M54" s="21"/>
      <c r="N54" s="22"/>
    </row>
    <row r="55" spans="1:14" ht="15.75" hidden="1" customHeight="1">
      <c r="A55" s="45">
        <v>15</v>
      </c>
      <c r="B55" s="76" t="s">
        <v>130</v>
      </c>
      <c r="C55" s="65" t="s">
        <v>98</v>
      </c>
      <c r="D55" s="76" t="s">
        <v>53</v>
      </c>
      <c r="E55" s="85">
        <v>1640.4</v>
      </c>
      <c r="F55" s="13">
        <f>E55/100</f>
        <v>16.404</v>
      </c>
      <c r="G55" s="78">
        <v>472.59</v>
      </c>
      <c r="H55" s="79">
        <f>SUM(F55*G55/1000)</f>
        <v>7.7523663599999999</v>
      </c>
      <c r="I55" s="13">
        <v>0</v>
      </c>
      <c r="J55" s="24"/>
      <c r="L55" s="20"/>
      <c r="M55" s="21"/>
      <c r="N55" s="22"/>
    </row>
    <row r="56" spans="1:14" ht="31.5" hidden="1" customHeight="1">
      <c r="A56" s="45">
        <v>18</v>
      </c>
      <c r="B56" s="76" t="s">
        <v>131</v>
      </c>
      <c r="C56" s="65" t="s">
        <v>98</v>
      </c>
      <c r="D56" s="76" t="s">
        <v>132</v>
      </c>
      <c r="E56" s="77">
        <v>164.04</v>
      </c>
      <c r="F56" s="13">
        <f>E56*6/100</f>
        <v>9.8423999999999996</v>
      </c>
      <c r="G56" s="86">
        <v>1547.28</v>
      </c>
      <c r="H56" s="79">
        <f>F56*G56/1000</f>
        <v>15.228948671999998</v>
      </c>
      <c r="I56" s="13">
        <f>F56/6*G56</f>
        <v>2538.1581119999996</v>
      </c>
      <c r="J56" s="24"/>
      <c r="L56" s="20"/>
      <c r="M56" s="21"/>
      <c r="N56" s="22"/>
    </row>
    <row r="57" spans="1:14" ht="15.75" hidden="1" customHeight="1">
      <c r="A57" s="45">
        <v>19</v>
      </c>
      <c r="B57" s="87" t="s">
        <v>89</v>
      </c>
      <c r="C57" s="88" t="s">
        <v>98</v>
      </c>
      <c r="D57" s="87" t="s">
        <v>133</v>
      </c>
      <c r="E57" s="89">
        <v>8</v>
      </c>
      <c r="F57" s="90">
        <f>E57*8/100</f>
        <v>0.64</v>
      </c>
      <c r="G57" s="86">
        <v>1547.28</v>
      </c>
      <c r="H57" s="91">
        <f>F57*G57/1000</f>
        <v>0.99025920000000001</v>
      </c>
      <c r="I57" s="13">
        <f>F57/6*G57</f>
        <v>165.04320000000001</v>
      </c>
      <c r="J57" s="24"/>
      <c r="L57" s="20"/>
      <c r="M57" s="21"/>
      <c r="N57" s="22"/>
    </row>
    <row r="58" spans="1:14" ht="15.75" hidden="1" customHeight="1">
      <c r="A58" s="45"/>
      <c r="B58" s="87" t="s">
        <v>93</v>
      </c>
      <c r="C58" s="88" t="s">
        <v>94</v>
      </c>
      <c r="D58" s="87" t="s">
        <v>41</v>
      </c>
      <c r="E58" s="89">
        <v>8</v>
      </c>
      <c r="F58" s="90">
        <v>16</v>
      </c>
      <c r="G58" s="92">
        <v>180.78</v>
      </c>
      <c r="H58" s="91">
        <f>F58*G58/1000</f>
        <v>2.8924799999999999</v>
      </c>
      <c r="I58" s="13">
        <v>0</v>
      </c>
      <c r="J58" s="24"/>
      <c r="L58" s="20"/>
      <c r="M58" s="21"/>
      <c r="N58" s="22"/>
    </row>
    <row r="59" spans="1:14" ht="15.75" customHeight="1">
      <c r="A59" s="45"/>
      <c r="B59" s="128" t="s">
        <v>43</v>
      </c>
      <c r="C59" s="128"/>
      <c r="D59" s="128"/>
      <c r="E59" s="128"/>
      <c r="F59" s="128"/>
      <c r="G59" s="128"/>
      <c r="H59" s="128"/>
      <c r="I59" s="37"/>
      <c r="J59" s="24"/>
      <c r="L59" s="20"/>
      <c r="M59" s="21"/>
      <c r="N59" s="22"/>
    </row>
    <row r="60" spans="1:14" ht="15.75" customHeight="1">
      <c r="A60" s="45">
        <v>18</v>
      </c>
      <c r="B60" s="87" t="s">
        <v>90</v>
      </c>
      <c r="C60" s="88" t="s">
        <v>25</v>
      </c>
      <c r="D60" s="87" t="s">
        <v>178</v>
      </c>
      <c r="E60" s="89">
        <v>329.4</v>
      </c>
      <c r="F60" s="90">
        <v>2400</v>
      </c>
      <c r="G60" s="93">
        <v>1.4</v>
      </c>
      <c r="H60" s="91">
        <f>G60*F60</f>
        <v>3360</v>
      </c>
      <c r="I60" s="13">
        <f>F60/12*G60</f>
        <v>280</v>
      </c>
      <c r="J60" s="24"/>
      <c r="L60" s="20"/>
      <c r="M60" s="21"/>
      <c r="N60" s="22"/>
    </row>
    <row r="61" spans="1:14" ht="15.75" hidden="1" customHeight="1">
      <c r="A61" s="45"/>
      <c r="B61" s="87" t="s">
        <v>44</v>
      </c>
      <c r="C61" s="88" t="s">
        <v>25</v>
      </c>
      <c r="D61" s="87" t="s">
        <v>53</v>
      </c>
      <c r="E61" s="89">
        <v>1640.4</v>
      </c>
      <c r="F61" s="90">
        <v>16.404</v>
      </c>
      <c r="G61" s="94">
        <v>739.61</v>
      </c>
      <c r="H61" s="91">
        <f>G61*F61/1000</f>
        <v>12.132562439999999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128" t="s">
        <v>45</v>
      </c>
      <c r="C62" s="17"/>
      <c r="D62" s="41"/>
      <c r="E62" s="41"/>
      <c r="F62" s="16"/>
      <c r="G62" s="30"/>
      <c r="H62" s="30"/>
      <c r="I62" s="19"/>
      <c r="J62" s="24"/>
      <c r="L62" s="20"/>
      <c r="M62" s="21"/>
      <c r="N62" s="22"/>
    </row>
    <row r="63" spans="1:14" ht="15.75" customHeight="1">
      <c r="A63" s="45">
        <v>19</v>
      </c>
      <c r="B63" s="123" t="s">
        <v>46</v>
      </c>
      <c r="C63" s="42" t="s">
        <v>113</v>
      </c>
      <c r="D63" s="41" t="s">
        <v>296</v>
      </c>
      <c r="E63" s="18">
        <v>24</v>
      </c>
      <c r="F63" s="33">
        <f>E63*1</f>
        <v>24</v>
      </c>
      <c r="G63" s="38">
        <v>318.82</v>
      </c>
      <c r="H63" s="73">
        <f t="shared" ref="H63:H70" si="8">SUM(F63*G63/1000)</f>
        <v>7.6516800000000007</v>
      </c>
      <c r="I63" s="13">
        <f>G63*14</f>
        <v>4463.4799999999996</v>
      </c>
      <c r="J63" s="24"/>
      <c r="L63" s="20"/>
      <c r="M63" s="21"/>
      <c r="N63" s="22"/>
    </row>
    <row r="64" spans="1:14" ht="15.75" hidden="1" customHeight="1">
      <c r="A64" s="30">
        <v>29</v>
      </c>
      <c r="B64" s="123" t="s">
        <v>47</v>
      </c>
      <c r="C64" s="42" t="s">
        <v>113</v>
      </c>
      <c r="D64" s="41" t="s">
        <v>187</v>
      </c>
      <c r="E64" s="18">
        <v>24</v>
      </c>
      <c r="F64" s="33">
        <f>E64*1</f>
        <v>24</v>
      </c>
      <c r="G64" s="38">
        <v>109.32</v>
      </c>
      <c r="H64" s="73">
        <f t="shared" si="8"/>
        <v>2.6236799999999998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26</v>
      </c>
      <c r="B65" s="123" t="s">
        <v>48</v>
      </c>
      <c r="C65" s="133" t="s">
        <v>114</v>
      </c>
      <c r="D65" s="41" t="s">
        <v>53</v>
      </c>
      <c r="E65" s="132">
        <v>18281</v>
      </c>
      <c r="F65" s="39">
        <f>SUM(E65/100)</f>
        <v>182.81</v>
      </c>
      <c r="G65" s="38">
        <v>304.13</v>
      </c>
      <c r="H65" s="73">
        <f t="shared" si="8"/>
        <v>55.598005299999997</v>
      </c>
      <c r="I65" s="13">
        <f>F65*G65</f>
        <v>55598.005299999997</v>
      </c>
      <c r="J65" s="24"/>
      <c r="L65" s="20"/>
      <c r="M65" s="21"/>
      <c r="N65" s="22"/>
    </row>
    <row r="66" spans="1:22" ht="15.75" hidden="1" customHeight="1">
      <c r="A66" s="30">
        <v>27</v>
      </c>
      <c r="B66" s="123" t="s">
        <v>49</v>
      </c>
      <c r="C66" s="42" t="s">
        <v>115</v>
      </c>
      <c r="D66" s="41"/>
      <c r="E66" s="132">
        <v>18281</v>
      </c>
      <c r="F66" s="38">
        <f>SUM(E66/1000)</f>
        <v>18.280999999999999</v>
      </c>
      <c r="G66" s="38">
        <v>236.84</v>
      </c>
      <c r="H66" s="73">
        <f t="shared" si="8"/>
        <v>4.3296720399999993</v>
      </c>
      <c r="I66" s="13">
        <f t="shared" ref="I66:I69" si="9">F66*G66</f>
        <v>4329.6720399999995</v>
      </c>
      <c r="J66" s="24"/>
      <c r="L66" s="20"/>
      <c r="M66" s="21"/>
      <c r="N66" s="22"/>
    </row>
    <row r="67" spans="1:22" ht="15.75" hidden="1" customHeight="1">
      <c r="A67" s="30">
        <v>28</v>
      </c>
      <c r="B67" s="123" t="s">
        <v>50</v>
      </c>
      <c r="C67" s="42" t="s">
        <v>74</v>
      </c>
      <c r="D67" s="41" t="s">
        <v>53</v>
      </c>
      <c r="E67" s="132">
        <v>2730</v>
      </c>
      <c r="F67" s="38">
        <f>SUM(E67/100)</f>
        <v>27.3</v>
      </c>
      <c r="G67" s="38">
        <v>2974.1</v>
      </c>
      <c r="H67" s="73">
        <f t="shared" si="8"/>
        <v>81.19292999999999</v>
      </c>
      <c r="I67" s="13">
        <f t="shared" si="9"/>
        <v>81192.929999999993</v>
      </c>
      <c r="J67" s="24"/>
      <c r="L67" s="20"/>
    </row>
    <row r="68" spans="1:22" ht="15.75" hidden="1" customHeight="1">
      <c r="A68" s="30">
        <v>29</v>
      </c>
      <c r="B68" s="134" t="s">
        <v>116</v>
      </c>
      <c r="C68" s="42" t="s">
        <v>33</v>
      </c>
      <c r="D68" s="41"/>
      <c r="E68" s="132">
        <v>20.100000000000001</v>
      </c>
      <c r="F68" s="38">
        <f>SUM(E68)</f>
        <v>20.100000000000001</v>
      </c>
      <c r="G68" s="38">
        <v>47.98</v>
      </c>
      <c r="H68" s="73">
        <f t="shared" si="8"/>
        <v>0.96439799999999998</v>
      </c>
      <c r="I68" s="13">
        <f t="shared" si="9"/>
        <v>964.39800000000002</v>
      </c>
    </row>
    <row r="69" spans="1:22" ht="15.75" hidden="1" customHeight="1">
      <c r="A69" s="30">
        <v>30</v>
      </c>
      <c r="B69" s="134" t="s">
        <v>140</v>
      </c>
      <c r="C69" s="42" t="s">
        <v>33</v>
      </c>
      <c r="D69" s="41"/>
      <c r="E69" s="132">
        <v>20.100000000000001</v>
      </c>
      <c r="F69" s="38">
        <f>SUM(E69)</f>
        <v>20.100000000000001</v>
      </c>
      <c r="G69" s="38">
        <v>49.7</v>
      </c>
      <c r="H69" s="73">
        <f t="shared" si="8"/>
        <v>0.99897000000000014</v>
      </c>
      <c r="I69" s="13">
        <f t="shared" si="9"/>
        <v>998.97000000000014</v>
      </c>
    </row>
    <row r="70" spans="1:22" ht="15.75" customHeight="1">
      <c r="A70" s="30">
        <v>20</v>
      </c>
      <c r="B70" s="41" t="s">
        <v>56</v>
      </c>
      <c r="C70" s="42" t="s">
        <v>57</v>
      </c>
      <c r="D70" s="41" t="s">
        <v>179</v>
      </c>
      <c r="E70" s="18">
        <v>8</v>
      </c>
      <c r="F70" s="33">
        <f>SUM(E70)</f>
        <v>8</v>
      </c>
      <c r="G70" s="38">
        <v>71.510000000000005</v>
      </c>
      <c r="H70" s="73">
        <f t="shared" si="8"/>
        <v>0.57208000000000003</v>
      </c>
      <c r="I70" s="13">
        <f>G70*12</f>
        <v>858.12000000000012</v>
      </c>
    </row>
    <row r="71" spans="1:22" ht="15.75" hidden="1" customHeight="1">
      <c r="A71" s="127"/>
      <c r="B71" s="128" t="s">
        <v>117</v>
      </c>
      <c r="C71" s="128"/>
      <c r="D71" s="128"/>
      <c r="E71" s="128"/>
      <c r="F71" s="128"/>
      <c r="G71" s="128"/>
      <c r="H71" s="128"/>
      <c r="I71" s="1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9"/>
    </row>
    <row r="72" spans="1:22" ht="15.75" hidden="1" customHeight="1">
      <c r="A72" s="30">
        <v>16</v>
      </c>
      <c r="B72" s="76" t="s">
        <v>118</v>
      </c>
      <c r="C72" s="17"/>
      <c r="D72" s="15"/>
      <c r="E72" s="74"/>
      <c r="F72" s="13">
        <v>1</v>
      </c>
      <c r="G72" s="13">
        <v>27356</v>
      </c>
      <c r="H72" s="73">
        <f>G72*F72/1000</f>
        <v>27.356000000000002</v>
      </c>
      <c r="I72" s="13">
        <f>G72</f>
        <v>27356</v>
      </c>
      <c r="J72" s="26"/>
      <c r="K72" s="26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2" ht="15.75" customHeight="1">
      <c r="A73" s="30"/>
      <c r="B73" s="53" t="s">
        <v>71</v>
      </c>
      <c r="C73" s="53"/>
      <c r="D73" s="53"/>
      <c r="E73" s="53"/>
      <c r="F73" s="19"/>
      <c r="G73" s="30"/>
      <c r="H73" s="30"/>
      <c r="I73" s="19"/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2" ht="15.75" hidden="1" customHeight="1">
      <c r="A74" s="30"/>
      <c r="B74" s="15" t="s">
        <v>83</v>
      </c>
      <c r="C74" s="17" t="s">
        <v>31</v>
      </c>
      <c r="D74" s="15"/>
      <c r="E74" s="19">
        <v>2</v>
      </c>
      <c r="F74" s="78">
        <f>SUM(E74)</f>
        <v>2</v>
      </c>
      <c r="G74" s="13">
        <v>358.51</v>
      </c>
      <c r="H74" s="73">
        <f>SUM(F74*G74/1000)</f>
        <v>0.71701999999999999</v>
      </c>
      <c r="I74" s="13">
        <v>0</v>
      </c>
      <c r="J74" s="5"/>
      <c r="K74" s="5"/>
      <c r="L74" s="5"/>
      <c r="M74" s="5"/>
      <c r="N74" s="5"/>
      <c r="O74" s="5"/>
      <c r="P74" s="5"/>
      <c r="Q74" s="5"/>
      <c r="R74" s="178"/>
      <c r="S74" s="178"/>
      <c r="T74" s="178"/>
      <c r="U74" s="178"/>
    </row>
    <row r="75" spans="1:22" ht="15.75" hidden="1" customHeight="1">
      <c r="A75" s="30"/>
      <c r="B75" s="15" t="s">
        <v>72</v>
      </c>
      <c r="C75" s="17" t="s">
        <v>31</v>
      </c>
      <c r="D75" s="15"/>
      <c r="E75" s="19">
        <v>1</v>
      </c>
      <c r="F75" s="13">
        <v>1</v>
      </c>
      <c r="G75" s="13">
        <v>852.99</v>
      </c>
      <c r="H75" s="73">
        <f>F75*G75/1000</f>
        <v>0.85299000000000003</v>
      </c>
      <c r="I75" s="13">
        <v>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2" ht="27.75" customHeight="1">
      <c r="A76" s="30">
        <v>21</v>
      </c>
      <c r="B76" s="41" t="s">
        <v>191</v>
      </c>
      <c r="C76" s="42" t="s">
        <v>113</v>
      </c>
      <c r="D76" s="41" t="s">
        <v>179</v>
      </c>
      <c r="E76" s="18">
        <v>2</v>
      </c>
      <c r="F76" s="38">
        <f>E76*12</f>
        <v>24</v>
      </c>
      <c r="G76" s="38">
        <v>404</v>
      </c>
      <c r="H76" s="73"/>
      <c r="I76" s="13">
        <f>G76*F76/12</f>
        <v>808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2" ht="15.75" customHeight="1">
      <c r="A77" s="30">
        <v>22</v>
      </c>
      <c r="B77" s="41" t="s">
        <v>192</v>
      </c>
      <c r="C77" s="42" t="s">
        <v>113</v>
      </c>
      <c r="D77" s="41" t="s">
        <v>179</v>
      </c>
      <c r="E77" s="18">
        <v>1</v>
      </c>
      <c r="F77" s="38">
        <f>E77*12</f>
        <v>12</v>
      </c>
      <c r="G77" s="38">
        <v>1759</v>
      </c>
      <c r="H77" s="73"/>
      <c r="I77" s="13">
        <f>G77*F77/12</f>
        <v>1759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0"/>
      <c r="B78" s="54" t="s">
        <v>73</v>
      </c>
      <c r="C78" s="42"/>
      <c r="D78" s="30"/>
      <c r="E78" s="30"/>
      <c r="F78" s="19"/>
      <c r="G78" s="38" t="s">
        <v>134</v>
      </c>
      <c r="H78" s="38"/>
      <c r="I78" s="19"/>
    </row>
    <row r="79" spans="1:22" ht="15.75" hidden="1" customHeight="1">
      <c r="A79" s="30">
        <v>39</v>
      </c>
      <c r="B79" s="56" t="s">
        <v>119</v>
      </c>
      <c r="C79" s="17" t="s">
        <v>74</v>
      </c>
      <c r="D79" s="15"/>
      <c r="E79" s="19"/>
      <c r="F79" s="13">
        <v>1.35</v>
      </c>
      <c r="G79" s="13">
        <v>2759.44</v>
      </c>
      <c r="H79" s="73">
        <f>SUM(F79*G79/1000)</f>
        <v>3.725244</v>
      </c>
      <c r="I79" s="13">
        <v>0</v>
      </c>
    </row>
    <row r="80" spans="1:22" ht="15.75" customHeight="1">
      <c r="A80" s="30"/>
      <c r="B80" s="135" t="s">
        <v>188</v>
      </c>
      <c r="C80" s="42"/>
      <c r="D80" s="41"/>
      <c r="E80" s="18"/>
      <c r="F80" s="136"/>
      <c r="G80" s="38"/>
      <c r="H80" s="73"/>
      <c r="I80" s="13"/>
    </row>
    <row r="81" spans="1:9" ht="30" customHeight="1">
      <c r="A81" s="30">
        <v>23</v>
      </c>
      <c r="B81" s="41" t="s">
        <v>189</v>
      </c>
      <c r="C81" s="45" t="s">
        <v>190</v>
      </c>
      <c r="D81" s="41"/>
      <c r="E81" s="18">
        <v>5926.8</v>
      </c>
      <c r="F81" s="38">
        <f>E81*12</f>
        <v>71121.600000000006</v>
      </c>
      <c r="G81" s="38">
        <v>2.4900000000000002</v>
      </c>
      <c r="H81" s="13"/>
      <c r="I81" s="13">
        <f>G81*F81/12</f>
        <v>14757.732000000004</v>
      </c>
    </row>
    <row r="82" spans="1:9" ht="15.75" customHeight="1">
      <c r="A82" s="184" t="s">
        <v>138</v>
      </c>
      <c r="B82" s="184"/>
      <c r="C82" s="184"/>
      <c r="D82" s="184"/>
      <c r="E82" s="184"/>
      <c r="F82" s="184"/>
      <c r="G82" s="184"/>
      <c r="H82" s="184"/>
      <c r="I82" s="184"/>
    </row>
    <row r="83" spans="1:9" ht="15.75" customHeight="1">
      <c r="A83" s="129">
        <v>24</v>
      </c>
      <c r="B83" s="141" t="s">
        <v>120</v>
      </c>
      <c r="C83" s="137" t="s">
        <v>54</v>
      </c>
      <c r="D83" s="138"/>
      <c r="E83" s="139">
        <v>5926.8</v>
      </c>
      <c r="F83" s="139">
        <f>SUM(E83*12)</f>
        <v>71121.600000000006</v>
      </c>
      <c r="G83" s="140">
        <v>3.38</v>
      </c>
      <c r="H83" s="130">
        <f>SUM(F83*G83/1000)</f>
        <v>240.391008</v>
      </c>
      <c r="I83" s="131">
        <f>F83/12*G83</f>
        <v>20032.583999999999</v>
      </c>
    </row>
    <row r="84" spans="1:9" ht="31.5" customHeight="1">
      <c r="A84" s="30">
        <v>25</v>
      </c>
      <c r="B84" s="41" t="s">
        <v>193</v>
      </c>
      <c r="C84" s="42"/>
      <c r="D84" s="63"/>
      <c r="E84" s="132">
        <f>E83</f>
        <v>5926.8</v>
      </c>
      <c r="F84" s="38">
        <f>E84*12</f>
        <v>71121.600000000006</v>
      </c>
      <c r="G84" s="38">
        <v>3.05</v>
      </c>
      <c r="H84" s="73">
        <f>F84*G84/1000</f>
        <v>216.92088000000001</v>
      </c>
      <c r="I84" s="13">
        <f>F84/12*G84</f>
        <v>18076.739999999998</v>
      </c>
    </row>
    <row r="85" spans="1:9" ht="15.75" customHeight="1">
      <c r="A85" s="127"/>
      <c r="B85" s="43" t="s">
        <v>76</v>
      </c>
      <c r="C85" s="45"/>
      <c r="D85" s="16"/>
      <c r="E85" s="16"/>
      <c r="F85" s="16"/>
      <c r="G85" s="19"/>
      <c r="H85" s="19"/>
      <c r="I85" s="32">
        <f>I84+I83+I81+I77+I76+I70+I63+I60+I51+I50+I49+I48+I47+I46+I45+I44+I33+I31+I30+I27+I21+I20+I18+I17+I16</f>
        <v>120951.822099</v>
      </c>
    </row>
    <row r="86" spans="1:9" ht="15.75" customHeight="1">
      <c r="A86" s="172" t="s">
        <v>59</v>
      </c>
      <c r="B86" s="173"/>
      <c r="C86" s="173"/>
      <c r="D86" s="173"/>
      <c r="E86" s="173"/>
      <c r="F86" s="173"/>
      <c r="G86" s="173"/>
      <c r="H86" s="173"/>
      <c r="I86" s="174"/>
    </row>
    <row r="87" spans="1:9" ht="33.75" customHeight="1">
      <c r="A87" s="30">
        <v>26</v>
      </c>
      <c r="B87" s="97" t="s">
        <v>84</v>
      </c>
      <c r="C87" s="98" t="s">
        <v>86</v>
      </c>
      <c r="D87" s="63" t="s">
        <v>294</v>
      </c>
      <c r="E87" s="38"/>
      <c r="F87" s="38">
        <v>2</v>
      </c>
      <c r="G87" s="38">
        <v>670.51</v>
      </c>
      <c r="H87" s="73">
        <f t="shared" ref="H87" si="10">G87*F87/1000</f>
        <v>1.3410199999999999</v>
      </c>
      <c r="I87" s="13">
        <f>G87*1</f>
        <v>670.51</v>
      </c>
    </row>
    <row r="88" spans="1:9" ht="18" customHeight="1">
      <c r="A88" s="30">
        <v>27</v>
      </c>
      <c r="B88" s="159" t="s">
        <v>159</v>
      </c>
      <c r="C88" s="98" t="s">
        <v>167</v>
      </c>
      <c r="D88" s="63" t="s">
        <v>349</v>
      </c>
      <c r="E88" s="38"/>
      <c r="F88" s="38">
        <v>71</v>
      </c>
      <c r="G88" s="38">
        <v>284</v>
      </c>
      <c r="H88" s="73"/>
      <c r="I88" s="13">
        <v>0</v>
      </c>
    </row>
    <row r="89" spans="1:9" ht="19.5" customHeight="1">
      <c r="A89" s="30">
        <v>28</v>
      </c>
      <c r="B89" s="97" t="s">
        <v>297</v>
      </c>
      <c r="C89" s="98" t="s">
        <v>80</v>
      </c>
      <c r="D89" s="63"/>
      <c r="E89" s="38"/>
      <c r="F89" s="38">
        <v>1</v>
      </c>
      <c r="G89" s="38">
        <v>269.91000000000003</v>
      </c>
      <c r="H89" s="73"/>
      <c r="I89" s="13">
        <f>G89*1</f>
        <v>269.91000000000003</v>
      </c>
    </row>
    <row r="90" spans="1:9" ht="36" customHeight="1">
      <c r="A90" s="30">
        <v>29</v>
      </c>
      <c r="B90" s="97" t="s">
        <v>239</v>
      </c>
      <c r="C90" s="124" t="s">
        <v>146</v>
      </c>
      <c r="D90" s="41" t="s">
        <v>302</v>
      </c>
      <c r="E90" s="38"/>
      <c r="F90" s="38">
        <v>2</v>
      </c>
      <c r="G90" s="38">
        <v>335.5</v>
      </c>
      <c r="H90" s="73"/>
      <c r="I90" s="13">
        <f>G90*1</f>
        <v>335.5</v>
      </c>
    </row>
    <row r="91" spans="1:9" ht="33.75" customHeight="1">
      <c r="A91" s="30">
        <v>30</v>
      </c>
      <c r="B91" s="97" t="s">
        <v>194</v>
      </c>
      <c r="C91" s="98" t="s">
        <v>37</v>
      </c>
      <c r="D91" s="63" t="s">
        <v>178</v>
      </c>
      <c r="E91" s="38"/>
      <c r="F91" s="38">
        <v>0.05</v>
      </c>
      <c r="G91" s="38">
        <v>4070.89</v>
      </c>
      <c r="H91" s="73"/>
      <c r="I91" s="13">
        <v>0</v>
      </c>
    </row>
    <row r="92" spans="1:9" ht="16.5" customHeight="1">
      <c r="A92" s="30">
        <v>31</v>
      </c>
      <c r="B92" s="97" t="s">
        <v>298</v>
      </c>
      <c r="C92" s="98" t="s">
        <v>31</v>
      </c>
      <c r="D92" s="63" t="s">
        <v>301</v>
      </c>
      <c r="E92" s="38"/>
      <c r="F92" s="38">
        <v>1</v>
      </c>
      <c r="G92" s="38">
        <v>240.34</v>
      </c>
      <c r="H92" s="73"/>
      <c r="I92" s="13">
        <f>G92*1</f>
        <v>240.34</v>
      </c>
    </row>
    <row r="93" spans="1:9" ht="33.75" customHeight="1">
      <c r="A93" s="30">
        <v>32</v>
      </c>
      <c r="B93" s="97" t="s">
        <v>299</v>
      </c>
      <c r="C93" s="98" t="s">
        <v>77</v>
      </c>
      <c r="D93" s="63" t="s">
        <v>303</v>
      </c>
      <c r="E93" s="38"/>
      <c r="F93" s="38">
        <v>2</v>
      </c>
      <c r="G93" s="38">
        <v>1345.37</v>
      </c>
      <c r="H93" s="73"/>
      <c r="I93" s="13">
        <f>G93*2</f>
        <v>2690.74</v>
      </c>
    </row>
    <row r="94" spans="1:9" ht="15.75" customHeight="1">
      <c r="A94" s="30">
        <v>33</v>
      </c>
      <c r="B94" s="97" t="s">
        <v>300</v>
      </c>
      <c r="C94" s="98" t="s">
        <v>161</v>
      </c>
      <c r="D94" s="63" t="s">
        <v>304</v>
      </c>
      <c r="E94" s="38"/>
      <c r="F94" s="38">
        <v>2</v>
      </c>
      <c r="G94" s="38">
        <v>647</v>
      </c>
      <c r="H94" s="73"/>
      <c r="I94" s="13">
        <f>G94*2</f>
        <v>1294</v>
      </c>
    </row>
    <row r="95" spans="1:9" ht="30.75" customHeight="1">
      <c r="A95" s="30">
        <v>34</v>
      </c>
      <c r="B95" s="107" t="s">
        <v>195</v>
      </c>
      <c r="C95" s="45" t="s">
        <v>196</v>
      </c>
      <c r="D95" s="63" t="s">
        <v>268</v>
      </c>
      <c r="E95" s="38"/>
      <c r="F95" s="38">
        <v>1</v>
      </c>
      <c r="G95" s="38">
        <v>458.9</v>
      </c>
      <c r="H95" s="73"/>
      <c r="I95" s="13">
        <f>G95*1</f>
        <v>458.9</v>
      </c>
    </row>
    <row r="96" spans="1:9" ht="15.75" customHeight="1">
      <c r="A96" s="30">
        <v>35</v>
      </c>
      <c r="B96" s="97" t="s">
        <v>210</v>
      </c>
      <c r="C96" s="98" t="s">
        <v>29</v>
      </c>
      <c r="D96" s="63" t="s">
        <v>178</v>
      </c>
      <c r="E96" s="38"/>
      <c r="F96" s="38">
        <v>0.1</v>
      </c>
      <c r="G96" s="38">
        <v>1266.5</v>
      </c>
      <c r="H96" s="73"/>
      <c r="I96" s="13">
        <v>0</v>
      </c>
    </row>
    <row r="97" spans="1:9" ht="15.75" customHeight="1">
      <c r="A97" s="30"/>
      <c r="B97" s="50" t="s">
        <v>51</v>
      </c>
      <c r="C97" s="46"/>
      <c r="D97" s="59"/>
      <c r="E97" s="59"/>
      <c r="F97" s="46">
        <v>1</v>
      </c>
      <c r="G97" s="46"/>
      <c r="H97" s="46"/>
      <c r="I97" s="32">
        <f>SUM(I87:I96)</f>
        <v>5959.9</v>
      </c>
    </row>
    <row r="98" spans="1:9" ht="15.75" customHeight="1">
      <c r="A98" s="30"/>
      <c r="B98" s="56" t="s">
        <v>75</v>
      </c>
      <c r="C98" s="16"/>
      <c r="D98" s="16"/>
      <c r="E98" s="16"/>
      <c r="F98" s="47"/>
      <c r="G98" s="48"/>
      <c r="H98" s="48"/>
      <c r="I98" s="18">
        <v>0</v>
      </c>
    </row>
    <row r="99" spans="1:9" ht="15.75" customHeight="1">
      <c r="A99" s="60"/>
      <c r="B99" s="51" t="s">
        <v>141</v>
      </c>
      <c r="C99" s="36"/>
      <c r="D99" s="36"/>
      <c r="E99" s="36"/>
      <c r="F99" s="36"/>
      <c r="G99" s="36"/>
      <c r="H99" s="36"/>
      <c r="I99" s="49">
        <f>I85+I97</f>
        <v>126911.72209899999</v>
      </c>
    </row>
    <row r="100" spans="1:9" ht="15.75" customHeight="1">
      <c r="A100" s="188" t="s">
        <v>350</v>
      </c>
      <c r="B100" s="188"/>
      <c r="C100" s="188"/>
      <c r="D100" s="188"/>
      <c r="E100" s="188"/>
      <c r="F100" s="188"/>
      <c r="G100" s="188"/>
      <c r="H100" s="188"/>
      <c r="I100" s="188"/>
    </row>
    <row r="101" spans="1:9" ht="15.75" customHeight="1">
      <c r="A101" s="72"/>
      <c r="B101" s="180" t="s">
        <v>351</v>
      </c>
      <c r="C101" s="180"/>
      <c r="D101" s="180"/>
      <c r="E101" s="180"/>
      <c r="F101" s="180"/>
      <c r="G101" s="180"/>
      <c r="H101" s="75"/>
      <c r="I101" s="3"/>
    </row>
    <row r="102" spans="1:9" ht="15.75" customHeight="1">
      <c r="A102" s="67"/>
      <c r="B102" s="176" t="s">
        <v>6</v>
      </c>
      <c r="C102" s="176"/>
      <c r="D102" s="176"/>
      <c r="E102" s="176"/>
      <c r="F102" s="176"/>
      <c r="G102" s="176"/>
      <c r="H102" s="25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81" t="s">
        <v>7</v>
      </c>
      <c r="B104" s="181"/>
      <c r="C104" s="181"/>
      <c r="D104" s="181"/>
      <c r="E104" s="181"/>
      <c r="F104" s="181"/>
      <c r="G104" s="181"/>
      <c r="H104" s="181"/>
      <c r="I104" s="181"/>
    </row>
    <row r="105" spans="1:9" ht="15.75" customHeight="1">
      <c r="A105" s="181" t="s">
        <v>8</v>
      </c>
      <c r="B105" s="181"/>
      <c r="C105" s="181"/>
      <c r="D105" s="181"/>
      <c r="E105" s="181"/>
      <c r="F105" s="181"/>
      <c r="G105" s="181"/>
      <c r="H105" s="181"/>
      <c r="I105" s="181"/>
    </row>
    <row r="106" spans="1:9" ht="15.75" customHeight="1">
      <c r="A106" s="182" t="s">
        <v>60</v>
      </c>
      <c r="B106" s="182"/>
      <c r="C106" s="182"/>
      <c r="D106" s="182"/>
      <c r="E106" s="182"/>
      <c r="F106" s="182"/>
      <c r="G106" s="182"/>
      <c r="H106" s="182"/>
      <c r="I106" s="182"/>
    </row>
    <row r="107" spans="1:9" ht="15.75" customHeight="1">
      <c r="A107" s="11"/>
    </row>
    <row r="108" spans="1:9" ht="15.75" customHeight="1">
      <c r="A108" s="183" t="s">
        <v>9</v>
      </c>
      <c r="B108" s="183"/>
      <c r="C108" s="183"/>
      <c r="D108" s="183"/>
      <c r="E108" s="183"/>
      <c r="F108" s="183"/>
      <c r="G108" s="183"/>
      <c r="H108" s="183"/>
      <c r="I108" s="183"/>
    </row>
    <row r="109" spans="1:9" ht="15.75" customHeight="1">
      <c r="A109" s="4"/>
    </row>
    <row r="110" spans="1:9" ht="15.75" customHeight="1">
      <c r="B110" s="66" t="s">
        <v>10</v>
      </c>
      <c r="C110" s="175" t="s">
        <v>85</v>
      </c>
      <c r="D110" s="175"/>
      <c r="E110" s="175"/>
      <c r="F110" s="175"/>
      <c r="I110" s="69"/>
    </row>
    <row r="111" spans="1:9" ht="15.75" customHeight="1">
      <c r="A111" s="67"/>
      <c r="C111" s="176" t="s">
        <v>11</v>
      </c>
      <c r="D111" s="176"/>
      <c r="E111" s="176"/>
      <c r="F111" s="176"/>
      <c r="I111" s="68" t="s">
        <v>12</v>
      </c>
    </row>
    <row r="112" spans="1:9" ht="15.75" customHeight="1">
      <c r="A112" s="26"/>
      <c r="C112" s="12"/>
      <c r="D112" s="12"/>
      <c r="E112" s="12"/>
      <c r="G112" s="12"/>
      <c r="H112" s="12"/>
    </row>
    <row r="113" spans="1:9" ht="15.75" customHeight="1">
      <c r="B113" s="66" t="s">
        <v>13</v>
      </c>
      <c r="C113" s="177"/>
      <c r="D113" s="177"/>
      <c r="E113" s="177"/>
      <c r="F113" s="177"/>
      <c r="I113" s="69"/>
    </row>
    <row r="114" spans="1:9" ht="15.75" customHeight="1">
      <c r="A114" s="67"/>
      <c r="C114" s="178" t="s">
        <v>11</v>
      </c>
      <c r="D114" s="178"/>
      <c r="E114" s="178"/>
      <c r="F114" s="178"/>
      <c r="I114" s="68" t="s">
        <v>12</v>
      </c>
    </row>
    <row r="115" spans="1:9" ht="15.75" customHeight="1">
      <c r="A115" s="4" t="s">
        <v>14</v>
      </c>
    </row>
    <row r="116" spans="1:9">
      <c r="A116" s="179" t="s">
        <v>15</v>
      </c>
      <c r="B116" s="179"/>
      <c r="C116" s="179"/>
      <c r="D116" s="179"/>
      <c r="E116" s="179"/>
      <c r="F116" s="179"/>
      <c r="G116" s="179"/>
      <c r="H116" s="179"/>
      <c r="I116" s="179"/>
    </row>
    <row r="117" spans="1:9" ht="45" customHeight="1">
      <c r="A117" s="168" t="s">
        <v>16</v>
      </c>
      <c r="B117" s="168"/>
      <c r="C117" s="168"/>
      <c r="D117" s="168"/>
      <c r="E117" s="168"/>
      <c r="F117" s="168"/>
      <c r="G117" s="168"/>
      <c r="H117" s="168"/>
      <c r="I117" s="168"/>
    </row>
    <row r="118" spans="1:9" ht="30" customHeight="1">
      <c r="A118" s="168" t="s">
        <v>17</v>
      </c>
      <c r="B118" s="168"/>
      <c r="C118" s="168"/>
      <c r="D118" s="168"/>
      <c r="E118" s="168"/>
      <c r="F118" s="168"/>
      <c r="G118" s="168"/>
      <c r="H118" s="168"/>
      <c r="I118" s="168"/>
    </row>
    <row r="119" spans="1:9" ht="30" customHeight="1">
      <c r="A119" s="168" t="s">
        <v>21</v>
      </c>
      <c r="B119" s="168"/>
      <c r="C119" s="168"/>
      <c r="D119" s="168"/>
      <c r="E119" s="168"/>
      <c r="F119" s="168"/>
      <c r="G119" s="168"/>
      <c r="H119" s="168"/>
      <c r="I119" s="168"/>
    </row>
    <row r="120" spans="1:9" ht="15" customHeight="1">
      <c r="A120" s="168" t="s">
        <v>20</v>
      </c>
      <c r="B120" s="168"/>
      <c r="C120" s="168"/>
      <c r="D120" s="168"/>
      <c r="E120" s="168"/>
      <c r="F120" s="168"/>
      <c r="G120" s="168"/>
      <c r="H120" s="168"/>
      <c r="I120" s="168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4:U74"/>
    <mergeCell ref="C114:F114"/>
    <mergeCell ref="A86:I86"/>
    <mergeCell ref="A100:I100"/>
    <mergeCell ref="B101:G101"/>
    <mergeCell ref="B102:G102"/>
    <mergeCell ref="A104:I104"/>
    <mergeCell ref="A105:I105"/>
    <mergeCell ref="A106:I106"/>
    <mergeCell ref="A108:I108"/>
    <mergeCell ref="C110:F110"/>
    <mergeCell ref="C111:F111"/>
    <mergeCell ref="C113:F113"/>
    <mergeCell ref="A82:I82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2021-02-15T13:26:42Z</cp:lastPrinted>
  <dcterms:created xsi:type="dcterms:W3CDTF">2016-03-25T08:33:47Z</dcterms:created>
  <dcterms:modified xsi:type="dcterms:W3CDTF">2021-02-15T13:58:46Z</dcterms:modified>
</cp:coreProperties>
</file>