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8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'01.20'!$I$12:$I$58</definedName>
    <definedName name="_xlnm._FilterDatabase" localSheetId="1" hidden="1">'02.20'!$I$12:$I$58</definedName>
    <definedName name="_xlnm._FilterDatabase" localSheetId="2" hidden="1">'03.20'!$I$12:$I$58</definedName>
    <definedName name="_xlnm._FilterDatabase" localSheetId="3" hidden="1">'04.20'!$I$12:$I$56</definedName>
    <definedName name="_xlnm._FilterDatabase" localSheetId="4" hidden="1">'05.20'!$I$12:$I$57</definedName>
    <definedName name="_xlnm._FilterDatabase" localSheetId="5" hidden="1">'06.20'!$I$12:$I$57</definedName>
    <definedName name="_xlnm._FilterDatabase" localSheetId="6" hidden="1">'07.20'!$I$12:$I$57</definedName>
    <definedName name="_xlnm._FilterDatabase" localSheetId="7" hidden="1">'08.20'!$I$12:$I$57</definedName>
    <definedName name="_xlnm._FilterDatabase" localSheetId="8" hidden="1">'09.20'!$I$12:$I$55</definedName>
    <definedName name="_xlnm._FilterDatabase" localSheetId="9" hidden="1">'10.20'!$I$12:$I$57</definedName>
    <definedName name="_xlnm._FilterDatabase" localSheetId="10" hidden="1">'11.20'!$I$12:$I$57</definedName>
    <definedName name="_xlnm._FilterDatabase" localSheetId="11" hidden="1">'12.20'!$I$12:$I$57</definedName>
    <definedName name="_xlnm.Print_Area" localSheetId="0">'01.20'!$A$1:$I$116</definedName>
    <definedName name="_xlnm.Print_Area" localSheetId="1">'02.20'!$A$1:$I$115</definedName>
    <definedName name="_xlnm.Print_Area" localSheetId="2">'03.20'!$A$1:$I$115</definedName>
    <definedName name="_xlnm.Print_Area" localSheetId="3">'04.20'!$A$1:$I$112</definedName>
    <definedName name="_xlnm.Print_Area" localSheetId="4">'05.20'!$A$1:$I$114</definedName>
    <definedName name="_xlnm.Print_Area" localSheetId="5">'06.20'!$A$1:$I$111</definedName>
    <definedName name="_xlnm.Print_Area" localSheetId="6">'07.20'!$A$1:$I$109</definedName>
    <definedName name="_xlnm.Print_Area" localSheetId="7">'08.20'!$A$1:$I$121</definedName>
    <definedName name="_xlnm.Print_Area" localSheetId="8">'09.20'!$A$1:$I$111</definedName>
    <definedName name="_xlnm.Print_Area" localSheetId="9">'10.20'!$A$1:$I$117</definedName>
    <definedName name="_xlnm.Print_Area" localSheetId="10">'11.20'!$A$1:$I$119</definedName>
    <definedName name="_xlnm.Print_Area" localSheetId="11">'12.20'!$A$1:$I$124</definedName>
  </definedNames>
  <calcPr calcId="124519"/>
</workbook>
</file>

<file path=xl/calcChain.xml><?xml version="1.0" encoding="utf-8"?>
<calcChain xmlns="http://schemas.openxmlformats.org/spreadsheetml/2006/main">
  <c r="I64" i="28"/>
  <c r="I87"/>
  <c r="I101"/>
  <c r="I99"/>
  <c r="I98"/>
  <c r="I97"/>
  <c r="I95"/>
  <c r="I94"/>
  <c r="I93"/>
  <c r="I92"/>
  <c r="I91"/>
  <c r="I90"/>
  <c r="E86"/>
  <c r="F86" s="1"/>
  <c r="F85"/>
  <c r="H85" s="1"/>
  <c r="I83"/>
  <c r="F79"/>
  <c r="I79" s="1"/>
  <c r="F78"/>
  <c r="I78" s="1"/>
  <c r="I75"/>
  <c r="F73"/>
  <c r="I73" s="1"/>
  <c r="F54"/>
  <c r="F50"/>
  <c r="I60"/>
  <c r="H60"/>
  <c r="F43"/>
  <c r="H43" s="1"/>
  <c r="I42"/>
  <c r="H42"/>
  <c r="F41"/>
  <c r="I41" s="1"/>
  <c r="I40"/>
  <c r="H40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6" l="1"/>
  <c r="I86"/>
  <c r="I85"/>
  <c r="H18"/>
  <c r="H21"/>
  <c r="H16"/>
  <c r="H41"/>
  <c r="I43"/>
  <c r="I17"/>
  <c r="I20"/>
  <c r="I24"/>
  <c r="I27"/>
  <c r="I96" i="27" l="1"/>
  <c r="I95"/>
  <c r="I87"/>
  <c r="I93"/>
  <c r="I92"/>
  <c r="I91"/>
  <c r="E86"/>
  <c r="F86" s="1"/>
  <c r="F85"/>
  <c r="H85" s="1"/>
  <c r="F79"/>
  <c r="I79" s="1"/>
  <c r="F78"/>
  <c r="I78" s="1"/>
  <c r="I75"/>
  <c r="F73"/>
  <c r="I73" s="1"/>
  <c r="F43"/>
  <c r="F41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i="26"/>
  <c r="I94"/>
  <c r="I93"/>
  <c r="I92"/>
  <c r="I91"/>
  <c r="I90"/>
  <c r="E86"/>
  <c r="F86" s="1"/>
  <c r="F85"/>
  <c r="H85" s="1"/>
  <c r="F79"/>
  <c r="I79" s="1"/>
  <c r="F78"/>
  <c r="I78" s="1"/>
  <c r="F73"/>
  <c r="I73" s="1"/>
  <c r="I64"/>
  <c r="I60"/>
  <c r="H60"/>
  <c r="F31"/>
  <c r="H31" s="1"/>
  <c r="F30"/>
  <c r="I30" s="1"/>
  <c r="F27"/>
  <c r="H27" s="1"/>
  <c r="H26"/>
  <c r="H25"/>
  <c r="F25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6" i="27" l="1"/>
  <c r="I86"/>
  <c r="I85"/>
  <c r="H17"/>
  <c r="H24"/>
  <c r="H20"/>
  <c r="H16"/>
  <c r="H18"/>
  <c r="H21"/>
  <c r="I27"/>
  <c r="H16" i="26"/>
  <c r="H18"/>
  <c r="H21"/>
  <c r="H86"/>
  <c r="I86"/>
  <c r="I85"/>
  <c r="H30"/>
  <c r="I31"/>
  <c r="I17"/>
  <c r="I20"/>
  <c r="I24"/>
  <c r="I27"/>
  <c r="I62" i="25" l="1"/>
  <c r="I86" s="1"/>
  <c r="I85"/>
  <c r="I31"/>
  <c r="I77"/>
  <c r="I76"/>
  <c r="I71"/>
  <c r="H86"/>
  <c r="F85"/>
  <c r="E84"/>
  <c r="F84" s="1"/>
  <c r="F83"/>
  <c r="F71"/>
  <c r="F77"/>
  <c r="F76"/>
  <c r="F69"/>
  <c r="F68"/>
  <c r="F67"/>
  <c r="F66"/>
  <c r="F65"/>
  <c r="F64"/>
  <c r="F63"/>
  <c r="F62"/>
  <c r="F52"/>
  <c r="F50"/>
  <c r="F49"/>
  <c r="F48"/>
  <c r="F47"/>
  <c r="F46"/>
  <c r="F45"/>
  <c r="F44"/>
  <c r="F43"/>
  <c r="F31"/>
  <c r="F30"/>
  <c r="F27"/>
  <c r="F25"/>
  <c r="F24"/>
  <c r="F23"/>
  <c r="F22"/>
  <c r="F21"/>
  <c r="F20"/>
  <c r="F19"/>
  <c r="F18"/>
  <c r="I18" s="1"/>
  <c r="F17"/>
  <c r="F16"/>
  <c r="I98" i="24" l="1"/>
  <c r="I97"/>
  <c r="I96"/>
  <c r="I95"/>
  <c r="I94"/>
  <c r="I93"/>
  <c r="I92"/>
  <c r="I91" l="1"/>
  <c r="I90"/>
  <c r="I83"/>
  <c r="I89"/>
  <c r="I88"/>
  <c r="F88"/>
  <c r="I86"/>
  <c r="I85"/>
  <c r="I73"/>
  <c r="I83" i="23" l="1"/>
  <c r="I64"/>
  <c r="I85"/>
  <c r="H85"/>
  <c r="I73"/>
  <c r="I83" i="22" l="1"/>
  <c r="I22"/>
  <c r="I23"/>
  <c r="I19"/>
  <c r="I26"/>
  <c r="I25"/>
  <c r="I88"/>
  <c r="I87"/>
  <c r="I85"/>
  <c r="I64"/>
  <c r="I91" i="21" l="1"/>
  <c r="I90"/>
  <c r="I83" l="1"/>
  <c r="I64"/>
  <c r="I88" i="20"/>
  <c r="I89" s="1"/>
  <c r="I88" i="21"/>
  <c r="I87"/>
  <c r="I86"/>
  <c r="I85"/>
  <c r="I73"/>
  <c r="F27"/>
  <c r="H27" s="1"/>
  <c r="H26"/>
  <c r="F25"/>
  <c r="H25" s="1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6" l="1"/>
  <c r="H18"/>
  <c r="I17"/>
  <c r="I20"/>
  <c r="I24"/>
  <c r="I27"/>
  <c r="I92" i="19" l="1"/>
  <c r="I91"/>
  <c r="I90"/>
  <c r="I89"/>
  <c r="I83" i="20"/>
  <c r="I87"/>
  <c r="I86"/>
  <c r="H86"/>
  <c r="I85"/>
  <c r="F85"/>
  <c r="I84" i="19"/>
  <c r="I88"/>
  <c r="F88"/>
  <c r="I87"/>
  <c r="I86"/>
  <c r="I39"/>
  <c r="I84" i="18" l="1"/>
  <c r="I92"/>
  <c r="I91"/>
  <c r="I90"/>
  <c r="I89"/>
  <c r="I88"/>
  <c r="I87"/>
  <c r="I86"/>
  <c r="I65"/>
  <c r="I39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20" l="1"/>
  <c r="H24"/>
  <c r="H16"/>
  <c r="I17"/>
  <c r="H18"/>
  <c r="H21"/>
  <c r="I27"/>
  <c r="I84" i="17" l="1"/>
  <c r="I93" l="1"/>
  <c r="I92"/>
  <c r="I90"/>
  <c r="I89"/>
  <c r="I88"/>
  <c r="I87"/>
  <c r="I86"/>
  <c r="F92"/>
  <c r="I74"/>
  <c r="I64" i="27" l="1"/>
  <c r="I40"/>
  <c r="I83" i="26" l="1"/>
  <c r="F33"/>
  <c r="H33" s="1"/>
  <c r="F32"/>
  <c r="I32" s="1"/>
  <c r="I73" i="25"/>
  <c r="H27"/>
  <c r="H26"/>
  <c r="H25"/>
  <c r="I24"/>
  <c r="H23"/>
  <c r="H22"/>
  <c r="I21"/>
  <c r="I20"/>
  <c r="H19"/>
  <c r="I17"/>
  <c r="I16"/>
  <c r="H32" i="26" l="1"/>
  <c r="I33"/>
  <c r="H20" i="25"/>
  <c r="H17"/>
  <c r="H24"/>
  <c r="H16"/>
  <c r="H18"/>
  <c r="H21"/>
  <c r="I27"/>
  <c r="I64" i="24" l="1"/>
  <c r="F33"/>
  <c r="I33" s="1"/>
  <c r="F32"/>
  <c r="I32" s="1"/>
  <c r="F31"/>
  <c r="I31" s="1"/>
  <c r="F30"/>
  <c r="I30" s="1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H33" l="1"/>
  <c r="H31"/>
  <c r="H30"/>
  <c r="H32"/>
  <c r="H20"/>
  <c r="H17"/>
  <c r="H24"/>
  <c r="H16"/>
  <c r="H18"/>
  <c r="H21"/>
  <c r="I27"/>
  <c r="I86" i="23"/>
  <c r="F33"/>
  <c r="H33" s="1"/>
  <c r="F32"/>
  <c r="I32" s="1"/>
  <c r="F31"/>
  <c r="H31" s="1"/>
  <c r="F30"/>
  <c r="I30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22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20"/>
  <c r="H27" s="1"/>
  <c r="H26"/>
  <c r="F25"/>
  <c r="H25" s="1"/>
  <c r="H24"/>
  <c r="F24"/>
  <c r="I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19"/>
  <c r="H27" s="1"/>
  <c r="H26"/>
  <c r="F25"/>
  <c r="H25" s="1"/>
  <c r="F24"/>
  <c r="I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17"/>
  <c r="H24" i="19" l="1"/>
  <c r="H30" i="23"/>
  <c r="I31"/>
  <c r="H32"/>
  <c r="I33"/>
  <c r="H16"/>
  <c r="H18"/>
  <c r="H21"/>
  <c r="I17"/>
  <c r="I20"/>
  <c r="I24"/>
  <c r="I27"/>
  <c r="H16" i="22"/>
  <c r="I17"/>
  <c r="H18"/>
  <c r="I20"/>
  <c r="H21"/>
  <c r="I24"/>
  <c r="I27"/>
  <c r="H16" i="20"/>
  <c r="I17"/>
  <c r="H18"/>
  <c r="I20"/>
  <c r="H21"/>
  <c r="I27"/>
  <c r="H16" i="19"/>
  <c r="I17"/>
  <c r="H18"/>
  <c r="I20"/>
  <c r="H21"/>
  <c r="I27"/>
  <c r="I74" i="18" l="1"/>
  <c r="I39" i="17"/>
  <c r="I65"/>
  <c r="I58" i="19" l="1"/>
  <c r="I60" i="21" l="1"/>
  <c r="I79"/>
  <c r="I64" i="20"/>
  <c r="I59" l="1"/>
  <c r="I44"/>
  <c r="F61" i="19" l="1"/>
  <c r="H61" s="1"/>
  <c r="I44"/>
  <c r="I44" i="18"/>
  <c r="I44" i="17"/>
  <c r="F61" i="18" l="1"/>
  <c r="H88" i="17"/>
  <c r="H87"/>
  <c r="H86"/>
  <c r="F61"/>
  <c r="H61" s="1"/>
  <c r="H83" i="28" l="1"/>
  <c r="H81"/>
  <c r="H77"/>
  <c r="H76"/>
  <c r="H75"/>
  <c r="I71"/>
  <c r="H71"/>
  <c r="F70"/>
  <c r="I70" s="1"/>
  <c r="F69"/>
  <c r="H69" s="1"/>
  <c r="F68"/>
  <c r="I68" s="1"/>
  <c r="F67"/>
  <c r="H67" s="1"/>
  <c r="F66"/>
  <c r="I66" s="1"/>
  <c r="H65"/>
  <c r="H64"/>
  <c r="I62"/>
  <c r="H62"/>
  <c r="F59"/>
  <c r="H59" s="1"/>
  <c r="F57"/>
  <c r="H57" s="1"/>
  <c r="I54"/>
  <c r="H54"/>
  <c r="I53"/>
  <c r="H53"/>
  <c r="F52"/>
  <c r="H52" s="1"/>
  <c r="F51"/>
  <c r="I51" s="1"/>
  <c r="H50"/>
  <c r="F49"/>
  <c r="H49" s="1"/>
  <c r="F48"/>
  <c r="H48" s="1"/>
  <c r="F47"/>
  <c r="H47" s="1"/>
  <c r="F46"/>
  <c r="H46" s="1"/>
  <c r="F45"/>
  <c r="H45" s="1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I62" i="27"/>
  <c r="H87" i="28" l="1"/>
  <c r="H28"/>
  <c r="I31"/>
  <c r="H32"/>
  <c r="I33"/>
  <c r="H34"/>
  <c r="I50"/>
  <c r="H51"/>
  <c r="I52"/>
  <c r="I57"/>
  <c r="H66"/>
  <c r="I67"/>
  <c r="H68"/>
  <c r="I69"/>
  <c r="H70"/>
  <c r="I103" l="1"/>
  <c r="H82"/>
  <c r="H87" i="27"/>
  <c r="H83"/>
  <c r="H81"/>
  <c r="H77"/>
  <c r="H76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I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I42"/>
  <c r="H41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H69" l="1"/>
  <c r="H67"/>
  <c r="H60"/>
  <c r="H51"/>
  <c r="H42"/>
  <c r="H28"/>
  <c r="I31"/>
  <c r="H32"/>
  <c r="I33"/>
  <c r="H34"/>
  <c r="I41"/>
  <c r="I43"/>
  <c r="I50"/>
  <c r="I52"/>
  <c r="I57"/>
  <c r="I66"/>
  <c r="I68"/>
  <c r="I70"/>
  <c r="I98" l="1"/>
  <c r="H82"/>
  <c r="H85" i="24" l="1"/>
  <c r="H86" i="22"/>
  <c r="H86" i="21"/>
  <c r="I75" i="26" l="1"/>
  <c r="H89"/>
  <c r="H87"/>
  <c r="H83"/>
  <c r="H81"/>
  <c r="H77"/>
  <c r="H76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I81" i="25"/>
  <c r="H83"/>
  <c r="H81"/>
  <c r="H79"/>
  <c r="H75"/>
  <c r="H74"/>
  <c r="H73"/>
  <c r="I69"/>
  <c r="H69"/>
  <c r="H68"/>
  <c r="I67"/>
  <c r="H66"/>
  <c r="I65"/>
  <c r="H64"/>
  <c r="H63"/>
  <c r="H62"/>
  <c r="H60"/>
  <c r="I58"/>
  <c r="F57"/>
  <c r="F55"/>
  <c r="H55" s="1"/>
  <c r="I52"/>
  <c r="H52"/>
  <c r="I51"/>
  <c r="H51"/>
  <c r="H50"/>
  <c r="I49"/>
  <c r="H48"/>
  <c r="H47"/>
  <c r="H46"/>
  <c r="H45"/>
  <c r="H44"/>
  <c r="H43"/>
  <c r="I41"/>
  <c r="H41"/>
  <c r="F40"/>
  <c r="I40" s="1"/>
  <c r="F39"/>
  <c r="H39" s="1"/>
  <c r="F38"/>
  <c r="I38" s="1"/>
  <c r="F37"/>
  <c r="H37" s="1"/>
  <c r="I36"/>
  <c r="H36"/>
  <c r="H34"/>
  <c r="H33"/>
  <c r="H32"/>
  <c r="H31"/>
  <c r="I30"/>
  <c r="H57" l="1"/>
  <c r="I57"/>
  <c r="I39" i="26"/>
  <c r="H40"/>
  <c r="I41"/>
  <c r="H42"/>
  <c r="I50"/>
  <c r="H51"/>
  <c r="I52"/>
  <c r="I57"/>
  <c r="I66"/>
  <c r="H67"/>
  <c r="I68"/>
  <c r="H69"/>
  <c r="I70"/>
  <c r="I46" i="25"/>
  <c r="I44"/>
  <c r="I47"/>
  <c r="I45"/>
  <c r="I43"/>
  <c r="H84"/>
  <c r="I84"/>
  <c r="H30"/>
  <c r="I37"/>
  <c r="H38"/>
  <c r="I39"/>
  <c r="H40"/>
  <c r="I48"/>
  <c r="H49"/>
  <c r="I50"/>
  <c r="I55"/>
  <c r="H58"/>
  <c r="I64"/>
  <c r="H65"/>
  <c r="I66"/>
  <c r="H67"/>
  <c r="I68"/>
  <c r="I83"/>
  <c r="E82" i="24"/>
  <c r="F82" s="1"/>
  <c r="H82" s="1"/>
  <c r="H83" s="1"/>
  <c r="F81"/>
  <c r="H81" s="1"/>
  <c r="H79"/>
  <c r="H77"/>
  <c r="H75"/>
  <c r="H74"/>
  <c r="H73"/>
  <c r="I71"/>
  <c r="H71"/>
  <c r="F70"/>
  <c r="H70" s="1"/>
  <c r="F69"/>
  <c r="I69" s="1"/>
  <c r="F68"/>
  <c r="H68" s="1"/>
  <c r="F67"/>
  <c r="I67" s="1"/>
  <c r="F66"/>
  <c r="H66" s="1"/>
  <c r="H65"/>
  <c r="H64"/>
  <c r="H62"/>
  <c r="I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E82" i="23"/>
  <c r="F82" s="1"/>
  <c r="F81"/>
  <c r="H81" s="1"/>
  <c r="H79"/>
  <c r="H77"/>
  <c r="H75"/>
  <c r="H74"/>
  <c r="H73"/>
  <c r="I71"/>
  <c r="H71"/>
  <c r="F70"/>
  <c r="H70" s="1"/>
  <c r="F69"/>
  <c r="I69" s="1"/>
  <c r="F68"/>
  <c r="H68" s="1"/>
  <c r="F67"/>
  <c r="I67" s="1"/>
  <c r="F66"/>
  <c r="H66" s="1"/>
  <c r="H65"/>
  <c r="H64"/>
  <c r="H62"/>
  <c r="I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H85" i="22"/>
  <c r="E82"/>
  <c r="F82" s="1"/>
  <c r="H82" s="1"/>
  <c r="H83" s="1"/>
  <c r="F81"/>
  <c r="H81" s="1"/>
  <c r="H79"/>
  <c r="H77"/>
  <c r="H75"/>
  <c r="H74"/>
  <c r="I73"/>
  <c r="H73"/>
  <c r="I71"/>
  <c r="H71"/>
  <c r="F70"/>
  <c r="H70" s="1"/>
  <c r="F69"/>
  <c r="I69" s="1"/>
  <c r="F68"/>
  <c r="H68" s="1"/>
  <c r="F67"/>
  <c r="I67" s="1"/>
  <c r="F66"/>
  <c r="H66" s="1"/>
  <c r="H65"/>
  <c r="H64"/>
  <c r="H62"/>
  <c r="I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3"/>
  <c r="I33" s="1"/>
  <c r="F32"/>
  <c r="H32" s="1"/>
  <c r="F31"/>
  <c r="I31" s="1"/>
  <c r="F30"/>
  <c r="H30" s="1"/>
  <c r="H85" i="21"/>
  <c r="E82"/>
  <c r="F82" s="1"/>
  <c r="F81"/>
  <c r="H81" s="1"/>
  <c r="H79"/>
  <c r="H77"/>
  <c r="H75"/>
  <c r="H74"/>
  <c r="H73"/>
  <c r="I71"/>
  <c r="H71"/>
  <c r="F70"/>
  <c r="H70" s="1"/>
  <c r="F69"/>
  <c r="I69" s="1"/>
  <c r="F68"/>
  <c r="H68" s="1"/>
  <c r="F67"/>
  <c r="I67" s="1"/>
  <c r="F66"/>
  <c r="H66" s="1"/>
  <c r="H65"/>
  <c r="H64"/>
  <c r="H62"/>
  <c r="F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3"/>
  <c r="I33" s="1"/>
  <c r="F32"/>
  <c r="H32" s="1"/>
  <c r="F31"/>
  <c r="I31" s="1"/>
  <c r="F30"/>
  <c r="H30" s="1"/>
  <c r="E82" i="20"/>
  <c r="F82" s="1"/>
  <c r="H82" s="1"/>
  <c r="H83" s="1"/>
  <c r="F81"/>
  <c r="H81" s="1"/>
  <c r="H79"/>
  <c r="H77"/>
  <c r="H75"/>
  <c r="H74"/>
  <c r="I73"/>
  <c r="H73"/>
  <c r="I71"/>
  <c r="H71"/>
  <c r="F70"/>
  <c r="H70" s="1"/>
  <c r="F69"/>
  <c r="I69" s="1"/>
  <c r="F68"/>
  <c r="H68" s="1"/>
  <c r="F67"/>
  <c r="I67" s="1"/>
  <c r="F66"/>
  <c r="H66" s="1"/>
  <c r="H65"/>
  <c r="H64"/>
  <c r="H61"/>
  <c r="F59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H40" s="1"/>
  <c r="I39"/>
  <c r="H39"/>
  <c r="H37"/>
  <c r="H36"/>
  <c r="H35"/>
  <c r="H34"/>
  <c r="F34"/>
  <c r="I34" s="1"/>
  <c r="F33"/>
  <c r="I33" s="1"/>
  <c r="F32"/>
  <c r="H32" s="1"/>
  <c r="F31"/>
  <c r="I31" s="1"/>
  <c r="F30"/>
  <c r="H30" s="1"/>
  <c r="I74" i="19"/>
  <c r="H86"/>
  <c r="E83"/>
  <c r="F83" s="1"/>
  <c r="H83" s="1"/>
  <c r="H84" s="1"/>
  <c r="F82"/>
  <c r="H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I65"/>
  <c r="H65"/>
  <c r="H63"/>
  <c r="I61"/>
  <c r="F60"/>
  <c r="H60" s="1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H40" s="1"/>
  <c r="H39"/>
  <c r="H37"/>
  <c r="H36"/>
  <c r="H35"/>
  <c r="H34"/>
  <c r="F34"/>
  <c r="I34" s="1"/>
  <c r="F33"/>
  <c r="I33" s="1"/>
  <c r="F32"/>
  <c r="H32" s="1"/>
  <c r="F31"/>
  <c r="I31" s="1"/>
  <c r="F30"/>
  <c r="H30" s="1"/>
  <c r="H86" i="18"/>
  <c r="E83"/>
  <c r="F83" s="1"/>
  <c r="H83" s="1"/>
  <c r="H84" s="1"/>
  <c r="F82"/>
  <c r="H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H63"/>
  <c r="I61"/>
  <c r="F60"/>
  <c r="H60" s="1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H40" s="1"/>
  <c r="H39"/>
  <c r="H37"/>
  <c r="H36"/>
  <c r="H35"/>
  <c r="H34"/>
  <c r="F34"/>
  <c r="I34" s="1"/>
  <c r="F33"/>
  <c r="I33" s="1"/>
  <c r="F32"/>
  <c r="H32" s="1"/>
  <c r="F31"/>
  <c r="I31" s="1"/>
  <c r="F30"/>
  <c r="H30" s="1"/>
  <c r="I72" i="17"/>
  <c r="E83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H63"/>
  <c r="F60"/>
  <c r="H60" s="1"/>
  <c r="F58"/>
  <c r="I58" s="1"/>
  <c r="I55"/>
  <c r="F55"/>
  <c r="H55" s="1"/>
  <c r="I54"/>
  <c r="H54"/>
  <c r="F53"/>
  <c r="I53" s="1"/>
  <c r="F52"/>
  <c r="I52" s="1"/>
  <c r="F51"/>
  <c r="I51" s="1"/>
  <c r="F50"/>
  <c r="H50" s="1"/>
  <c r="F49"/>
  <c r="H49" s="1"/>
  <c r="F48"/>
  <c r="H48" s="1"/>
  <c r="F47"/>
  <c r="H47" s="1"/>
  <c r="F46"/>
  <c r="H46" s="1"/>
  <c r="H44"/>
  <c r="F43"/>
  <c r="I43" s="1"/>
  <c r="F42"/>
  <c r="I42" s="1"/>
  <c r="F41"/>
  <c r="I41" s="1"/>
  <c r="F40"/>
  <c r="I40" s="1"/>
  <c r="H39"/>
  <c r="H37"/>
  <c r="H36"/>
  <c r="H35"/>
  <c r="I27"/>
  <c r="H34"/>
  <c r="F34"/>
  <c r="I34" s="1"/>
  <c r="F33"/>
  <c r="H33" s="1"/>
  <c r="F32"/>
  <c r="H32" s="1"/>
  <c r="F31"/>
  <c r="H31" s="1"/>
  <c r="F30"/>
  <c r="H30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60" i="23" l="1"/>
  <c r="H78" s="1"/>
  <c r="H69"/>
  <c r="H82" i="26"/>
  <c r="I96"/>
  <c r="H80" i="25"/>
  <c r="I90"/>
  <c r="H60" i="24"/>
  <c r="H69"/>
  <c r="H67"/>
  <c r="I39"/>
  <c r="H40"/>
  <c r="I41"/>
  <c r="H42"/>
  <c r="I50"/>
  <c r="H51"/>
  <c r="I52"/>
  <c r="I57"/>
  <c r="I66"/>
  <c r="I68"/>
  <c r="I70"/>
  <c r="I81"/>
  <c r="I82"/>
  <c r="H67" i="23"/>
  <c r="H82"/>
  <c r="H83" s="1"/>
  <c r="I82"/>
  <c r="I39"/>
  <c r="H40"/>
  <c r="I41"/>
  <c r="H42"/>
  <c r="I50"/>
  <c r="H51"/>
  <c r="I52"/>
  <c r="I57"/>
  <c r="I66"/>
  <c r="I68"/>
  <c r="I70"/>
  <c r="I81"/>
  <c r="I30" i="22"/>
  <c r="H31"/>
  <c r="I32"/>
  <c r="H33"/>
  <c r="I39"/>
  <c r="H40"/>
  <c r="I41"/>
  <c r="H42"/>
  <c r="I50"/>
  <c r="H51"/>
  <c r="I52"/>
  <c r="I57"/>
  <c r="H60"/>
  <c r="I66"/>
  <c r="H67"/>
  <c r="I68"/>
  <c r="H69"/>
  <c r="I70"/>
  <c r="I81"/>
  <c r="I82"/>
  <c r="I50" i="21"/>
  <c r="I48"/>
  <c r="I46"/>
  <c r="I49"/>
  <c r="I47"/>
  <c r="I45"/>
  <c r="H82"/>
  <c r="H83" s="1"/>
  <c r="I82"/>
  <c r="I30"/>
  <c r="H31"/>
  <c r="I32"/>
  <c r="H33"/>
  <c r="I39"/>
  <c r="H40"/>
  <c r="I41"/>
  <c r="H42"/>
  <c r="H51"/>
  <c r="I52"/>
  <c r="I57"/>
  <c r="H60"/>
  <c r="I66"/>
  <c r="H67"/>
  <c r="I68"/>
  <c r="H69"/>
  <c r="I70"/>
  <c r="I81"/>
  <c r="I30" i="20"/>
  <c r="H31"/>
  <c r="I32"/>
  <c r="H33"/>
  <c r="I40"/>
  <c r="H41"/>
  <c r="I42"/>
  <c r="H43"/>
  <c r="I51"/>
  <c r="H52"/>
  <c r="I53"/>
  <c r="H59"/>
  <c r="I66"/>
  <c r="H67"/>
  <c r="I68"/>
  <c r="H69"/>
  <c r="I70"/>
  <c r="I81"/>
  <c r="I82"/>
  <c r="H70" i="19"/>
  <c r="H68"/>
  <c r="I30"/>
  <c r="H31"/>
  <c r="I32"/>
  <c r="H33"/>
  <c r="I40"/>
  <c r="H41"/>
  <c r="I42"/>
  <c r="H43"/>
  <c r="I51"/>
  <c r="H52"/>
  <c r="I53"/>
  <c r="H79"/>
  <c r="I67"/>
  <c r="I69"/>
  <c r="I71"/>
  <c r="I82"/>
  <c r="I83"/>
  <c r="I30" i="18"/>
  <c r="H31"/>
  <c r="I32"/>
  <c r="H33"/>
  <c r="I40"/>
  <c r="H41"/>
  <c r="I42"/>
  <c r="H43"/>
  <c r="I51"/>
  <c r="H52"/>
  <c r="I53"/>
  <c r="I58"/>
  <c r="H61"/>
  <c r="I67"/>
  <c r="H68"/>
  <c r="I69"/>
  <c r="H70"/>
  <c r="I71"/>
  <c r="I82"/>
  <c r="I83"/>
  <c r="I70" i="17"/>
  <c r="I68"/>
  <c r="I67"/>
  <c r="I71"/>
  <c r="I69"/>
  <c r="I30"/>
  <c r="I33"/>
  <c r="I32"/>
  <c r="I31"/>
  <c r="H21"/>
  <c r="H16"/>
  <c r="H40"/>
  <c r="H52"/>
  <c r="H82"/>
  <c r="H18"/>
  <c r="H27"/>
  <c r="H42"/>
  <c r="I17"/>
  <c r="H20"/>
  <c r="H24"/>
  <c r="H41"/>
  <c r="H43"/>
  <c r="H51"/>
  <c r="H53"/>
  <c r="H58"/>
  <c r="H79" s="1"/>
  <c r="I61"/>
  <c r="F83"/>
  <c r="I93" i="21" l="1"/>
  <c r="I94" i="19"/>
  <c r="I100" i="24"/>
  <c r="I88" i="23"/>
  <c r="I90" i="22"/>
  <c r="I91" i="20"/>
  <c r="I94" i="18"/>
  <c r="H78" i="22"/>
  <c r="H78" i="24"/>
  <c r="H78" i="21"/>
  <c r="H78" i="20"/>
  <c r="H79" i="18"/>
  <c r="H83" i="17"/>
  <c r="H84" s="1"/>
  <c r="I83"/>
  <c r="I95" l="1"/>
</calcChain>
</file>

<file path=xl/sharedStrings.xml><?xml version="1.0" encoding="utf-8"?>
<sst xmlns="http://schemas.openxmlformats.org/spreadsheetml/2006/main" count="2683" uniqueCount="301">
  <si>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</si>
  <si>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</si>
  <si>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</si>
  <si>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</si>
  <si>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</si>
  <si>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</si>
  <si>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</si>
  <si>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</si>
  <si>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</si>
  <si>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</si>
  <si>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</si>
  <si>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</si>
  <si>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</si>
  <si>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</si>
  <si>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</si>
  <si>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</si>
  <si>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</si>
  <si>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</si>
  <si>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</si>
  <si>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</si>
  <si>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</si>
  <si>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</si>
  <si>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</si>
  <si>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</si>
  <si>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</si>
  <si>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</si>
  <si>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</si>
  <si>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</si>
  <si>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</si>
  <si>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</si>
  <si>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</si>
  <si>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</si>
  <si>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</si>
  <si>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</si>
  <si>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</si>
  <si>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</si>
  <si>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</si>
  <si>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</si>
  <si>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</si>
  <si>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</si>
  <si>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</si>
  <si>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</si>
  <si>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</si>
  <si>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</si>
  <si>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</si>
  <si>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</si>
  <si>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</si>
  <si>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</si>
  <si>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</si>
  <si>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</si>
  <si>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</si>
  <si>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</si>
  <si>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</si>
  <si>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</si>
  <si>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</si>
  <si>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</si>
  <si>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</si>
  <si>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</si>
  <si>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</si>
  <si>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</si>
  <si>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</si>
  <si>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</si>
  <si>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</si>
  <si>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</si>
  <si>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</si>
  <si>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</si>
  <si>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</si>
  <si>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</si>
  <si>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</si>
  <si>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</si>
  <si>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</si>
  <si>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</si>
  <si>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</si>
  <si>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</si>
  <si>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</si>
  <si>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</si>
  <si>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</si>
  <si>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</si>
  <si>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</si>
  <si>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</si>
  <si>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</si>
  <si>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</si>
  <si>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</si>
  <si>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</si>
  <si>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</si>
  <si>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</si>
  <si>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</si>
  <si>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</si>
  <si>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</si>
  <si>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</si>
  <si>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</si>
  <si>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</si>
  <si>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</si>
  <si>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</si>
  <si>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</si>
  <si>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</si>
  <si>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</si>
  <si>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</si>
  <si>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</si>
  <si>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</si>
  <si>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</si>
  <si>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</si>
  <si>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</si>
  <si>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</si>
  <si>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</si>
  <si>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</si>
  <si>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</si>
  <si>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</si>
  <si>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</si>
  <si>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</si>
  <si>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</si>
  <si>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</si>
  <si>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</si>
  <si>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</si>
  <si>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</si>
  <si>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</si>
  <si>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</si>
  <si>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</si>
  <si>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Снятие показаний эл.счетчика коммунального назначения</t>
  </si>
  <si>
    <t>Влажная протирка шкафов для щитов и слаботочн.ус.</t>
  </si>
  <si>
    <t>Прочистка каналов</t>
  </si>
  <si>
    <t>Выкашивание газонов</t>
  </si>
  <si>
    <t>26 раз за сезон</t>
  </si>
  <si>
    <t>50 раз за сезон</t>
  </si>
  <si>
    <t>Лестничная клетка</t>
  </si>
  <si>
    <t>Установка пружин на входных дверях</t>
  </si>
  <si>
    <t>1 шт</t>
  </si>
  <si>
    <t>генеральный директор Куканов Ю.Л.</t>
  </si>
  <si>
    <t>III. Содержание общего имущества МКД</t>
  </si>
  <si>
    <t>IV. Прочие услуги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</si>
  <si>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</si>
  <si>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</si>
  <si>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</si>
  <si>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</si>
  <si>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</si>
  <si>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>Осмотр кровли из штучных материалов</t>
  </si>
  <si>
    <t>Очистка края кровли от слежавшегося снега со сбрасыванием сосулек (10% от S кровли)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</si>
  <si>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</si>
  <si>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</si>
  <si>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</si>
  <si>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</si>
  <si>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</si>
  <si>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</si>
  <si>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</si>
  <si>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</si>
  <si>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</si>
  <si>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</si>
  <si>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д.8</t>
    </r>
  </si>
  <si>
    <t xml:space="preserve">ежедневно </t>
  </si>
  <si>
    <t>Итого затраты за месяц</t>
  </si>
  <si>
    <t>52 раза в сезон</t>
  </si>
  <si>
    <t>78 раз за сезон</t>
  </si>
  <si>
    <t>АКТ №11</t>
  </si>
  <si>
    <t>Смена арматуры - вентилей и клапанов обратных муфтовых диаметром до 20 мм</t>
  </si>
  <si>
    <t>АКТ №12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</si>
  <si>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ул.Строительная пгт.Ярега
</t>
  </si>
  <si>
    <t>Очистка канализационной сети внутренней</t>
  </si>
  <si>
    <t>ООО «Движение»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</si>
  <si>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14.03.2013г.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</si>
  <si>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</si>
  <si>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м</t>
  </si>
  <si>
    <t>Патрубок компенсационный 110</t>
  </si>
  <si>
    <t>1 место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</si>
  <si>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</si>
  <si>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</si>
  <si>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</si>
  <si>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</si>
  <si>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</si>
  <si>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</si>
  <si>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4 раза</t>
  </si>
  <si>
    <t>25 раз</t>
  </si>
  <si>
    <t>7 раз</t>
  </si>
  <si>
    <t>1 раз</t>
  </si>
  <si>
    <t>13 шт</t>
  </si>
  <si>
    <t>руб</t>
  </si>
  <si>
    <t>под.№2</t>
  </si>
  <si>
    <t>Ревизия 110</t>
  </si>
  <si>
    <t>Переход чугун-пластик 110</t>
  </si>
  <si>
    <t>3 раза</t>
  </si>
  <si>
    <t>Отвод 110-45</t>
  </si>
  <si>
    <t>за период с 01.01.2020 г. по 31.01.2020 г.</t>
  </si>
  <si>
    <t>Смена канализационных труб на полипропиленовые ПП 100*2000</t>
  </si>
  <si>
    <t>Тройник 110</t>
  </si>
  <si>
    <t>Патрубок  компенсационный 110</t>
  </si>
  <si>
    <t>Осмотр электросетей, армазуры и электрооборудования на лестничных клетках</t>
  </si>
  <si>
    <t>5 шт</t>
  </si>
  <si>
    <t>фановая труба</t>
  </si>
  <si>
    <t>за период с 01.02.2020 г. по 28.02.2020 г.</t>
  </si>
  <si>
    <t>21 февраля</t>
  </si>
  <si>
    <t>Смена внутренних трубопроводов на полипропиленовые PN 25 Dу 20</t>
  </si>
  <si>
    <t>Смена арматуры - вентилей и клапанов обратных муфтовых диаметром до 32 мм</t>
  </si>
  <si>
    <t>2 шт. с/о подвал</t>
  </si>
  <si>
    <t>с/о, 20 м, подвал</t>
  </si>
  <si>
    <t>3 шт. с/о подвал, 4шт-с/о кв.13</t>
  </si>
  <si>
    <t>2. Всего за период с 01.02.2020 по 29.02.2020 выполнено работ (оказано услуг) на общую сумму: 81476,32 руб.</t>
  </si>
  <si>
    <t>(восемьдесят одна тысяча четыреста семьдесят шесть рублей 32 копейки)</t>
  </si>
  <si>
    <t>Смена канализационных труб на полипропиленовые ПП 100*1000</t>
  </si>
  <si>
    <t>за период с 01.03.2020 г. по 31.03.2020 г.</t>
  </si>
  <si>
    <t>кв.13 с/о 12 м</t>
  </si>
  <si>
    <t>за период с 01.04.2020 г. по 30.04.2020 г.</t>
  </si>
  <si>
    <t>место</t>
  </si>
  <si>
    <t>Герметизация стыков трубопроводов</t>
  </si>
  <si>
    <t>Смена канализационных труб на полипропиленовые ПП 50*2000</t>
  </si>
  <si>
    <t>Тройник 50</t>
  </si>
  <si>
    <t>кв.39</t>
  </si>
  <si>
    <t>2. Всего за период с 01.03.2020 по 31.03.2020 выполнено работ (оказано услуг) на общую сумму: 62192,75 руб.</t>
  </si>
  <si>
    <t>(шестьдесят две тысячи сто девяносто два рубля 75 копеек)</t>
  </si>
  <si>
    <t>за период с 01.05.2020 г. по 31.05.20 г.</t>
  </si>
  <si>
    <t>Подготовка к собранию ( уведомления)</t>
  </si>
  <si>
    <t>Ремонт деревянного пандуса</t>
  </si>
  <si>
    <t>Установка хомута диаметром до 50 мм</t>
  </si>
  <si>
    <t>ГВС, под.№4</t>
  </si>
  <si>
    <t>1 шт под.№2</t>
  </si>
  <si>
    <t xml:space="preserve">Осмотр водопроводов, канализации, отопления </t>
  </si>
  <si>
    <t>2. Всего за период с 01.04.2020 по 30.04.2020 выполнено работ (оказано услуг) на общую сумму: 43456,77 руб.</t>
  </si>
  <si>
    <t>(сорок три тысячи четыреста пятьдесят шесть рублей 77 копеек )</t>
  </si>
  <si>
    <t>Осмотр кровли металлической</t>
  </si>
  <si>
    <t>за период с 01.06.2020 г. по 30.06.2020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</si>
  <si>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</si>
  <si>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</si>
  <si>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01.07.2020 г. по 31.07.2020 г.</t>
  </si>
  <si>
    <t>под.№3</t>
  </si>
  <si>
    <t>2. Всего за период с 01.07.2020 по 31.07.2020 выполнено работ (оказано услуг) на общую сумму: 13856,11 руб.</t>
  </si>
  <si>
    <t>(сто тридцать восемь тысяч пятьсот шестьдесят шесть рублей 11 копеек)</t>
  </si>
  <si>
    <t>за период с 01.08.2020 г. по 31.08.2020 г.</t>
  </si>
  <si>
    <t>Заделка выбоин входной площадки</t>
  </si>
  <si>
    <t>100 шт</t>
  </si>
  <si>
    <t>под.№1</t>
  </si>
  <si>
    <t>1 шт. тамбур под.№2</t>
  </si>
  <si>
    <t>Смена канализационных труб на полипропиленовые ПП 50*1000</t>
  </si>
  <si>
    <t>Отвод 50-90</t>
  </si>
  <si>
    <t>Отвод 50-45</t>
  </si>
  <si>
    <t>Переход чугун-пластик 50</t>
  </si>
  <si>
    <t>Манжета 73*50</t>
  </si>
  <si>
    <t>Заглушка 50</t>
  </si>
  <si>
    <t>кух стояк в подвале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</si>
  <si>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</si>
  <si>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за период с 01.09.2020 г. по 30.09.2020 г.</t>
  </si>
  <si>
    <t>Осмотр пластиковых и иных  заполнений проемов</t>
  </si>
  <si>
    <t>по мере необходимости</t>
  </si>
  <si>
    <t>Снятие показаний с общедомовых приборов учета электрической энергии и холодной воды</t>
  </si>
  <si>
    <t>Обслуживание общедомового прибора учета тепловой энергии</t>
  </si>
  <si>
    <t>Водоснабжение,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</si>
  <si>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</si>
  <si>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</si>
  <si>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</si>
  <si>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</si>
  <si>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2. Всего за период с 01.09.2020 по 30.09.2020 выполнено работ (оказано услуг) на общую сумму: 133898,62 руб.</t>
  </si>
  <si>
    <t>(сто тридцать три тысячи восемьсот девяносто восемь рублей 62 копейки)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</si>
  <si>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</si>
  <si>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Кучановой 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</si>
  <si>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Смена полипропиленовых канализационных труб ПП 100*1000</t>
  </si>
  <si>
    <t>Восстановление связи датчиков с тепловычислителем</t>
  </si>
  <si>
    <t>кв.37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</si>
  <si>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</si>
  <si>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</si>
  <si>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</si>
  <si>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35 раз за сезон</t>
  </si>
  <si>
    <t>Вывоз снега с придомовой территории</t>
  </si>
  <si>
    <t>1 м3</t>
  </si>
  <si>
    <t>Очистка вручную от снега и наледи люков водопроводных и канализационных колодцев</t>
  </si>
  <si>
    <t>2 раза в месяц</t>
  </si>
  <si>
    <t>Внеплановая проверка вентканалов</t>
  </si>
  <si>
    <t xml:space="preserve">Пескопосыпка территории:  тротуары </t>
  </si>
  <si>
    <t>Ремонт и регулировка доводчика (без стоимости доводчика)</t>
  </si>
  <si>
    <t>1шт.</t>
  </si>
  <si>
    <t>под.№4</t>
  </si>
  <si>
    <t>кв.22</t>
  </si>
  <si>
    <t>Герметизация стыков трубороводов</t>
  </si>
  <si>
    <t>Уборка мусора в подвале</t>
  </si>
  <si>
    <t>мЗ</t>
  </si>
  <si>
    <t>подвал кан-я</t>
  </si>
  <si>
    <t>за период с 01.12.2020 г. по 31.12.2020 г.</t>
  </si>
  <si>
    <t>6 раз</t>
  </si>
  <si>
    <t xml:space="preserve">2 раза </t>
  </si>
  <si>
    <t>3,12.2020</t>
  </si>
  <si>
    <t>Отвод 110-90</t>
  </si>
  <si>
    <t>Манжета 123*100</t>
  </si>
  <si>
    <t>работа ротенбергера</t>
  </si>
  <si>
    <t>час</t>
  </si>
  <si>
    <t>Демонтаж шахты для работ ВДИС</t>
  </si>
  <si>
    <t>10 м2</t>
  </si>
  <si>
    <t>1 м с кв.16 до подвала</t>
  </si>
  <si>
    <t>кв.16</t>
  </si>
  <si>
    <t>2. Всего за период с 01.01.2020 по 31.01.2020 выполнено работ (оказано услуг) на общую сумму: 47753,80 руб.</t>
  </si>
  <si>
    <t>(сорок семь тысяч семьсот пятьдеся три рубля 80 копеек)</t>
  </si>
  <si>
    <t>Укрепление фановой трубы на чердаке</t>
  </si>
  <si>
    <t>2. Всего за период с 01.05.2020 по 31.05.2020 выполнено работ (оказано услуг) на общую сумму: 5885,21 руб.</t>
  </si>
  <si>
    <t>(пятьдесят восемь тысяч восемьсот пятьдесят четыре рубля 21 копейка )</t>
  </si>
  <si>
    <t>2. Всего за период с 01.06.2020 по 30.06.2020 выполнено работ (оказано услуг) на общую сумму: 47776,30 руб.</t>
  </si>
  <si>
    <t>(сорок семь тысяч семьсот семьдесят шесть рублей 30 копеек)</t>
  </si>
  <si>
    <t>2. Всего за период с 01.08.2020 по 31.08.2020 выполнено работ (оказано услуг) на общую сумму: 40269,72 руб.</t>
  </si>
  <si>
    <t>(сорок тысяч двести шестьдесят девять рублей 72 копейки)</t>
  </si>
  <si>
    <t>2. Всего за период с 01.10.2020 по 31.10.2020 выполнено работ (оказано услуг) на общую сумму: 81633,90 руб.</t>
  </si>
  <si>
    <t>(восемьдесят одна тысяча шестьсот тридцать три рубля 90 копеек)</t>
  </si>
  <si>
    <t>3 м</t>
  </si>
  <si>
    <t>2. Всего за период с 01.11.2020 по 30.11.2020 выполнено работ (оказано услуг) на общую сумму: 73676,08 руб.</t>
  </si>
  <si>
    <t>(семьдесят три тысячи шестьсот семьдесят шесть рублей 08 копеек)</t>
  </si>
  <si>
    <t>6 м</t>
  </si>
  <si>
    <t>2. Всего за период с 01.12.2020 по 31.12.2020 выполнено работ (оказано услуг) на общую сумму: 99419,90 руб.</t>
  </si>
  <si>
    <t>( девяносто девять тысяч четыреста девятнадцать рублей 90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</si>
</sst>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4" fontId="17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1" fillId="3" borderId="1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opLeftCell="A84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133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180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43861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21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20.2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20.2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101</v>
      </c>
      <c r="C30" s="16" t="s">
        <v>84</v>
      </c>
      <c r="D30" s="14" t="s">
        <v>98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115</v>
      </c>
      <c r="C31" s="16" t="s">
        <v>84</v>
      </c>
      <c r="D31" s="14" t="s">
        <v>99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114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100</v>
      </c>
      <c r="C34" s="16" t="s">
        <v>30</v>
      </c>
      <c r="D34" s="14" t="s">
        <v>61</v>
      </c>
      <c r="E34" s="60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121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134</v>
      </c>
      <c r="I38" s="13"/>
      <c r="J38" s="24"/>
      <c r="L38" s="19"/>
      <c r="M38" s="20"/>
      <c r="N38" s="21"/>
    </row>
    <row r="39" spans="1:14" ht="15.75" hidden="1" customHeight="1">
      <c r="A39" s="30">
        <v>8</v>
      </c>
      <c r="B39" s="14" t="s">
        <v>26</v>
      </c>
      <c r="C39" s="16" t="s">
        <v>31</v>
      </c>
      <c r="D39" s="14"/>
      <c r="E39" s="18"/>
      <c r="F39" s="13">
        <v>6</v>
      </c>
      <c r="G39" s="13">
        <v>1527.22</v>
      </c>
      <c r="H39" s="13">
        <f t="shared" ref="H39:H44" si="3">SUM(F39*G39/1000)</f>
        <v>9.1633200000000006</v>
      </c>
      <c r="I39" s="13">
        <f>G39*0.5</f>
        <v>763.61</v>
      </c>
      <c r="J39" s="24"/>
      <c r="L39" s="19"/>
      <c r="M39" s="20"/>
      <c r="N39" s="21"/>
    </row>
    <row r="40" spans="1:14" ht="15.75" customHeight="1">
      <c r="A40" s="30">
        <v>8</v>
      </c>
      <c r="B40" s="14" t="s">
        <v>102</v>
      </c>
      <c r="C40" s="16" t="s">
        <v>29</v>
      </c>
      <c r="D40" s="14" t="s">
        <v>169</v>
      </c>
      <c r="E40" s="18">
        <v>374</v>
      </c>
      <c r="F40" s="13">
        <f>E40*26/1000</f>
        <v>9.7240000000000002</v>
      </c>
      <c r="G40" s="13">
        <v>2102.71</v>
      </c>
      <c r="H40" s="13">
        <f>G40*F40/1000</f>
        <v>20.44675204</v>
      </c>
      <c r="I40" s="13">
        <f t="shared" ref="I40:I42" si="4">F40/6*G40</f>
        <v>3407.792006666667</v>
      </c>
      <c r="J40" s="24"/>
      <c r="L40" s="19"/>
      <c r="M40" s="20"/>
      <c r="N40" s="21"/>
    </row>
    <row r="41" spans="1:14" ht="15.75" customHeight="1">
      <c r="A41" s="30">
        <v>9</v>
      </c>
      <c r="B41" s="14" t="s">
        <v>65</v>
      </c>
      <c r="C41" s="16" t="s">
        <v>29</v>
      </c>
      <c r="D41" s="14" t="s">
        <v>170</v>
      </c>
      <c r="E41" s="13">
        <v>160</v>
      </c>
      <c r="F41" s="13">
        <f>SUM(E41*155/1000)</f>
        <v>24.8</v>
      </c>
      <c r="G41" s="13">
        <v>350.75</v>
      </c>
      <c r="H41" s="13">
        <f t="shared" si="3"/>
        <v>8.6986000000000008</v>
      </c>
      <c r="I41" s="13">
        <f t="shared" si="4"/>
        <v>1449.7666666666669</v>
      </c>
      <c r="J41" s="24"/>
      <c r="L41" s="19"/>
      <c r="M41" s="20"/>
      <c r="N41" s="21"/>
    </row>
    <row r="42" spans="1:14" ht="47.25" customHeight="1">
      <c r="A42" s="30">
        <v>10</v>
      </c>
      <c r="B42" s="14" t="s">
        <v>79</v>
      </c>
      <c r="C42" s="16" t="s">
        <v>84</v>
      </c>
      <c r="D42" s="14" t="s">
        <v>165</v>
      </c>
      <c r="E42" s="13">
        <v>76</v>
      </c>
      <c r="F42" s="13">
        <f>SUM(E42*50/1000)</f>
        <v>3.8</v>
      </c>
      <c r="G42" s="13">
        <v>5803.28</v>
      </c>
      <c r="H42" s="13">
        <f t="shared" si="3"/>
        <v>22.052463999999997</v>
      </c>
      <c r="I42" s="13">
        <f t="shared" si="4"/>
        <v>3675.4106666666662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85</v>
      </c>
      <c r="C43" s="16" t="s">
        <v>84</v>
      </c>
      <c r="D43" s="14" t="s">
        <v>171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(F43/7.5)*G43</f>
        <v>195.4872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(F44/7.5)*G44</f>
        <v>95.76</v>
      </c>
      <c r="J44" s="24"/>
      <c r="L44" s="19"/>
      <c r="M44" s="20"/>
      <c r="N44" s="21"/>
    </row>
    <row r="45" spans="1:14" ht="15.75" customHeight="1">
      <c r="A45" s="137" t="s">
        <v>130</v>
      </c>
      <c r="B45" s="138"/>
      <c r="C45" s="138"/>
      <c r="D45" s="138"/>
      <c r="E45" s="138"/>
      <c r="F45" s="138"/>
      <c r="G45" s="138"/>
      <c r="H45" s="138"/>
      <c r="I45" s="139"/>
      <c r="J45" s="24"/>
      <c r="L45" s="19"/>
      <c r="M45" s="20"/>
      <c r="N45" s="21"/>
    </row>
    <row r="46" spans="1:14" ht="15.75" hidden="1" customHeight="1">
      <c r="A46" s="30"/>
      <c r="B46" s="14" t="s">
        <v>135</v>
      </c>
      <c r="C46" s="16" t="s">
        <v>84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5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84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5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84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5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84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5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customHeight="1">
      <c r="A51" s="30">
        <v>11</v>
      </c>
      <c r="B51" s="14" t="s">
        <v>54</v>
      </c>
      <c r="C51" s="16" t="s">
        <v>84</v>
      </c>
      <c r="D51" s="14" t="s">
        <v>172</v>
      </c>
      <c r="E51" s="18">
        <v>1914</v>
      </c>
      <c r="F51" s="13">
        <f>SUM(E51*5/1000)</f>
        <v>9.57</v>
      </c>
      <c r="G51" s="13">
        <v>1213.55</v>
      </c>
      <c r="H51" s="13">
        <f t="shared" si="5"/>
        <v>11.613673500000001</v>
      </c>
      <c r="I51" s="13">
        <f>F51/5*G51</f>
        <v>2322.7347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86</v>
      </c>
      <c r="C52" s="16" t="s">
        <v>84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5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87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18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5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5.75" hidden="1" customHeight="1">
      <c r="A55" s="30">
        <v>19</v>
      </c>
      <c r="B55" s="14" t="s">
        <v>40</v>
      </c>
      <c r="C55" s="16" t="s">
        <v>103</v>
      </c>
      <c r="D55" s="14" t="s">
        <v>68</v>
      </c>
      <c r="E55" s="18">
        <v>120</v>
      </c>
      <c r="F55" s="13">
        <f>SUM(E55)*3</f>
        <v>360</v>
      </c>
      <c r="G55" s="13">
        <v>65.67</v>
      </c>
      <c r="H55" s="13">
        <f t="shared" si="5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7" t="s">
        <v>131</v>
      </c>
      <c r="B56" s="138"/>
      <c r="C56" s="138"/>
      <c r="D56" s="138"/>
      <c r="E56" s="138"/>
      <c r="F56" s="138"/>
      <c r="G56" s="138"/>
      <c r="H56" s="138"/>
      <c r="I56" s="139"/>
      <c r="J56" s="24"/>
      <c r="L56" s="19"/>
      <c r="M56" s="20"/>
      <c r="N56" s="21"/>
    </row>
    <row r="57" spans="1:22" ht="15.75" hidden="1" customHeight="1">
      <c r="A57" s="30"/>
      <c r="B57" s="51" t="s">
        <v>42</v>
      </c>
      <c r="C57" s="16"/>
      <c r="D57" s="14"/>
      <c r="E57" s="18"/>
      <c r="F57" s="13"/>
      <c r="G57" s="13"/>
      <c r="H57" s="13"/>
      <c r="I57" s="13"/>
      <c r="J57" s="24"/>
      <c r="L57" s="19"/>
    </row>
    <row r="58" spans="1:22" ht="31.5" hidden="1" customHeight="1">
      <c r="A58" s="30">
        <v>18</v>
      </c>
      <c r="B58" s="14" t="s">
        <v>136</v>
      </c>
      <c r="C58" s="16" t="s">
        <v>82</v>
      </c>
      <c r="D58" s="14" t="s">
        <v>104</v>
      </c>
      <c r="E58" s="18">
        <v>66</v>
      </c>
      <c r="F58" s="13">
        <f>SUM(E58*6/100)</f>
        <v>3.96</v>
      </c>
      <c r="G58" s="13">
        <v>1547.28</v>
      </c>
      <c r="H58" s="13">
        <f>SUM(F58*G58/1000)</f>
        <v>6.1272288000000001</v>
      </c>
      <c r="I58" s="13">
        <f>F58/6*G58</f>
        <v>1021.2048</v>
      </c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116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12</v>
      </c>
      <c r="B61" s="74" t="s">
        <v>117</v>
      </c>
      <c r="C61" s="75" t="s">
        <v>25</v>
      </c>
      <c r="D61" s="74" t="s">
        <v>167</v>
      </c>
      <c r="E61" s="76">
        <v>200</v>
      </c>
      <c r="F61" s="77">
        <f>E61*12</f>
        <v>2400</v>
      </c>
      <c r="G61" s="78">
        <v>1.4</v>
      </c>
      <c r="H61" s="79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124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125</v>
      </c>
      <c r="C63" s="16" t="s">
        <v>103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6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1"/>
      <c r="S63" s="121"/>
      <c r="T63" s="121"/>
      <c r="U63" s="121"/>
    </row>
    <row r="64" spans="1:22" ht="14.25" hidden="1" customHeight="1">
      <c r="A64" s="30"/>
      <c r="B64" s="51" t="s">
        <v>44</v>
      </c>
      <c r="C64" s="16"/>
      <c r="D64" s="14"/>
      <c r="E64" s="18"/>
      <c r="F64" s="13"/>
      <c r="G64" s="13"/>
      <c r="H64" s="13" t="s">
        <v>134</v>
      </c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24.75" hidden="1" customHeight="1">
      <c r="A65" s="30">
        <v>16</v>
      </c>
      <c r="B65" s="14" t="s">
        <v>45</v>
      </c>
      <c r="C65" s="16" t="s">
        <v>103</v>
      </c>
      <c r="D65" s="14" t="s">
        <v>169</v>
      </c>
      <c r="E65" s="18">
        <v>10</v>
      </c>
      <c r="F65" s="13">
        <v>10</v>
      </c>
      <c r="G65" s="13">
        <v>222.4</v>
      </c>
      <c r="H65" s="13">
        <f t="shared" ref="H65:H78" si="7">SUM(F65*G65/1000)</f>
        <v>2.2240000000000002</v>
      </c>
      <c r="I65" s="13">
        <f>G65*4</f>
        <v>889.6</v>
      </c>
    </row>
    <row r="66" spans="1:9" ht="26.25" hidden="1" customHeight="1">
      <c r="A66" s="30"/>
      <c r="B66" s="14" t="s">
        <v>46</v>
      </c>
      <c r="C66" s="16" t="s">
        <v>103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si="7"/>
        <v>0.38124999999999998</v>
      </c>
      <c r="I66" s="13">
        <v>0</v>
      </c>
    </row>
    <row r="67" spans="1:9" ht="25.5" hidden="1" customHeight="1">
      <c r="A67" s="30"/>
      <c r="B67" s="14" t="s">
        <v>47</v>
      </c>
      <c r="C67" s="16" t="s">
        <v>105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7"/>
        <v>40.601267</v>
      </c>
      <c r="I67" s="13">
        <f>F67*G67</f>
        <v>40601.267</v>
      </c>
    </row>
    <row r="68" spans="1:9" ht="22.5" hidden="1" customHeight="1">
      <c r="A68" s="30"/>
      <c r="B68" s="14" t="s">
        <v>48</v>
      </c>
      <c r="C68" s="16" t="s">
        <v>106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7"/>
        <v>3.1617889800000003</v>
      </c>
      <c r="I68" s="13">
        <f t="shared" ref="I68:I72" si="8">F68*G68</f>
        <v>3161.7889800000003</v>
      </c>
    </row>
    <row r="69" spans="1:9" ht="22.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7"/>
        <v>56.637399000000002</v>
      </c>
      <c r="I69" s="13">
        <f t="shared" si="8"/>
        <v>56637.399000000005</v>
      </c>
    </row>
    <row r="70" spans="1:9" ht="23.25" hidden="1" customHeight="1">
      <c r="A70" s="30"/>
      <c r="B70" s="61" t="s">
        <v>107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7"/>
        <v>0.58916000000000002</v>
      </c>
      <c r="I70" s="13">
        <f t="shared" si="8"/>
        <v>589.16</v>
      </c>
    </row>
    <row r="71" spans="1:9" ht="23.25" hidden="1" customHeight="1">
      <c r="A71" s="30"/>
      <c r="B71" s="61" t="s">
        <v>108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7"/>
        <v>0.54964000000000002</v>
      </c>
      <c r="I71" s="13">
        <f t="shared" si="8"/>
        <v>549.64</v>
      </c>
    </row>
    <row r="72" spans="1:9" ht="21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7"/>
        <v>0.39904000000000001</v>
      </c>
      <c r="I72" s="13">
        <f t="shared" si="8"/>
        <v>399.04</v>
      </c>
    </row>
    <row r="73" spans="1:9" ht="17.25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134</v>
      </c>
      <c r="I73" s="13"/>
    </row>
    <row r="74" spans="1:9" ht="20.25" customHeight="1">
      <c r="A74" s="30">
        <v>13</v>
      </c>
      <c r="B74" s="14" t="s">
        <v>70</v>
      </c>
      <c r="C74" s="16" t="s">
        <v>72</v>
      </c>
      <c r="D74" s="14" t="s">
        <v>185</v>
      </c>
      <c r="E74" s="18">
        <v>4</v>
      </c>
      <c r="F74" s="13">
        <v>0.4</v>
      </c>
      <c r="G74" s="13">
        <v>501.62</v>
      </c>
      <c r="H74" s="13">
        <f t="shared" si="7"/>
        <v>0.20064800000000002</v>
      </c>
      <c r="I74" s="13">
        <f>G74*0.5</f>
        <v>250.81</v>
      </c>
    </row>
    <row r="75" spans="1:9" ht="24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23.25" hidden="1" customHeight="1">
      <c r="A76" s="30"/>
      <c r="B76" s="14" t="s">
        <v>110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24.75" hidden="1" customHeight="1">
      <c r="A77" s="30"/>
      <c r="B77" s="58" t="s">
        <v>73</v>
      </c>
      <c r="C77" s="16"/>
      <c r="D77" s="14"/>
      <c r="E77" s="18"/>
      <c r="F77" s="13"/>
      <c r="G77" s="13" t="s">
        <v>134</v>
      </c>
      <c r="H77" s="13" t="s">
        <v>134</v>
      </c>
      <c r="I77" s="13"/>
    </row>
    <row r="78" spans="1:9" ht="21.75" hidden="1" customHeight="1">
      <c r="A78" s="30"/>
      <c r="B78" s="42" t="s">
        <v>120</v>
      </c>
      <c r="C78" s="16" t="s">
        <v>74</v>
      </c>
      <c r="D78" s="14"/>
      <c r="E78" s="18"/>
      <c r="F78" s="13">
        <v>0.1</v>
      </c>
      <c r="G78" s="13">
        <v>2759.44</v>
      </c>
      <c r="H78" s="13">
        <f t="shared" si="7"/>
        <v>0.27594400000000002</v>
      </c>
      <c r="I78" s="13">
        <v>0</v>
      </c>
    </row>
    <row r="79" spans="1:9" ht="21.75" hidden="1" customHeight="1">
      <c r="A79" s="30"/>
      <c r="B79" s="51" t="s">
        <v>88</v>
      </c>
      <c r="C79" s="64"/>
      <c r="D79" s="64"/>
      <c r="E79" s="64"/>
      <c r="F79" s="64"/>
      <c r="G79" s="59"/>
      <c r="H79" s="59">
        <f>SUM(H58:H78)</f>
        <v>127.67723648</v>
      </c>
      <c r="I79" s="59"/>
    </row>
    <row r="80" spans="1:9" ht="18" hidden="1" customHeight="1">
      <c r="A80" s="30"/>
      <c r="B80" s="14" t="s">
        <v>109</v>
      </c>
      <c r="C80" s="16"/>
      <c r="D80" s="14"/>
      <c r="E80" s="18"/>
      <c r="F80" s="13">
        <v>1</v>
      </c>
      <c r="G80" s="13">
        <v>13441.4</v>
      </c>
      <c r="H80" s="13">
        <f>G80*F80/1000</f>
        <v>13.4414</v>
      </c>
      <c r="I80" s="13">
        <v>0</v>
      </c>
    </row>
    <row r="81" spans="1:9" ht="15.75" customHeight="1">
      <c r="A81" s="122" t="s">
        <v>132</v>
      </c>
      <c r="B81" s="123"/>
      <c r="C81" s="123"/>
      <c r="D81" s="123"/>
      <c r="E81" s="123"/>
      <c r="F81" s="123"/>
      <c r="G81" s="123"/>
      <c r="H81" s="123"/>
      <c r="I81" s="124"/>
    </row>
    <row r="82" spans="1:9" ht="15.75" customHeight="1">
      <c r="A82" s="30">
        <v>14</v>
      </c>
      <c r="B82" s="14" t="s">
        <v>111</v>
      </c>
      <c r="C82" s="16" t="s">
        <v>53</v>
      </c>
      <c r="D82" s="54"/>
      <c r="E82" s="13">
        <v>5367.6</v>
      </c>
      <c r="F82" s="13">
        <f>SUM(E82*12)</f>
        <v>64411.200000000004</v>
      </c>
      <c r="G82" s="13">
        <v>2.1</v>
      </c>
      <c r="H82" s="13">
        <f>SUM(F82*G82/1000)</f>
        <v>135.26352000000003</v>
      </c>
      <c r="I82" s="13">
        <f>F82/12*G82</f>
        <v>11271.960000000001</v>
      </c>
    </row>
    <row r="83" spans="1:9" ht="31.5" customHeight="1">
      <c r="A83" s="30">
        <v>15</v>
      </c>
      <c r="B83" s="14" t="s">
        <v>75</v>
      </c>
      <c r="C83" s="16"/>
      <c r="D83" s="54"/>
      <c r="E83" s="18">
        <f>E82</f>
        <v>5367.6</v>
      </c>
      <c r="F83" s="13">
        <f>E83*12</f>
        <v>64411.200000000004</v>
      </c>
      <c r="G83" s="13">
        <v>1.63</v>
      </c>
      <c r="H83" s="13">
        <f>F83*G83/1000</f>
        <v>104.99025599999999</v>
      </c>
      <c r="I83" s="13">
        <f>F83/12*G83</f>
        <v>8749.1880000000001</v>
      </c>
    </row>
    <row r="84" spans="1:9" ht="15.75" customHeight="1">
      <c r="A84" s="30"/>
      <c r="B84" s="35" t="s">
        <v>77</v>
      </c>
      <c r="C84" s="58"/>
      <c r="D84" s="62"/>
      <c r="E84" s="59"/>
      <c r="F84" s="59"/>
      <c r="G84" s="59"/>
      <c r="H84" s="59">
        <f>H83</f>
        <v>104.99025599999999</v>
      </c>
      <c r="I84" s="59">
        <f>I83+I82+I74+I61+I51+I42+I41+I40+I27+I24+I21+I20+I18+I17+I16</f>
        <v>45095.362752000008</v>
      </c>
    </row>
    <row r="85" spans="1:9" ht="15.75" customHeight="1">
      <c r="A85" s="133" t="s">
        <v>58</v>
      </c>
      <c r="B85" s="134"/>
      <c r="C85" s="134"/>
      <c r="D85" s="134"/>
      <c r="E85" s="134"/>
      <c r="F85" s="134"/>
      <c r="G85" s="134"/>
      <c r="H85" s="134"/>
      <c r="I85" s="135"/>
    </row>
    <row r="86" spans="1:9" ht="15" customHeight="1">
      <c r="A86" s="30">
        <v>16</v>
      </c>
      <c r="B86" s="45" t="s">
        <v>118</v>
      </c>
      <c r="C86" s="46" t="s">
        <v>103</v>
      </c>
      <c r="D86" s="71"/>
      <c r="E86" s="95"/>
      <c r="F86" s="34">
        <v>1</v>
      </c>
      <c r="G86" s="34">
        <v>60.72</v>
      </c>
      <c r="H86" s="63">
        <f t="shared" ref="H86:H88" si="9">G86*F86/1000</f>
        <v>6.0719999999999996E-2</v>
      </c>
      <c r="I86" s="13">
        <f>G86*1</f>
        <v>60.72</v>
      </c>
    </row>
    <row r="87" spans="1:9" ht="30.75" customHeight="1">
      <c r="A87" s="30">
        <v>17</v>
      </c>
      <c r="B87" s="87" t="s">
        <v>181</v>
      </c>
      <c r="C87" s="88" t="s">
        <v>30</v>
      </c>
      <c r="D87" s="71" t="s">
        <v>186</v>
      </c>
      <c r="E87" s="95"/>
      <c r="F87" s="34">
        <v>1</v>
      </c>
      <c r="G87" s="34">
        <v>1179.28</v>
      </c>
      <c r="H87" s="63">
        <f t="shared" si="9"/>
        <v>1.1792799999999999</v>
      </c>
      <c r="I87" s="13">
        <f>G87*1</f>
        <v>1179.28</v>
      </c>
    </row>
    <row r="88" spans="1:9" ht="31.5" customHeight="1">
      <c r="A88" s="30">
        <v>18</v>
      </c>
      <c r="B88" s="87" t="s">
        <v>196</v>
      </c>
      <c r="C88" s="88" t="s">
        <v>30</v>
      </c>
      <c r="D88" s="71" t="s">
        <v>186</v>
      </c>
      <c r="E88" s="95"/>
      <c r="F88" s="34">
        <v>1</v>
      </c>
      <c r="G88" s="34">
        <v>945.36</v>
      </c>
      <c r="H88" s="63">
        <f t="shared" si="9"/>
        <v>0.94535999999999998</v>
      </c>
      <c r="I88" s="13">
        <f>G88*1</f>
        <v>945.36</v>
      </c>
    </row>
    <row r="89" spans="1:9" ht="16.5" customHeight="1">
      <c r="A89" s="30">
        <v>19</v>
      </c>
      <c r="B89" s="87" t="s">
        <v>182</v>
      </c>
      <c r="C89" s="88" t="s">
        <v>103</v>
      </c>
      <c r="D89" s="71"/>
      <c r="E89" s="95"/>
      <c r="F89" s="34">
        <v>2</v>
      </c>
      <c r="G89" s="34">
        <v>126</v>
      </c>
      <c r="H89" s="63"/>
      <c r="I89" s="13">
        <f>G89*2</f>
        <v>252</v>
      </c>
    </row>
    <row r="90" spans="1:9" ht="16.5" customHeight="1">
      <c r="A90" s="30">
        <v>20</v>
      </c>
      <c r="B90" s="87" t="s">
        <v>183</v>
      </c>
      <c r="C90" s="88" t="s">
        <v>103</v>
      </c>
      <c r="D90" s="71"/>
      <c r="E90" s="95"/>
      <c r="F90" s="34">
        <v>1</v>
      </c>
      <c r="G90" s="34">
        <v>98</v>
      </c>
      <c r="H90" s="63"/>
      <c r="I90" s="13">
        <f>G90*1</f>
        <v>98</v>
      </c>
    </row>
    <row r="91" spans="1:9" ht="30" customHeight="1">
      <c r="A91" s="30">
        <v>21</v>
      </c>
      <c r="B91" s="45" t="s">
        <v>184</v>
      </c>
      <c r="C91" s="46" t="s">
        <v>37</v>
      </c>
      <c r="D91" s="71" t="s">
        <v>178</v>
      </c>
      <c r="E91" s="95"/>
      <c r="F91" s="34">
        <v>0.03</v>
      </c>
      <c r="G91" s="34">
        <v>4070.89</v>
      </c>
      <c r="H91" s="63"/>
      <c r="I91" s="13">
        <v>0</v>
      </c>
    </row>
    <row r="92" spans="1:9" ht="32.25" customHeight="1">
      <c r="A92" s="30">
        <v>22</v>
      </c>
      <c r="B92" s="85" t="s">
        <v>159</v>
      </c>
      <c r="C92" s="86" t="s">
        <v>29</v>
      </c>
      <c r="D92" s="73"/>
      <c r="E92" s="96"/>
      <c r="F92" s="34">
        <f>10*0.599/1000</f>
        <v>5.9900000000000005E-3</v>
      </c>
      <c r="G92" s="34">
        <v>20547.34</v>
      </c>
      <c r="H92" s="63"/>
      <c r="I92" s="13">
        <f>G92*0.599*10/1000</f>
        <v>123.07856659999999</v>
      </c>
    </row>
    <row r="93" spans="1:9" ht="15.75" customHeight="1">
      <c r="A93" s="30"/>
      <c r="B93" s="40" t="s">
        <v>50</v>
      </c>
      <c r="C93" s="36"/>
      <c r="D93" s="43"/>
      <c r="E93" s="36">
        <v>1</v>
      </c>
      <c r="F93" s="36"/>
      <c r="G93" s="36"/>
      <c r="H93" s="36"/>
      <c r="I93" s="32">
        <f>SUM(I86:I92)</f>
        <v>2658.4385666000003</v>
      </c>
    </row>
    <row r="94" spans="1:9" ht="15.75" customHeight="1">
      <c r="A94" s="30"/>
      <c r="B94" s="42" t="s">
        <v>76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149</v>
      </c>
      <c r="C95" s="33"/>
      <c r="D95" s="33"/>
      <c r="E95" s="33"/>
      <c r="F95" s="33"/>
      <c r="G95" s="33"/>
      <c r="H95" s="33"/>
      <c r="I95" s="39">
        <f>I84+I93</f>
        <v>47753.80131860001</v>
      </c>
    </row>
    <row r="96" spans="1:9" ht="15.75" customHeight="1">
      <c r="A96" s="125" t="s">
        <v>284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53"/>
      <c r="B97" s="126" t="s">
        <v>285</v>
      </c>
      <c r="C97" s="126"/>
      <c r="D97" s="126"/>
      <c r="E97" s="126"/>
      <c r="F97" s="126"/>
      <c r="G97" s="126"/>
      <c r="H97" s="57"/>
      <c r="I97" s="3"/>
    </row>
    <row r="98" spans="1:9" ht="15.75" customHeight="1">
      <c r="A98" s="49"/>
      <c r="B98" s="127" t="s">
        <v>6</v>
      </c>
      <c r="C98" s="127"/>
      <c r="D98" s="127"/>
      <c r="E98" s="127"/>
      <c r="F98" s="127"/>
      <c r="G98" s="127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8" t="s">
        <v>7</v>
      </c>
      <c r="B100" s="128"/>
      <c r="C100" s="128"/>
      <c r="D100" s="128"/>
      <c r="E100" s="128"/>
      <c r="F100" s="128"/>
      <c r="G100" s="128"/>
      <c r="H100" s="128"/>
      <c r="I100" s="128"/>
    </row>
    <row r="101" spans="1:9" ht="15.75" customHeight="1">
      <c r="A101" s="128" t="s">
        <v>8</v>
      </c>
      <c r="B101" s="128"/>
      <c r="C101" s="128"/>
      <c r="D101" s="128"/>
      <c r="E101" s="128"/>
      <c r="F101" s="128"/>
      <c r="G101" s="128"/>
      <c r="H101" s="128"/>
      <c r="I101" s="128"/>
    </row>
    <row r="102" spans="1:9" ht="15.75">
      <c r="A102" s="129" t="s">
        <v>59</v>
      </c>
      <c r="B102" s="129"/>
      <c r="C102" s="129"/>
      <c r="D102" s="129"/>
      <c r="E102" s="129"/>
      <c r="F102" s="129"/>
      <c r="G102" s="129"/>
      <c r="H102" s="129"/>
      <c r="I102" s="129"/>
    </row>
    <row r="103" spans="1:9" ht="15.75" customHeight="1">
      <c r="A103" s="11"/>
    </row>
    <row r="104" spans="1:9" ht="15.75" customHeight="1">
      <c r="A104" s="130" t="s">
        <v>9</v>
      </c>
      <c r="B104" s="130"/>
      <c r="C104" s="130"/>
      <c r="D104" s="130"/>
      <c r="E104" s="130"/>
      <c r="F104" s="130"/>
      <c r="G104" s="130"/>
      <c r="H104" s="130"/>
      <c r="I104" s="130"/>
    </row>
    <row r="105" spans="1:9" ht="15.75" customHeight="1">
      <c r="A105" s="4"/>
    </row>
    <row r="106" spans="1:9" ht="15.75">
      <c r="B106" s="50" t="s">
        <v>10</v>
      </c>
      <c r="C106" s="131" t="s">
        <v>127</v>
      </c>
      <c r="D106" s="131"/>
      <c r="E106" s="131"/>
      <c r="F106" s="55"/>
      <c r="I106" s="48"/>
    </row>
    <row r="107" spans="1:9" ht="15.75" customHeight="1">
      <c r="A107" s="49"/>
      <c r="C107" s="127" t="s">
        <v>11</v>
      </c>
      <c r="D107" s="127"/>
      <c r="E107" s="127"/>
      <c r="F107" s="25"/>
      <c r="I107" s="47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0" t="s">
        <v>13</v>
      </c>
      <c r="C109" s="132"/>
      <c r="D109" s="132"/>
      <c r="E109" s="132"/>
      <c r="F109" s="56"/>
      <c r="I109" s="48"/>
    </row>
    <row r="110" spans="1:9" ht="15.75" customHeight="1">
      <c r="A110" s="49"/>
      <c r="C110" s="121" t="s">
        <v>11</v>
      </c>
      <c r="D110" s="121"/>
      <c r="E110" s="121"/>
      <c r="F110" s="49"/>
      <c r="I110" s="47" t="s">
        <v>12</v>
      </c>
    </row>
    <row r="111" spans="1:9" ht="15.75">
      <c r="A111" s="4" t="s">
        <v>14</v>
      </c>
    </row>
    <row r="112" spans="1:9" ht="15.75" customHeight="1">
      <c r="A112" s="119" t="s">
        <v>15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ht="45" customHeight="1">
      <c r="A113" s="120" t="s">
        <v>16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30" customHeight="1">
      <c r="A114" s="120" t="s">
        <v>17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30" customHeight="1">
      <c r="A115" s="120" t="s">
        <v>21</v>
      </c>
      <c r="B115" s="120"/>
      <c r="C115" s="120"/>
      <c r="D115" s="120"/>
      <c r="E115" s="120"/>
      <c r="F115" s="120"/>
      <c r="G115" s="120"/>
      <c r="H115" s="120"/>
      <c r="I115" s="120"/>
    </row>
    <row r="116" spans="1:9" ht="15" customHeight="1">
      <c r="A116" s="120" t="s">
        <v>20</v>
      </c>
      <c r="B116" s="120"/>
      <c r="C116" s="120"/>
      <c r="D116" s="120"/>
      <c r="E116" s="120"/>
      <c r="F116" s="120"/>
      <c r="G116" s="120"/>
      <c r="H116" s="120"/>
      <c r="I116" s="120"/>
    </row>
  </sheetData>
  <autoFilter ref="I12:I58"/>
  <mergeCells count="29">
    <mergeCell ref="A14:I14"/>
    <mergeCell ref="A3:I3"/>
    <mergeCell ref="A4:I4"/>
    <mergeCell ref="A5:I5"/>
    <mergeCell ref="A8:I8"/>
    <mergeCell ref="A10:I10"/>
    <mergeCell ref="A15:I15"/>
    <mergeCell ref="A28:I28"/>
    <mergeCell ref="A45:I45"/>
    <mergeCell ref="A56:I56"/>
    <mergeCell ref="R63:U63"/>
    <mergeCell ref="C110:E110"/>
    <mergeCell ref="A81:I81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5:I85"/>
    <mergeCell ref="A112:I112"/>
    <mergeCell ref="A113:I113"/>
    <mergeCell ref="A114:I114"/>
    <mergeCell ref="A115:I115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topLeftCell="A90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138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187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43889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101</v>
      </c>
      <c r="C30" s="16" t="s">
        <v>84</v>
      </c>
      <c r="D30" s="14" t="s">
        <v>98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115</v>
      </c>
      <c r="C31" s="16" t="s">
        <v>84</v>
      </c>
      <c r="D31" s="14" t="s">
        <v>99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114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100</v>
      </c>
      <c r="C34" s="16" t="s">
        <v>30</v>
      </c>
      <c r="D34" s="14" t="s">
        <v>61</v>
      </c>
      <c r="E34" s="60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121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134</v>
      </c>
      <c r="I38" s="13"/>
      <c r="J38" s="24"/>
      <c r="L38" s="19"/>
      <c r="M38" s="20"/>
      <c r="N38" s="21"/>
    </row>
    <row r="39" spans="1:14" ht="17.25" customHeight="1">
      <c r="A39" s="30">
        <v>8</v>
      </c>
      <c r="B39" s="14" t="s">
        <v>26</v>
      </c>
      <c r="C39" s="16" t="s">
        <v>31</v>
      </c>
      <c r="D39" s="14" t="s">
        <v>188</v>
      </c>
      <c r="E39" s="18"/>
      <c r="F39" s="13">
        <v>6</v>
      </c>
      <c r="G39" s="13">
        <v>1527.22</v>
      </c>
      <c r="H39" s="13">
        <f t="shared" ref="H39:H44" si="3">SUM(F39*G39/1000)</f>
        <v>9.1633200000000006</v>
      </c>
      <c r="I39" s="13">
        <f>G39*0.4</f>
        <v>610.88800000000003</v>
      </c>
      <c r="J39" s="24"/>
      <c r="L39" s="19"/>
      <c r="M39" s="20"/>
      <c r="N39" s="21"/>
    </row>
    <row r="40" spans="1:14" ht="15.75" customHeight="1">
      <c r="A40" s="30">
        <v>9</v>
      </c>
      <c r="B40" s="14" t="s">
        <v>102</v>
      </c>
      <c r="C40" s="16" t="s">
        <v>29</v>
      </c>
      <c r="D40" s="14" t="s">
        <v>169</v>
      </c>
      <c r="E40" s="18">
        <v>374</v>
      </c>
      <c r="F40" s="13">
        <f>E40*26/1000</f>
        <v>9.7240000000000002</v>
      </c>
      <c r="G40" s="13">
        <v>2102.71</v>
      </c>
      <c r="H40" s="13">
        <f>G40*F40/1000</f>
        <v>20.44675204</v>
      </c>
      <c r="I40" s="13">
        <f t="shared" ref="I40:I42" si="4">F40/6*G40</f>
        <v>3407.792006666667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65</v>
      </c>
      <c r="C41" s="16" t="s">
        <v>29</v>
      </c>
      <c r="D41" s="14" t="s">
        <v>170</v>
      </c>
      <c r="E41" s="13">
        <v>160</v>
      </c>
      <c r="F41" s="13">
        <f>SUM(E41*155/1000)</f>
        <v>24.8</v>
      </c>
      <c r="G41" s="13">
        <v>350.75</v>
      </c>
      <c r="H41" s="13">
        <f t="shared" si="3"/>
        <v>8.6986000000000008</v>
      </c>
      <c r="I41" s="13">
        <f t="shared" si="4"/>
        <v>1449.7666666666669</v>
      </c>
      <c r="J41" s="24"/>
      <c r="L41" s="19"/>
      <c r="M41" s="20"/>
      <c r="N41" s="21"/>
    </row>
    <row r="42" spans="1:14" ht="47.25" customHeight="1">
      <c r="A42" s="30">
        <v>11</v>
      </c>
      <c r="B42" s="14" t="s">
        <v>79</v>
      </c>
      <c r="C42" s="16" t="s">
        <v>84</v>
      </c>
      <c r="D42" s="14" t="s">
        <v>165</v>
      </c>
      <c r="E42" s="13">
        <v>76</v>
      </c>
      <c r="F42" s="13">
        <f>SUM(E42*50/1000)</f>
        <v>3.8</v>
      </c>
      <c r="G42" s="13">
        <v>5803.28</v>
      </c>
      <c r="H42" s="13">
        <f t="shared" si="3"/>
        <v>22.052463999999997</v>
      </c>
      <c r="I42" s="13">
        <f t="shared" si="4"/>
        <v>3675.4106666666662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85</v>
      </c>
      <c r="C43" s="16" t="s">
        <v>84</v>
      </c>
      <c r="D43" s="14">
        <v>0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(F43/7.5)*G43</f>
        <v>195.4872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(F44/7.5)*G44</f>
        <v>95.76</v>
      </c>
      <c r="J44" s="24"/>
      <c r="L44" s="19"/>
      <c r="M44" s="20"/>
      <c r="N44" s="21"/>
    </row>
    <row r="45" spans="1:14" ht="15" customHeight="1">
      <c r="A45" s="137" t="s">
        <v>130</v>
      </c>
      <c r="B45" s="138"/>
      <c r="C45" s="138"/>
      <c r="D45" s="138"/>
      <c r="E45" s="138"/>
      <c r="F45" s="138"/>
      <c r="G45" s="138"/>
      <c r="H45" s="138"/>
      <c r="I45" s="139"/>
      <c r="J45" s="24"/>
      <c r="L45" s="19"/>
      <c r="M45" s="20"/>
      <c r="N45" s="21"/>
    </row>
    <row r="46" spans="1:14" ht="15.75" hidden="1" customHeight="1">
      <c r="A46" s="30"/>
      <c r="B46" s="14" t="s">
        <v>135</v>
      </c>
      <c r="C46" s="16" t="s">
        <v>84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5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84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5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84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5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84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5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customHeight="1">
      <c r="A51" s="30">
        <v>12</v>
      </c>
      <c r="B51" s="14" t="s">
        <v>54</v>
      </c>
      <c r="C51" s="16" t="s">
        <v>84</v>
      </c>
      <c r="D51" s="14" t="s">
        <v>172</v>
      </c>
      <c r="E51" s="18">
        <v>1914</v>
      </c>
      <c r="F51" s="13">
        <f>SUM(E51*5/1000)</f>
        <v>9.57</v>
      </c>
      <c r="G51" s="13">
        <v>1213.55</v>
      </c>
      <c r="H51" s="13">
        <f t="shared" si="5"/>
        <v>11.613673500000001</v>
      </c>
      <c r="I51" s="13">
        <f>F51/5*G51</f>
        <v>2322.7347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86</v>
      </c>
      <c r="C52" s="16" t="s">
        <v>84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5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87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18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5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6.5" hidden="1" customHeight="1">
      <c r="A55" s="30">
        <v>14</v>
      </c>
      <c r="B55" s="14" t="s">
        <v>40</v>
      </c>
      <c r="C55" s="16" t="s">
        <v>103</v>
      </c>
      <c r="D55" s="93">
        <v>43522</v>
      </c>
      <c r="E55" s="18">
        <v>120</v>
      </c>
      <c r="F55" s="13">
        <f>SUM(E55)*3</f>
        <v>360</v>
      </c>
      <c r="G55" s="13">
        <v>65.67</v>
      </c>
      <c r="H55" s="13">
        <f t="shared" si="5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7" t="s">
        <v>131</v>
      </c>
      <c r="B56" s="138"/>
      <c r="C56" s="138"/>
      <c r="D56" s="138"/>
      <c r="E56" s="138"/>
      <c r="F56" s="138"/>
      <c r="G56" s="138"/>
      <c r="H56" s="138"/>
      <c r="I56" s="139"/>
      <c r="J56" s="24"/>
      <c r="L56" s="19"/>
      <c r="M56" s="20"/>
      <c r="N56" s="21"/>
    </row>
    <row r="57" spans="1:22" ht="15.75" hidden="1" customHeight="1">
      <c r="A57" s="30"/>
      <c r="B57" s="51" t="s">
        <v>42</v>
      </c>
      <c r="C57" s="16"/>
      <c r="D57" s="14"/>
      <c r="E57" s="18"/>
      <c r="F57" s="13"/>
      <c r="G57" s="13"/>
      <c r="H57" s="13"/>
      <c r="I57" s="13"/>
      <c r="J57" s="24"/>
      <c r="L57" s="19"/>
    </row>
    <row r="58" spans="1:22" ht="31.5" hidden="1" customHeight="1">
      <c r="A58" s="30">
        <v>16</v>
      </c>
      <c r="B58" s="14" t="s">
        <v>136</v>
      </c>
      <c r="C58" s="16" t="s">
        <v>82</v>
      </c>
      <c r="D58" s="14" t="s">
        <v>104</v>
      </c>
      <c r="E58" s="18">
        <v>66</v>
      </c>
      <c r="F58" s="13">
        <f>SUM(E58*6/100)</f>
        <v>3.96</v>
      </c>
      <c r="G58" s="13">
        <v>1547.28</v>
      </c>
      <c r="H58" s="13">
        <f>SUM(F58*G58/1000)</f>
        <v>6.1272288000000001</v>
      </c>
      <c r="I58" s="13">
        <f>F58/6*G58</f>
        <v>1021.2048</v>
      </c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116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13</v>
      </c>
      <c r="B61" s="74" t="s">
        <v>117</v>
      </c>
      <c r="C61" s="75" t="s">
        <v>25</v>
      </c>
      <c r="D61" s="74" t="s">
        <v>167</v>
      </c>
      <c r="E61" s="76">
        <v>200</v>
      </c>
      <c r="F61" s="77">
        <f>E61*12</f>
        <v>2400</v>
      </c>
      <c r="G61" s="78">
        <v>1.4</v>
      </c>
      <c r="H61" s="13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124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125</v>
      </c>
      <c r="C63" s="16" t="s">
        <v>103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6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1"/>
      <c r="S63" s="121"/>
      <c r="T63" s="121"/>
      <c r="U63" s="121"/>
    </row>
    <row r="64" spans="1:22" ht="15.75" customHeight="1">
      <c r="A64" s="30"/>
      <c r="B64" s="51" t="s">
        <v>44</v>
      </c>
      <c r="C64" s="16"/>
      <c r="D64" s="14"/>
      <c r="E64" s="18"/>
      <c r="F64" s="13"/>
      <c r="G64" s="13"/>
      <c r="H64" s="13" t="s">
        <v>134</v>
      </c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customHeight="1">
      <c r="A65" s="30">
        <v>14</v>
      </c>
      <c r="B65" s="14" t="s">
        <v>45</v>
      </c>
      <c r="C65" s="16" t="s">
        <v>103</v>
      </c>
      <c r="D65" s="14" t="s">
        <v>178</v>
      </c>
      <c r="E65" s="18">
        <v>10</v>
      </c>
      <c r="F65" s="13">
        <v>10</v>
      </c>
      <c r="G65" s="13">
        <v>222.4</v>
      </c>
      <c r="H65" s="13">
        <f t="shared" ref="H65:H78" si="7">SUM(F65*G65/1000)</f>
        <v>2.2240000000000002</v>
      </c>
      <c r="I65" s="13">
        <f>G65*3</f>
        <v>667.2</v>
      </c>
    </row>
    <row r="66" spans="1:9" ht="15.75" hidden="1" customHeight="1">
      <c r="A66" s="30"/>
      <c r="B66" s="14" t="s">
        <v>46</v>
      </c>
      <c r="C66" s="16" t="s">
        <v>103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si="7"/>
        <v>0.38124999999999998</v>
      </c>
      <c r="I66" s="13">
        <v>0</v>
      </c>
    </row>
    <row r="67" spans="1:9" ht="15.75" hidden="1" customHeight="1">
      <c r="A67" s="30"/>
      <c r="B67" s="14" t="s">
        <v>47</v>
      </c>
      <c r="C67" s="16" t="s">
        <v>105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7"/>
        <v>40.601267</v>
      </c>
      <c r="I67" s="13">
        <f>F67*G67</f>
        <v>40601.267</v>
      </c>
    </row>
    <row r="68" spans="1:9" ht="15.75" hidden="1" customHeight="1">
      <c r="A68" s="30"/>
      <c r="B68" s="14" t="s">
        <v>48</v>
      </c>
      <c r="C68" s="16" t="s">
        <v>106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7"/>
        <v>3.1617889800000003</v>
      </c>
      <c r="I68" s="13">
        <f t="shared" ref="I68:I72" si="8">F68*G68</f>
        <v>3161.7889800000003</v>
      </c>
    </row>
    <row r="69" spans="1:9" ht="15.7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7"/>
        <v>56.637399000000002</v>
      </c>
      <c r="I69" s="13">
        <f t="shared" si="8"/>
        <v>56637.399000000005</v>
      </c>
    </row>
    <row r="70" spans="1:9" ht="15.75" hidden="1" customHeight="1">
      <c r="A70" s="30"/>
      <c r="B70" s="61" t="s">
        <v>107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7"/>
        <v>0.58916000000000002</v>
      </c>
      <c r="I70" s="13">
        <f t="shared" si="8"/>
        <v>589.16</v>
      </c>
    </row>
    <row r="71" spans="1:9" ht="15.75" hidden="1" customHeight="1">
      <c r="A71" s="30"/>
      <c r="B71" s="61" t="s">
        <v>108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7"/>
        <v>0.54964000000000002</v>
      </c>
      <c r="I71" s="13">
        <f t="shared" si="8"/>
        <v>549.64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7"/>
        <v>0.39904000000000001</v>
      </c>
      <c r="I72" s="13">
        <f t="shared" si="8"/>
        <v>399.04</v>
      </c>
    </row>
    <row r="73" spans="1:9" ht="18" hidden="1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134</v>
      </c>
      <c r="I73" s="13"/>
    </row>
    <row r="74" spans="1:9" ht="19.5" hidden="1" customHeight="1">
      <c r="A74" s="30">
        <v>16</v>
      </c>
      <c r="B74" s="14" t="s">
        <v>70</v>
      </c>
      <c r="C74" s="16" t="s">
        <v>72</v>
      </c>
      <c r="D74" s="14" t="s">
        <v>173</v>
      </c>
      <c r="E74" s="18">
        <v>4</v>
      </c>
      <c r="F74" s="13">
        <v>0.4</v>
      </c>
      <c r="G74" s="13">
        <v>501.62</v>
      </c>
      <c r="H74" s="13">
        <f t="shared" si="7"/>
        <v>0.20064800000000002</v>
      </c>
      <c r="I74" s="13">
        <f>G74*1.3</f>
        <v>652.10599999999999</v>
      </c>
    </row>
    <row r="75" spans="1:9" ht="19.5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19.5" hidden="1" customHeight="1">
      <c r="A76" s="30"/>
      <c r="B76" s="14" t="s">
        <v>110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20.25" hidden="1" customHeight="1">
      <c r="A77" s="30"/>
      <c r="B77" s="58" t="s">
        <v>73</v>
      </c>
      <c r="C77" s="16"/>
      <c r="D77" s="14"/>
      <c r="E77" s="18"/>
      <c r="F77" s="13"/>
      <c r="G77" s="13" t="s">
        <v>134</v>
      </c>
      <c r="H77" s="13" t="s">
        <v>134</v>
      </c>
      <c r="I77" s="13"/>
    </row>
    <row r="78" spans="1:9" ht="19.5" hidden="1" customHeight="1">
      <c r="A78" s="30"/>
      <c r="B78" s="42" t="s">
        <v>120</v>
      </c>
      <c r="C78" s="16" t="s">
        <v>74</v>
      </c>
      <c r="D78" s="14"/>
      <c r="E78" s="18"/>
      <c r="F78" s="13">
        <v>0.1</v>
      </c>
      <c r="G78" s="13">
        <v>2759.44</v>
      </c>
      <c r="H78" s="13">
        <f t="shared" si="7"/>
        <v>0.27594400000000002</v>
      </c>
      <c r="I78" s="13">
        <v>0</v>
      </c>
    </row>
    <row r="79" spans="1:9" ht="19.5" hidden="1" customHeight="1">
      <c r="A79" s="30"/>
      <c r="B79" s="51" t="s">
        <v>88</v>
      </c>
      <c r="C79" s="64"/>
      <c r="D79" s="64"/>
      <c r="E79" s="64"/>
      <c r="F79" s="64"/>
      <c r="G79" s="59"/>
      <c r="H79" s="59">
        <f>SUM(H58:H78)</f>
        <v>127.67723648</v>
      </c>
      <c r="I79" s="59"/>
    </row>
    <row r="80" spans="1:9" ht="19.5" hidden="1" customHeight="1">
      <c r="A80" s="30"/>
      <c r="B80" s="14" t="s">
        <v>109</v>
      </c>
      <c r="C80" s="16"/>
      <c r="D80" s="14"/>
      <c r="E80" s="18"/>
      <c r="F80" s="13">
        <v>1</v>
      </c>
      <c r="G80" s="13">
        <v>13441.4</v>
      </c>
      <c r="H80" s="13">
        <f>G80*F80/1000</f>
        <v>13.4414</v>
      </c>
      <c r="I80" s="13">
        <v>0</v>
      </c>
    </row>
    <row r="81" spans="1:9" ht="15.75" customHeight="1">
      <c r="A81" s="122" t="s">
        <v>132</v>
      </c>
      <c r="B81" s="123"/>
      <c r="C81" s="123"/>
      <c r="D81" s="123"/>
      <c r="E81" s="123"/>
      <c r="F81" s="123"/>
      <c r="G81" s="123"/>
      <c r="H81" s="123"/>
      <c r="I81" s="124"/>
    </row>
    <row r="82" spans="1:9" ht="15.75" customHeight="1">
      <c r="A82" s="30">
        <v>15</v>
      </c>
      <c r="B82" s="14" t="s">
        <v>111</v>
      </c>
      <c r="C82" s="16" t="s">
        <v>53</v>
      </c>
      <c r="D82" s="54"/>
      <c r="E82" s="13">
        <v>5367.6</v>
      </c>
      <c r="F82" s="13">
        <f>SUM(E82*12)</f>
        <v>64411.200000000004</v>
      </c>
      <c r="G82" s="13">
        <v>2.1</v>
      </c>
      <c r="H82" s="13">
        <f>SUM(F82*G82/1000)</f>
        <v>135.26352000000003</v>
      </c>
      <c r="I82" s="13">
        <f>F82/12*G82</f>
        <v>11271.960000000001</v>
      </c>
    </row>
    <row r="83" spans="1:9" ht="31.5" customHeight="1">
      <c r="A83" s="30">
        <v>16</v>
      </c>
      <c r="B83" s="14" t="s">
        <v>75</v>
      </c>
      <c r="C83" s="16"/>
      <c r="D83" s="54"/>
      <c r="E83" s="18">
        <f>E82</f>
        <v>5367.6</v>
      </c>
      <c r="F83" s="13">
        <f>E83*12</f>
        <v>64411.200000000004</v>
      </c>
      <c r="G83" s="13">
        <v>1.63</v>
      </c>
      <c r="H83" s="13">
        <f>F83*G83/1000</f>
        <v>104.99025599999999</v>
      </c>
      <c r="I83" s="13">
        <f>F83/12*G83</f>
        <v>8749.1880000000001</v>
      </c>
    </row>
    <row r="84" spans="1:9" ht="15.75" customHeight="1">
      <c r="A84" s="30"/>
      <c r="B84" s="35" t="s">
        <v>77</v>
      </c>
      <c r="C84" s="58"/>
      <c r="D84" s="62"/>
      <c r="E84" s="59"/>
      <c r="F84" s="59"/>
      <c r="G84" s="59"/>
      <c r="H84" s="59">
        <f>H83</f>
        <v>104.99025599999999</v>
      </c>
      <c r="I84" s="59">
        <f>I83+I82+I65+I61+I51+I42+I41+I40+I39+I27+I24+I21+I20+I18+I17+I16</f>
        <v>46122.640752000014</v>
      </c>
    </row>
    <row r="85" spans="1:9" ht="15.75" customHeight="1">
      <c r="A85" s="133" t="s">
        <v>58</v>
      </c>
      <c r="B85" s="134"/>
      <c r="C85" s="134"/>
      <c r="D85" s="134"/>
      <c r="E85" s="134"/>
      <c r="F85" s="134"/>
      <c r="G85" s="134"/>
      <c r="H85" s="134"/>
      <c r="I85" s="135"/>
    </row>
    <row r="86" spans="1:9" ht="17.25" customHeight="1">
      <c r="A86" s="30">
        <v>17</v>
      </c>
      <c r="B86" s="45" t="s">
        <v>118</v>
      </c>
      <c r="C86" s="46" t="s">
        <v>103</v>
      </c>
      <c r="D86" s="42"/>
      <c r="E86" s="13"/>
      <c r="F86" s="13">
        <v>732</v>
      </c>
      <c r="G86" s="34">
        <v>60.72</v>
      </c>
      <c r="H86" s="13">
        <f t="shared" ref="H86" si="9">G86*F86/1000</f>
        <v>44.447040000000001</v>
      </c>
      <c r="I86" s="13">
        <f>G86*1</f>
        <v>60.72</v>
      </c>
    </row>
    <row r="87" spans="1:9" ht="29.25" customHeight="1">
      <c r="A87" s="30">
        <v>18</v>
      </c>
      <c r="B87" s="87" t="s">
        <v>189</v>
      </c>
      <c r="C87" s="88" t="s">
        <v>160</v>
      </c>
      <c r="D87" s="42" t="s">
        <v>192</v>
      </c>
      <c r="E87" s="13"/>
      <c r="F87" s="13"/>
      <c r="G87" s="34">
        <v>1421.68</v>
      </c>
      <c r="H87" s="13"/>
      <c r="I87" s="13">
        <f>G87*20</f>
        <v>28433.600000000002</v>
      </c>
    </row>
    <row r="88" spans="1:9" ht="36.75" customHeight="1">
      <c r="A88" s="30">
        <v>19</v>
      </c>
      <c r="B88" s="45" t="s">
        <v>153</v>
      </c>
      <c r="C88" s="46" t="s">
        <v>126</v>
      </c>
      <c r="D88" s="14" t="s">
        <v>193</v>
      </c>
      <c r="E88" s="13"/>
      <c r="F88" s="13"/>
      <c r="G88" s="34">
        <v>670.51</v>
      </c>
      <c r="H88" s="13"/>
      <c r="I88" s="13">
        <f>G88*7</f>
        <v>4693.57</v>
      </c>
    </row>
    <row r="89" spans="1:9" ht="38.25" customHeight="1">
      <c r="A89" s="30">
        <v>20</v>
      </c>
      <c r="B89" s="45" t="s">
        <v>190</v>
      </c>
      <c r="C89" s="46" t="s">
        <v>126</v>
      </c>
      <c r="D89" s="42" t="s">
        <v>191</v>
      </c>
      <c r="E89" s="13"/>
      <c r="F89" s="13"/>
      <c r="G89" s="34">
        <v>913.43</v>
      </c>
      <c r="H89" s="13"/>
      <c r="I89" s="13">
        <f>G89*2</f>
        <v>1826.86</v>
      </c>
    </row>
    <row r="90" spans="1:9" ht="15.75" customHeight="1">
      <c r="A90" s="30">
        <v>21</v>
      </c>
      <c r="B90" s="45" t="s">
        <v>78</v>
      </c>
      <c r="C90" s="46" t="s">
        <v>103</v>
      </c>
      <c r="D90" s="42"/>
      <c r="E90" s="13"/>
      <c r="F90" s="13"/>
      <c r="G90" s="34">
        <v>215.85</v>
      </c>
      <c r="H90" s="13"/>
      <c r="I90" s="13">
        <f>G90*1</f>
        <v>215.85</v>
      </c>
    </row>
    <row r="91" spans="1:9" ht="34.5" customHeight="1">
      <c r="A91" s="30">
        <v>22</v>
      </c>
      <c r="B91" s="85" t="s">
        <v>159</v>
      </c>
      <c r="C91" s="86" t="s">
        <v>29</v>
      </c>
      <c r="D91" s="42"/>
      <c r="E91" s="13"/>
      <c r="F91" s="13"/>
      <c r="G91" s="34">
        <v>20547.34</v>
      </c>
      <c r="H91" s="13"/>
      <c r="I91" s="13">
        <f>G91*0.599*10/1000</f>
        <v>123.07856659999999</v>
      </c>
    </row>
    <row r="92" spans="1:9" ht="15.75" customHeight="1">
      <c r="A92" s="30"/>
      <c r="B92" s="40" t="s">
        <v>50</v>
      </c>
      <c r="C92" s="36"/>
      <c r="D92" s="43"/>
      <c r="E92" s="36">
        <v>1</v>
      </c>
      <c r="F92" s="36"/>
      <c r="G92" s="36"/>
      <c r="H92" s="36"/>
      <c r="I92" s="32">
        <f>SUM(I86:I91)</f>
        <v>35353.6785666</v>
      </c>
    </row>
    <row r="93" spans="1:9" ht="15.75" customHeight="1">
      <c r="A93" s="30"/>
      <c r="B93" s="42" t="s">
        <v>76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149</v>
      </c>
      <c r="C94" s="33"/>
      <c r="D94" s="33"/>
      <c r="E94" s="33"/>
      <c r="F94" s="33"/>
      <c r="G94" s="33"/>
      <c r="H94" s="33"/>
      <c r="I94" s="39">
        <f>I84+I92</f>
        <v>81476.319318600014</v>
      </c>
    </row>
    <row r="95" spans="1:9" ht="15.75" customHeight="1">
      <c r="A95" s="125" t="s">
        <v>194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53"/>
      <c r="B96" s="126" t="s">
        <v>195</v>
      </c>
      <c r="C96" s="126"/>
      <c r="D96" s="126"/>
      <c r="E96" s="126"/>
      <c r="F96" s="126"/>
      <c r="G96" s="126"/>
      <c r="H96" s="57"/>
      <c r="I96" s="3"/>
    </row>
    <row r="97" spans="1:9" ht="15.75" customHeight="1">
      <c r="A97" s="49"/>
      <c r="B97" s="127" t="s">
        <v>6</v>
      </c>
      <c r="C97" s="127"/>
      <c r="D97" s="127"/>
      <c r="E97" s="127"/>
      <c r="F97" s="127"/>
      <c r="G97" s="127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8" t="s">
        <v>7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 customHeight="1">
      <c r="A100" s="128" t="s">
        <v>8</v>
      </c>
      <c r="B100" s="128"/>
      <c r="C100" s="128"/>
      <c r="D100" s="128"/>
      <c r="E100" s="128"/>
      <c r="F100" s="128"/>
      <c r="G100" s="128"/>
      <c r="H100" s="128"/>
      <c r="I100" s="128"/>
    </row>
    <row r="101" spans="1:9" ht="15.75">
      <c r="A101" s="129" t="s">
        <v>59</v>
      </c>
      <c r="B101" s="129"/>
      <c r="C101" s="129"/>
      <c r="D101" s="129"/>
      <c r="E101" s="129"/>
      <c r="F101" s="129"/>
      <c r="G101" s="129"/>
      <c r="H101" s="129"/>
      <c r="I101" s="129"/>
    </row>
    <row r="102" spans="1:9" ht="15.75" customHeight="1">
      <c r="A102" s="11"/>
    </row>
    <row r="103" spans="1:9" ht="15.75" customHeight="1">
      <c r="A103" s="130" t="s">
        <v>9</v>
      </c>
      <c r="B103" s="130"/>
      <c r="C103" s="130"/>
      <c r="D103" s="130"/>
      <c r="E103" s="130"/>
      <c r="F103" s="130"/>
      <c r="G103" s="130"/>
      <c r="H103" s="130"/>
      <c r="I103" s="130"/>
    </row>
    <row r="104" spans="1:9" ht="15.75" customHeight="1">
      <c r="A104" s="4"/>
    </row>
    <row r="105" spans="1:9" ht="15.75">
      <c r="B105" s="50" t="s">
        <v>10</v>
      </c>
      <c r="C105" s="131" t="s">
        <v>127</v>
      </c>
      <c r="D105" s="131"/>
      <c r="E105" s="131"/>
      <c r="F105" s="55"/>
      <c r="I105" s="48"/>
    </row>
    <row r="106" spans="1:9" ht="15.75" customHeight="1">
      <c r="A106" s="49"/>
      <c r="C106" s="127" t="s">
        <v>11</v>
      </c>
      <c r="D106" s="127"/>
      <c r="E106" s="127"/>
      <c r="F106" s="25"/>
      <c r="I106" s="47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50" t="s">
        <v>13</v>
      </c>
      <c r="C108" s="132"/>
      <c r="D108" s="132"/>
      <c r="E108" s="132"/>
      <c r="F108" s="56"/>
      <c r="I108" s="48"/>
    </row>
    <row r="109" spans="1:9" ht="15.75" customHeight="1">
      <c r="A109" s="49"/>
      <c r="C109" s="121" t="s">
        <v>11</v>
      </c>
      <c r="D109" s="121"/>
      <c r="E109" s="121"/>
      <c r="F109" s="49"/>
      <c r="I109" s="47" t="s">
        <v>12</v>
      </c>
    </row>
    <row r="110" spans="1:9" ht="15.75">
      <c r="A110" s="4" t="s">
        <v>14</v>
      </c>
    </row>
    <row r="111" spans="1:9" ht="15.75" customHeight="1">
      <c r="A111" s="119" t="s">
        <v>15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ht="45" customHeight="1">
      <c r="A112" s="120" t="s">
        <v>16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30" customHeight="1">
      <c r="A113" s="120" t="s">
        <v>17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30" customHeight="1">
      <c r="A114" s="120" t="s">
        <v>21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15" customHeight="1">
      <c r="A115" s="120" t="s">
        <v>20</v>
      </c>
      <c r="B115" s="120"/>
      <c r="C115" s="120"/>
      <c r="D115" s="120"/>
      <c r="E115" s="120"/>
      <c r="F115" s="120"/>
      <c r="G115" s="120"/>
      <c r="H115" s="120"/>
      <c r="I115" s="120"/>
    </row>
  </sheetData>
  <autoFilter ref="I12:I58"/>
  <mergeCells count="29">
    <mergeCell ref="R63:U63"/>
    <mergeCell ref="A81:I81"/>
    <mergeCell ref="A3:I3"/>
    <mergeCell ref="A4:I4"/>
    <mergeCell ref="A5:I5"/>
    <mergeCell ref="A8:I8"/>
    <mergeCell ref="A10:I10"/>
    <mergeCell ref="A14:I14"/>
    <mergeCell ref="A101:I101"/>
    <mergeCell ref="A15:I15"/>
    <mergeCell ref="A28:I28"/>
    <mergeCell ref="A45:I45"/>
    <mergeCell ref="A56:I56"/>
    <mergeCell ref="A95:I95"/>
    <mergeCell ref="B96:G96"/>
    <mergeCell ref="B97:G97"/>
    <mergeCell ref="A99:I99"/>
    <mergeCell ref="A100:I100"/>
    <mergeCell ref="A85:I85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81"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139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197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43921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101</v>
      </c>
      <c r="C30" s="16" t="s">
        <v>84</v>
      </c>
      <c r="D30" s="14" t="s">
        <v>98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115</v>
      </c>
      <c r="C31" s="16" t="s">
        <v>84</v>
      </c>
      <c r="D31" s="14" t="s">
        <v>99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114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100</v>
      </c>
      <c r="C34" s="16" t="s">
        <v>30</v>
      </c>
      <c r="D34" s="14" t="s">
        <v>61</v>
      </c>
      <c r="E34" s="60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121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134</v>
      </c>
      <c r="I38" s="13"/>
      <c r="J38" s="24"/>
      <c r="L38" s="19"/>
      <c r="M38" s="20"/>
      <c r="N38" s="21"/>
    </row>
    <row r="39" spans="1:14" ht="15.75" customHeight="1">
      <c r="A39" s="30">
        <v>8</v>
      </c>
      <c r="B39" s="14" t="s">
        <v>26</v>
      </c>
      <c r="C39" s="16" t="s">
        <v>31</v>
      </c>
      <c r="D39" s="14"/>
      <c r="E39" s="18"/>
      <c r="F39" s="13">
        <v>6</v>
      </c>
      <c r="G39" s="13">
        <v>1527.22</v>
      </c>
      <c r="H39" s="13">
        <f t="shared" ref="H39:H44" si="3">SUM(F39*G39/1000)</f>
        <v>9.1633200000000006</v>
      </c>
      <c r="I39" s="13">
        <f>G39*0.3</f>
        <v>458.166</v>
      </c>
      <c r="J39" s="24"/>
      <c r="L39" s="19"/>
      <c r="M39" s="20"/>
      <c r="N39" s="21"/>
    </row>
    <row r="40" spans="1:14" ht="15.75" customHeight="1">
      <c r="A40" s="30">
        <v>9</v>
      </c>
      <c r="B40" s="14" t="s">
        <v>102</v>
      </c>
      <c r="C40" s="16" t="s">
        <v>29</v>
      </c>
      <c r="D40" s="14" t="s">
        <v>169</v>
      </c>
      <c r="E40" s="18">
        <v>374</v>
      </c>
      <c r="F40" s="13">
        <f>E40*26/1000</f>
        <v>9.7240000000000002</v>
      </c>
      <c r="G40" s="13">
        <v>2102.71</v>
      </c>
      <c r="H40" s="13">
        <f>G40*F40/1000</f>
        <v>20.44675204</v>
      </c>
      <c r="I40" s="13">
        <f t="shared" ref="I40:I42" si="4">F40/6*G40</f>
        <v>3407.792006666667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65</v>
      </c>
      <c r="C41" s="16" t="s">
        <v>29</v>
      </c>
      <c r="D41" s="14" t="s">
        <v>170</v>
      </c>
      <c r="E41" s="13">
        <v>160</v>
      </c>
      <c r="F41" s="13">
        <f>SUM(E41*155/1000)</f>
        <v>24.8</v>
      </c>
      <c r="G41" s="13">
        <v>350.75</v>
      </c>
      <c r="H41" s="13">
        <f t="shared" si="3"/>
        <v>8.6986000000000008</v>
      </c>
      <c r="I41" s="13">
        <f t="shared" si="4"/>
        <v>1449.7666666666669</v>
      </c>
      <c r="J41" s="24"/>
      <c r="L41" s="19"/>
      <c r="M41" s="20"/>
      <c r="N41" s="21"/>
    </row>
    <row r="42" spans="1:14" ht="47.25" customHeight="1">
      <c r="A42" s="30">
        <v>11</v>
      </c>
      <c r="B42" s="14" t="s">
        <v>79</v>
      </c>
      <c r="C42" s="16" t="s">
        <v>84</v>
      </c>
      <c r="D42" s="14" t="s">
        <v>165</v>
      </c>
      <c r="E42" s="13">
        <v>76</v>
      </c>
      <c r="F42" s="13">
        <f>SUM(E42*50/1000)</f>
        <v>3.8</v>
      </c>
      <c r="G42" s="13">
        <v>5803.28</v>
      </c>
      <c r="H42" s="13">
        <f t="shared" si="3"/>
        <v>22.052463999999997</v>
      </c>
      <c r="I42" s="13">
        <f t="shared" si="4"/>
        <v>3675.4106666666662</v>
      </c>
      <c r="J42" s="24"/>
      <c r="L42" s="19"/>
      <c r="M42" s="20"/>
      <c r="N42" s="21"/>
    </row>
    <row r="43" spans="1:14" ht="15.75" hidden="1" customHeight="1">
      <c r="A43" s="30">
        <v>12</v>
      </c>
      <c r="B43" s="14" t="s">
        <v>85</v>
      </c>
      <c r="C43" s="16" t="s">
        <v>84</v>
      </c>
      <c r="D43" s="14" t="s">
        <v>171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(F43/7.5*1.5)*G43</f>
        <v>293.23079999999999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(F44/7.5*1.5)*G44</f>
        <v>143.64000000000001</v>
      </c>
      <c r="J44" s="24"/>
      <c r="L44" s="19"/>
      <c r="M44" s="20"/>
      <c r="N44" s="21"/>
    </row>
    <row r="45" spans="1:14" ht="15" hidden="1" customHeight="1">
      <c r="A45" s="137" t="s">
        <v>130</v>
      </c>
      <c r="B45" s="138"/>
      <c r="C45" s="138"/>
      <c r="D45" s="138"/>
      <c r="E45" s="138"/>
      <c r="F45" s="138"/>
      <c r="G45" s="138"/>
      <c r="H45" s="138"/>
      <c r="I45" s="139"/>
      <c r="J45" s="24"/>
      <c r="L45" s="19"/>
      <c r="M45" s="20"/>
      <c r="N45" s="21"/>
    </row>
    <row r="46" spans="1:14" ht="15.75" hidden="1" customHeight="1">
      <c r="A46" s="30"/>
      <c r="B46" s="14" t="s">
        <v>135</v>
      </c>
      <c r="C46" s="16" t="s">
        <v>84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5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84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5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84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5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84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5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15</v>
      </c>
      <c r="B51" s="14" t="s">
        <v>54</v>
      </c>
      <c r="C51" s="16" t="s">
        <v>84</v>
      </c>
      <c r="D51" s="14" t="s">
        <v>137</v>
      </c>
      <c r="E51" s="18">
        <v>1914</v>
      </c>
      <c r="F51" s="13">
        <f>SUM(E51*5/1000)</f>
        <v>9.57</v>
      </c>
      <c r="G51" s="13">
        <v>1213.55</v>
      </c>
      <c r="H51" s="13">
        <f t="shared" si="5"/>
        <v>11.613673500000001</v>
      </c>
      <c r="I51" s="13">
        <f>F51/5*G51</f>
        <v>2322.7347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86</v>
      </c>
      <c r="C52" s="16" t="s">
        <v>84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5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87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18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5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5.75" hidden="1" customHeight="1">
      <c r="A55" s="30">
        <v>19</v>
      </c>
      <c r="B55" s="14" t="s">
        <v>40</v>
      </c>
      <c r="C55" s="16" t="s">
        <v>103</v>
      </c>
      <c r="D55" s="14" t="s">
        <v>68</v>
      </c>
      <c r="E55" s="18">
        <v>120</v>
      </c>
      <c r="F55" s="13">
        <f>SUM(E55)*3</f>
        <v>360</v>
      </c>
      <c r="G55" s="13">
        <v>65.67</v>
      </c>
      <c r="H55" s="13">
        <f t="shared" si="5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7" t="s">
        <v>128</v>
      </c>
      <c r="B56" s="138"/>
      <c r="C56" s="138"/>
      <c r="D56" s="138"/>
      <c r="E56" s="138"/>
      <c r="F56" s="138"/>
      <c r="G56" s="138"/>
      <c r="H56" s="138"/>
      <c r="I56" s="139"/>
      <c r="J56" s="24"/>
      <c r="L56" s="19"/>
      <c r="M56" s="20"/>
      <c r="N56" s="21"/>
    </row>
    <row r="57" spans="1:22" ht="15.75" hidden="1" customHeight="1">
      <c r="A57" s="30"/>
      <c r="B57" s="51" t="s">
        <v>42</v>
      </c>
      <c r="C57" s="16"/>
      <c r="D57" s="14"/>
      <c r="E57" s="18"/>
      <c r="F57" s="13"/>
      <c r="G57" s="13"/>
      <c r="H57" s="13"/>
      <c r="I57" s="13"/>
      <c r="J57" s="24"/>
      <c r="L57" s="19"/>
    </row>
    <row r="58" spans="1:22" ht="31.5" hidden="1" customHeight="1">
      <c r="A58" s="30">
        <v>15</v>
      </c>
      <c r="B58" s="14" t="s">
        <v>136</v>
      </c>
      <c r="C58" s="16" t="s">
        <v>82</v>
      </c>
      <c r="D58" s="14" t="s">
        <v>104</v>
      </c>
      <c r="E58" s="18">
        <v>66</v>
      </c>
      <c r="F58" s="13">
        <f>SUM(E58*6/100)</f>
        <v>3.96</v>
      </c>
      <c r="G58" s="13">
        <v>1547.28</v>
      </c>
      <c r="H58" s="13">
        <f>SUM(F58*G58/1000)</f>
        <v>6.1272288000000001</v>
      </c>
      <c r="I58" s="13">
        <f>G58*0.604</f>
        <v>934.55711999999994</v>
      </c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116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12</v>
      </c>
      <c r="B61" s="14" t="s">
        <v>117</v>
      </c>
      <c r="C61" s="16" t="s">
        <v>25</v>
      </c>
      <c r="D61" s="74" t="s">
        <v>167</v>
      </c>
      <c r="E61" s="76">
        <v>200</v>
      </c>
      <c r="F61" s="77">
        <f>E61*12</f>
        <v>2400</v>
      </c>
      <c r="G61" s="78">
        <v>1.4</v>
      </c>
      <c r="H61" s="79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124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125</v>
      </c>
      <c r="C63" s="16" t="s">
        <v>103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6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1"/>
      <c r="S63" s="121"/>
      <c r="T63" s="121"/>
      <c r="U63" s="121"/>
    </row>
    <row r="64" spans="1:22" ht="15.75" hidden="1" customHeight="1">
      <c r="A64" s="30"/>
      <c r="B64" s="51" t="s">
        <v>44</v>
      </c>
      <c r="C64" s="16"/>
      <c r="D64" s="14"/>
      <c r="E64" s="18"/>
      <c r="F64" s="13"/>
      <c r="G64" s="13"/>
      <c r="H64" s="13" t="s">
        <v>134</v>
      </c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30"/>
      <c r="B65" s="14" t="s">
        <v>45</v>
      </c>
      <c r="C65" s="16" t="s">
        <v>103</v>
      </c>
      <c r="D65" s="14" t="s">
        <v>64</v>
      </c>
      <c r="E65" s="18">
        <v>10</v>
      </c>
      <c r="F65" s="13">
        <v>10</v>
      </c>
      <c r="G65" s="13">
        <v>222.4</v>
      </c>
      <c r="H65" s="13">
        <f t="shared" ref="H65:H78" si="7">SUM(F65*G65/1000)</f>
        <v>2.2240000000000002</v>
      </c>
      <c r="I65" s="13">
        <f>0</f>
        <v>0</v>
      </c>
    </row>
    <row r="66" spans="1:9" ht="15.75" hidden="1" customHeight="1">
      <c r="A66" s="30"/>
      <c r="B66" s="14" t="s">
        <v>46</v>
      </c>
      <c r="C66" s="16" t="s">
        <v>103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si="7"/>
        <v>0.38124999999999998</v>
      </c>
      <c r="I66" s="13">
        <v>0</v>
      </c>
    </row>
    <row r="67" spans="1:9" ht="15.75" hidden="1" customHeight="1">
      <c r="A67" s="30"/>
      <c r="B67" s="14" t="s">
        <v>47</v>
      </c>
      <c r="C67" s="16" t="s">
        <v>105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7"/>
        <v>40.601267</v>
      </c>
      <c r="I67" s="13">
        <f>F67*G67</f>
        <v>40601.267</v>
      </c>
    </row>
    <row r="68" spans="1:9" ht="15.75" hidden="1" customHeight="1">
      <c r="A68" s="30"/>
      <c r="B68" s="14" t="s">
        <v>48</v>
      </c>
      <c r="C68" s="16" t="s">
        <v>106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7"/>
        <v>3.1617889800000003</v>
      </c>
      <c r="I68" s="13">
        <f t="shared" ref="I68:I72" si="8">F68*G68</f>
        <v>3161.7889800000003</v>
      </c>
    </row>
    <row r="69" spans="1:9" ht="15.7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7"/>
        <v>56.637399000000002</v>
      </c>
      <c r="I69" s="13">
        <f t="shared" si="8"/>
        <v>56637.399000000005</v>
      </c>
    </row>
    <row r="70" spans="1:9" ht="15.75" hidden="1" customHeight="1">
      <c r="A70" s="30"/>
      <c r="B70" s="61" t="s">
        <v>107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7"/>
        <v>0.58916000000000002</v>
      </c>
      <c r="I70" s="13">
        <f t="shared" si="8"/>
        <v>589.16</v>
      </c>
    </row>
    <row r="71" spans="1:9" ht="15.75" hidden="1" customHeight="1">
      <c r="A71" s="30"/>
      <c r="B71" s="61" t="s">
        <v>108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7"/>
        <v>0.54964000000000002</v>
      </c>
      <c r="I71" s="13">
        <f t="shared" si="8"/>
        <v>549.64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7"/>
        <v>0.39904000000000001</v>
      </c>
      <c r="I72" s="13">
        <f t="shared" si="8"/>
        <v>399.04</v>
      </c>
    </row>
    <row r="73" spans="1:9" ht="15.75" hidden="1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134</v>
      </c>
      <c r="I73" s="13"/>
    </row>
    <row r="74" spans="1:9" ht="15.75" hidden="1" customHeight="1">
      <c r="A74" s="30">
        <v>17</v>
      </c>
      <c r="B74" s="14" t="s">
        <v>70</v>
      </c>
      <c r="C74" s="16" t="s">
        <v>72</v>
      </c>
      <c r="D74" s="14"/>
      <c r="E74" s="18">
        <v>4</v>
      </c>
      <c r="F74" s="13">
        <v>0.4</v>
      </c>
      <c r="G74" s="13">
        <v>501.62</v>
      </c>
      <c r="H74" s="13">
        <f t="shared" si="7"/>
        <v>0.20064800000000002</v>
      </c>
      <c r="I74" s="13">
        <f>G74*0.4</f>
        <v>200.64800000000002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15.75" hidden="1" customHeight="1">
      <c r="A76" s="30"/>
      <c r="B76" s="14" t="s">
        <v>110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15.75" hidden="1" customHeight="1">
      <c r="A77" s="30"/>
      <c r="B77" s="58" t="s">
        <v>73</v>
      </c>
      <c r="C77" s="16"/>
      <c r="D77" s="14"/>
      <c r="E77" s="18"/>
      <c r="F77" s="13"/>
      <c r="G77" s="13" t="s">
        <v>134</v>
      </c>
      <c r="H77" s="13" t="s">
        <v>134</v>
      </c>
      <c r="I77" s="13"/>
    </row>
    <row r="78" spans="1:9" ht="15.75" hidden="1" customHeight="1">
      <c r="A78" s="30"/>
      <c r="B78" s="42" t="s">
        <v>120</v>
      </c>
      <c r="C78" s="16" t="s">
        <v>74</v>
      </c>
      <c r="D78" s="14"/>
      <c r="E78" s="18"/>
      <c r="F78" s="13">
        <v>0.1</v>
      </c>
      <c r="G78" s="13">
        <v>2759.44</v>
      </c>
      <c r="H78" s="13">
        <f t="shared" si="7"/>
        <v>0.27594400000000002</v>
      </c>
      <c r="I78" s="13">
        <v>0</v>
      </c>
    </row>
    <row r="79" spans="1:9" ht="15.75" hidden="1" customHeight="1">
      <c r="A79" s="30"/>
      <c r="B79" s="51" t="s">
        <v>88</v>
      </c>
      <c r="C79" s="64"/>
      <c r="D79" s="64"/>
      <c r="E79" s="64"/>
      <c r="F79" s="64"/>
      <c r="G79" s="59"/>
      <c r="H79" s="59">
        <f>SUM(H58:H78)</f>
        <v>127.67723648</v>
      </c>
      <c r="I79" s="59"/>
    </row>
    <row r="80" spans="1:9" ht="15.75" hidden="1" customHeight="1">
      <c r="A80" s="30"/>
      <c r="B80" s="14" t="s">
        <v>109</v>
      </c>
      <c r="C80" s="16"/>
      <c r="D80" s="14"/>
      <c r="E80" s="18"/>
      <c r="F80" s="13">
        <v>1</v>
      </c>
      <c r="G80" s="13">
        <v>13441.4</v>
      </c>
      <c r="H80" s="13">
        <f>G80*F80/1000</f>
        <v>13.4414</v>
      </c>
      <c r="I80" s="13">
        <v>0</v>
      </c>
    </row>
    <row r="81" spans="1:9" ht="15.75" customHeight="1">
      <c r="A81" s="122" t="s">
        <v>129</v>
      </c>
      <c r="B81" s="123"/>
      <c r="C81" s="123"/>
      <c r="D81" s="123"/>
      <c r="E81" s="123"/>
      <c r="F81" s="123"/>
      <c r="G81" s="123"/>
      <c r="H81" s="123"/>
      <c r="I81" s="124"/>
    </row>
    <row r="82" spans="1:9" ht="15.75" customHeight="1">
      <c r="A82" s="30">
        <v>13</v>
      </c>
      <c r="B82" s="14" t="s">
        <v>111</v>
      </c>
      <c r="C82" s="16" t="s">
        <v>53</v>
      </c>
      <c r="D82" s="54"/>
      <c r="E82" s="13">
        <v>5367.6</v>
      </c>
      <c r="F82" s="13">
        <f>SUM(E82*12)</f>
        <v>64411.200000000004</v>
      </c>
      <c r="G82" s="13">
        <v>2.1</v>
      </c>
      <c r="H82" s="13">
        <f>SUM(F82*G82/1000)</f>
        <v>135.26352000000003</v>
      </c>
      <c r="I82" s="13">
        <f>F82/12*G82</f>
        <v>11271.960000000001</v>
      </c>
    </row>
    <row r="83" spans="1:9" ht="31.5" customHeight="1">
      <c r="A83" s="30">
        <v>14</v>
      </c>
      <c r="B83" s="14" t="s">
        <v>75</v>
      </c>
      <c r="C83" s="16"/>
      <c r="D83" s="54"/>
      <c r="E83" s="18">
        <f>E82</f>
        <v>5367.6</v>
      </c>
      <c r="F83" s="13">
        <f>E83*12</f>
        <v>64411.200000000004</v>
      </c>
      <c r="G83" s="13">
        <v>1.63</v>
      </c>
      <c r="H83" s="13">
        <f>F83*G83/1000</f>
        <v>104.99025599999999</v>
      </c>
      <c r="I83" s="13">
        <f>F83/12*G83</f>
        <v>8749.1880000000001</v>
      </c>
    </row>
    <row r="84" spans="1:9" ht="15.75" customHeight="1">
      <c r="A84" s="30"/>
      <c r="B84" s="35" t="s">
        <v>77</v>
      </c>
      <c r="C84" s="58"/>
      <c r="D84" s="62"/>
      <c r="E84" s="59"/>
      <c r="F84" s="59"/>
      <c r="G84" s="59"/>
      <c r="H84" s="59">
        <f>H83</f>
        <v>104.99025599999999</v>
      </c>
      <c r="I84" s="59">
        <f>I83+I82+I61+I42+I41+I40+I39+I27+I24+I21+I20+I18+I17+I16</f>
        <v>42979.984052000007</v>
      </c>
    </row>
    <row r="85" spans="1:9" ht="15.75" customHeight="1">
      <c r="A85" s="133" t="s">
        <v>58</v>
      </c>
      <c r="B85" s="134"/>
      <c r="C85" s="134"/>
      <c r="D85" s="134"/>
      <c r="E85" s="134"/>
      <c r="F85" s="134"/>
      <c r="G85" s="134"/>
      <c r="H85" s="134"/>
      <c r="I85" s="135"/>
    </row>
    <row r="86" spans="1:9" ht="15.75" customHeight="1">
      <c r="A86" s="30">
        <v>15</v>
      </c>
      <c r="B86" s="45" t="s">
        <v>118</v>
      </c>
      <c r="C86" s="46" t="s">
        <v>103</v>
      </c>
      <c r="D86" s="71"/>
      <c r="E86" s="95"/>
      <c r="F86" s="34">
        <v>1</v>
      </c>
      <c r="G86" s="34">
        <v>60.72</v>
      </c>
      <c r="H86" s="13">
        <f t="shared" ref="H86" si="9">G86*F86/1000</f>
        <v>6.0719999999999996E-2</v>
      </c>
      <c r="I86" s="13">
        <f>G86*1</f>
        <v>60.72</v>
      </c>
    </row>
    <row r="87" spans="1:9" ht="33.75" customHeight="1">
      <c r="A87" s="30">
        <v>16</v>
      </c>
      <c r="B87" s="87" t="s">
        <v>189</v>
      </c>
      <c r="C87" s="88" t="s">
        <v>160</v>
      </c>
      <c r="D87" s="71" t="s">
        <v>198</v>
      </c>
      <c r="E87" s="95"/>
      <c r="F87" s="34">
        <v>32</v>
      </c>
      <c r="G87" s="34">
        <v>1421.68</v>
      </c>
      <c r="H87" s="13"/>
      <c r="I87" s="13">
        <f>G87*12</f>
        <v>17060.16</v>
      </c>
    </row>
    <row r="88" spans="1:9" ht="33" customHeight="1">
      <c r="A88" s="30">
        <v>17</v>
      </c>
      <c r="B88" s="85" t="s">
        <v>159</v>
      </c>
      <c r="C88" s="86" t="s">
        <v>29</v>
      </c>
      <c r="D88" s="73"/>
      <c r="E88" s="96"/>
      <c r="F88" s="34">
        <f>15*0.599/1000</f>
        <v>8.9849999999999999E-3</v>
      </c>
      <c r="G88" s="34">
        <v>20547.34</v>
      </c>
      <c r="H88" s="13"/>
      <c r="I88" s="13">
        <f>G88*0.599*5/1000</f>
        <v>61.539283299999994</v>
      </c>
    </row>
    <row r="89" spans="1:9" ht="16.5" customHeight="1">
      <c r="A89" s="30">
        <v>18</v>
      </c>
      <c r="B89" s="45" t="s">
        <v>201</v>
      </c>
      <c r="C89" s="84" t="s">
        <v>162</v>
      </c>
      <c r="D89" s="71" t="s">
        <v>204</v>
      </c>
      <c r="E89" s="95"/>
      <c r="F89" s="34">
        <v>1</v>
      </c>
      <c r="G89" s="34">
        <v>335.25</v>
      </c>
      <c r="H89" s="13"/>
      <c r="I89" s="13">
        <f>G89*1</f>
        <v>335.25</v>
      </c>
    </row>
    <row r="90" spans="1:9" ht="28.5" customHeight="1">
      <c r="A90" s="30">
        <v>19</v>
      </c>
      <c r="B90" s="87" t="s">
        <v>202</v>
      </c>
      <c r="C90" s="88" t="s">
        <v>30</v>
      </c>
      <c r="D90" s="71" t="s">
        <v>204</v>
      </c>
      <c r="E90" s="95"/>
      <c r="F90" s="34">
        <v>2</v>
      </c>
      <c r="G90" s="34">
        <v>826.05</v>
      </c>
      <c r="H90" s="13"/>
      <c r="I90" s="13">
        <f>G90*2</f>
        <v>1652.1</v>
      </c>
    </row>
    <row r="91" spans="1:9" ht="16.5" customHeight="1">
      <c r="A91" s="30">
        <v>20</v>
      </c>
      <c r="B91" s="87" t="s">
        <v>203</v>
      </c>
      <c r="C91" s="88" t="s">
        <v>103</v>
      </c>
      <c r="D91" s="71"/>
      <c r="E91" s="95"/>
      <c r="F91" s="34">
        <v>1</v>
      </c>
      <c r="G91" s="34">
        <v>43</v>
      </c>
      <c r="H91" s="13"/>
      <c r="I91" s="13">
        <f>G91*1</f>
        <v>43</v>
      </c>
    </row>
    <row r="92" spans="1:9" ht="15.75" customHeight="1">
      <c r="A92" s="30"/>
      <c r="B92" s="40" t="s">
        <v>50</v>
      </c>
      <c r="C92" s="36"/>
      <c r="D92" s="43"/>
      <c r="E92" s="36">
        <v>1</v>
      </c>
      <c r="F92" s="36"/>
      <c r="G92" s="36"/>
      <c r="H92" s="36"/>
      <c r="I92" s="32">
        <f>SUM(I86:I91)</f>
        <v>19212.7692833</v>
      </c>
    </row>
    <row r="93" spans="1:9" ht="15.75" customHeight="1">
      <c r="A93" s="30"/>
      <c r="B93" s="42" t="s">
        <v>76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149</v>
      </c>
      <c r="C94" s="33"/>
      <c r="D94" s="33"/>
      <c r="E94" s="33"/>
      <c r="F94" s="33"/>
      <c r="G94" s="33"/>
      <c r="H94" s="33"/>
      <c r="I94" s="39">
        <f>I84+I92</f>
        <v>62192.753335300004</v>
      </c>
    </row>
    <row r="95" spans="1:9" ht="15.75" customHeight="1">
      <c r="A95" s="125" t="s">
        <v>205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53"/>
      <c r="B96" s="126" t="s">
        <v>206</v>
      </c>
      <c r="C96" s="126"/>
      <c r="D96" s="126"/>
      <c r="E96" s="126"/>
      <c r="F96" s="126"/>
      <c r="G96" s="126"/>
      <c r="H96" s="57"/>
      <c r="I96" s="3"/>
    </row>
    <row r="97" spans="1:9" ht="15.75" customHeight="1">
      <c r="A97" s="49"/>
      <c r="B97" s="127" t="s">
        <v>6</v>
      </c>
      <c r="C97" s="127"/>
      <c r="D97" s="127"/>
      <c r="E97" s="127"/>
      <c r="F97" s="127"/>
      <c r="G97" s="127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8" t="s">
        <v>7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 customHeight="1">
      <c r="A100" s="128" t="s">
        <v>8</v>
      </c>
      <c r="B100" s="128"/>
      <c r="C100" s="128"/>
      <c r="D100" s="128"/>
      <c r="E100" s="128"/>
      <c r="F100" s="128"/>
      <c r="G100" s="128"/>
      <c r="H100" s="128"/>
      <c r="I100" s="128"/>
    </row>
    <row r="101" spans="1:9" ht="15.75">
      <c r="A101" s="129" t="s">
        <v>59</v>
      </c>
      <c r="B101" s="129"/>
      <c r="C101" s="129"/>
      <c r="D101" s="129"/>
      <c r="E101" s="129"/>
      <c r="F101" s="129"/>
      <c r="G101" s="129"/>
      <c r="H101" s="129"/>
      <c r="I101" s="129"/>
    </row>
    <row r="102" spans="1:9" ht="15.75" customHeight="1">
      <c r="A102" s="11"/>
    </row>
    <row r="103" spans="1:9" ht="15.75" customHeight="1">
      <c r="A103" s="130" t="s">
        <v>9</v>
      </c>
      <c r="B103" s="130"/>
      <c r="C103" s="130"/>
      <c r="D103" s="130"/>
      <c r="E103" s="130"/>
      <c r="F103" s="130"/>
      <c r="G103" s="130"/>
      <c r="H103" s="130"/>
      <c r="I103" s="130"/>
    </row>
    <row r="104" spans="1:9" ht="15.75" customHeight="1">
      <c r="A104" s="4"/>
    </row>
    <row r="105" spans="1:9" ht="15.75">
      <c r="B105" s="50" t="s">
        <v>10</v>
      </c>
      <c r="C105" s="131" t="s">
        <v>127</v>
      </c>
      <c r="D105" s="131"/>
      <c r="E105" s="131"/>
      <c r="F105" s="55"/>
      <c r="I105" s="48"/>
    </row>
    <row r="106" spans="1:9" ht="15.75" customHeight="1">
      <c r="A106" s="49"/>
      <c r="C106" s="127" t="s">
        <v>11</v>
      </c>
      <c r="D106" s="127"/>
      <c r="E106" s="127"/>
      <c r="F106" s="25"/>
      <c r="I106" s="47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50" t="s">
        <v>13</v>
      </c>
      <c r="C108" s="132"/>
      <c r="D108" s="132"/>
      <c r="E108" s="132"/>
      <c r="F108" s="56"/>
      <c r="I108" s="48"/>
    </row>
    <row r="109" spans="1:9" ht="15.75" customHeight="1">
      <c r="A109" s="49"/>
      <c r="C109" s="121" t="s">
        <v>11</v>
      </c>
      <c r="D109" s="121"/>
      <c r="E109" s="121"/>
      <c r="F109" s="49"/>
      <c r="I109" s="47" t="s">
        <v>12</v>
      </c>
    </row>
    <row r="110" spans="1:9" ht="15.75">
      <c r="A110" s="4" t="s">
        <v>14</v>
      </c>
    </row>
    <row r="111" spans="1:9" ht="15.75" customHeight="1">
      <c r="A111" s="119" t="s">
        <v>15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ht="45" customHeight="1">
      <c r="A112" s="120" t="s">
        <v>16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30" customHeight="1">
      <c r="A113" s="120" t="s">
        <v>17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30" customHeight="1">
      <c r="A114" s="120" t="s">
        <v>21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15" customHeight="1">
      <c r="A115" s="120" t="s">
        <v>20</v>
      </c>
      <c r="B115" s="120"/>
      <c r="C115" s="120"/>
      <c r="D115" s="120"/>
      <c r="E115" s="120"/>
      <c r="F115" s="120"/>
      <c r="G115" s="120"/>
      <c r="H115" s="120"/>
      <c r="I115" s="120"/>
    </row>
  </sheetData>
  <autoFilter ref="I12:I58"/>
  <mergeCells count="29">
    <mergeCell ref="R63:U63"/>
    <mergeCell ref="A81:I81"/>
    <mergeCell ref="A3:I3"/>
    <mergeCell ref="A4:I4"/>
    <mergeCell ref="A5:I5"/>
    <mergeCell ref="A8:I8"/>
    <mergeCell ref="A10:I10"/>
    <mergeCell ref="A14:I14"/>
    <mergeCell ref="A101:I101"/>
    <mergeCell ref="A15:I15"/>
    <mergeCell ref="A28:I28"/>
    <mergeCell ref="A45:I45"/>
    <mergeCell ref="A56:I56"/>
    <mergeCell ref="A95:I95"/>
    <mergeCell ref="B96:G96"/>
    <mergeCell ref="B97:G97"/>
    <mergeCell ref="A99:I99"/>
    <mergeCell ref="A100:I100"/>
    <mergeCell ref="A85:I85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41" workbookViewId="0">
      <selection activeCell="B90" sqref="B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140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199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43951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101</v>
      </c>
      <c r="C30" s="16" t="s">
        <v>84</v>
      </c>
      <c r="D30" s="14" t="s">
        <v>98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115</v>
      </c>
      <c r="C31" s="16" t="s">
        <v>84</v>
      </c>
      <c r="D31" s="14" t="s">
        <v>99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114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100</v>
      </c>
      <c r="C34" s="16" t="s">
        <v>30</v>
      </c>
      <c r="D34" s="14" t="s">
        <v>61</v>
      </c>
      <c r="E34" s="60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121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134</v>
      </c>
      <c r="I38" s="13"/>
      <c r="J38" s="24"/>
      <c r="L38" s="19"/>
      <c r="M38" s="20"/>
      <c r="N38" s="21"/>
    </row>
    <row r="39" spans="1:14" ht="15.75" hidden="1" customHeight="1">
      <c r="A39" s="30">
        <v>9</v>
      </c>
      <c r="B39" s="14" t="s">
        <v>26</v>
      </c>
      <c r="C39" s="16" t="s">
        <v>31</v>
      </c>
      <c r="D39" s="14"/>
      <c r="E39" s="18"/>
      <c r="F39" s="13">
        <v>6</v>
      </c>
      <c r="G39" s="13">
        <v>1527.22</v>
      </c>
      <c r="H39" s="13">
        <f t="shared" ref="H39:H44" si="3">SUM(F39*G39/1000)</f>
        <v>9.1633200000000006</v>
      </c>
      <c r="I39" s="13">
        <f t="shared" ref="I39:I42" si="4">F39/6*G39</f>
        <v>1527.22</v>
      </c>
      <c r="J39" s="24"/>
      <c r="L39" s="19"/>
      <c r="M39" s="20"/>
      <c r="N39" s="21"/>
    </row>
    <row r="40" spans="1:14" ht="15.75" customHeight="1">
      <c r="A40" s="30">
        <v>8</v>
      </c>
      <c r="B40" s="14" t="s">
        <v>102</v>
      </c>
      <c r="C40" s="16" t="s">
        <v>29</v>
      </c>
      <c r="D40" s="14" t="s">
        <v>169</v>
      </c>
      <c r="E40" s="18">
        <v>374</v>
      </c>
      <c r="F40" s="13">
        <f>E40*26/1000</f>
        <v>9.7240000000000002</v>
      </c>
      <c r="G40" s="13">
        <v>2102.71</v>
      </c>
      <c r="H40" s="13">
        <f>G40*F40/1000</f>
        <v>20.44675204</v>
      </c>
      <c r="I40" s="13">
        <f t="shared" si="4"/>
        <v>3407.792006666667</v>
      </c>
      <c r="J40" s="24"/>
      <c r="L40" s="19"/>
      <c r="M40" s="20"/>
      <c r="N40" s="21"/>
    </row>
    <row r="41" spans="1:14" ht="15.75" customHeight="1">
      <c r="A41" s="30">
        <v>9</v>
      </c>
      <c r="B41" s="14" t="s">
        <v>65</v>
      </c>
      <c r="C41" s="16" t="s">
        <v>29</v>
      </c>
      <c r="D41" s="14" t="s">
        <v>170</v>
      </c>
      <c r="E41" s="13">
        <v>160</v>
      </c>
      <c r="F41" s="13">
        <f>SUM(E41*155/1000)</f>
        <v>24.8</v>
      </c>
      <c r="G41" s="13">
        <v>350.75</v>
      </c>
      <c r="H41" s="13">
        <f t="shared" si="3"/>
        <v>8.6986000000000008</v>
      </c>
      <c r="I41" s="13">
        <f t="shared" si="4"/>
        <v>1449.7666666666669</v>
      </c>
      <c r="J41" s="24"/>
      <c r="L41" s="19"/>
      <c r="M41" s="20"/>
      <c r="N41" s="21"/>
    </row>
    <row r="42" spans="1:14" ht="47.25" customHeight="1">
      <c r="A42" s="30">
        <v>10</v>
      </c>
      <c r="B42" s="14" t="s">
        <v>79</v>
      </c>
      <c r="C42" s="16" t="s">
        <v>84</v>
      </c>
      <c r="D42" s="14" t="s">
        <v>165</v>
      </c>
      <c r="E42" s="13">
        <v>76</v>
      </c>
      <c r="F42" s="13">
        <f>SUM(E42*50/1000)</f>
        <v>3.8</v>
      </c>
      <c r="G42" s="13">
        <v>5803.28</v>
      </c>
      <c r="H42" s="13">
        <f t="shared" si="3"/>
        <v>22.052463999999997</v>
      </c>
      <c r="I42" s="13">
        <f t="shared" si="4"/>
        <v>3675.4106666666662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85</v>
      </c>
      <c r="C43" s="16" t="s">
        <v>84</v>
      </c>
      <c r="D43" s="14" t="s">
        <v>171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F43/7.5*1.5*G43</f>
        <v>293.23079999999999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F44/7.5*1.5*G44</f>
        <v>143.64000000000001</v>
      </c>
      <c r="J44" s="24"/>
      <c r="L44" s="19"/>
      <c r="M44" s="20"/>
      <c r="N44" s="21"/>
    </row>
    <row r="45" spans="1:14" ht="15" hidden="1" customHeight="1">
      <c r="A45" s="137" t="s">
        <v>130</v>
      </c>
      <c r="B45" s="138"/>
      <c r="C45" s="138"/>
      <c r="D45" s="138"/>
      <c r="E45" s="138"/>
      <c r="F45" s="138"/>
      <c r="G45" s="138"/>
      <c r="H45" s="138"/>
      <c r="I45" s="139"/>
      <c r="J45" s="24"/>
      <c r="L45" s="19"/>
      <c r="M45" s="20"/>
      <c r="N45" s="21"/>
    </row>
    <row r="46" spans="1:14" ht="15.75" hidden="1" customHeight="1">
      <c r="A46" s="30"/>
      <c r="B46" s="14" t="s">
        <v>135</v>
      </c>
      <c r="C46" s="16" t="s">
        <v>84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5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84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5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84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5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84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5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15</v>
      </c>
      <c r="B51" s="14" t="s">
        <v>54</v>
      </c>
      <c r="C51" s="16" t="s">
        <v>84</v>
      </c>
      <c r="D51" s="14" t="s">
        <v>137</v>
      </c>
      <c r="E51" s="18">
        <v>1914</v>
      </c>
      <c r="F51" s="13">
        <f>SUM(E51*5/1000)</f>
        <v>9.57</v>
      </c>
      <c r="G51" s="13">
        <v>1213.55</v>
      </c>
      <c r="H51" s="13">
        <f t="shared" si="5"/>
        <v>11.613673500000001</v>
      </c>
      <c r="I51" s="13">
        <f>F51/5*G51</f>
        <v>2322.7347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86</v>
      </c>
      <c r="C52" s="16" t="s">
        <v>84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5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87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15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5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5.75" hidden="1" customHeight="1">
      <c r="A55" s="30">
        <v>15</v>
      </c>
      <c r="B55" s="14" t="s">
        <v>40</v>
      </c>
      <c r="C55" s="16" t="s">
        <v>103</v>
      </c>
      <c r="D55" s="14" t="s">
        <v>68</v>
      </c>
      <c r="E55" s="18">
        <v>120</v>
      </c>
      <c r="F55" s="13">
        <f>SUM(E55)*3</f>
        <v>360</v>
      </c>
      <c r="G55" s="13">
        <v>65.67</v>
      </c>
      <c r="H55" s="13">
        <f t="shared" si="5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7" t="s">
        <v>128</v>
      </c>
      <c r="B56" s="138"/>
      <c r="C56" s="138"/>
      <c r="D56" s="138"/>
      <c r="E56" s="138"/>
      <c r="F56" s="138"/>
      <c r="G56" s="138"/>
      <c r="H56" s="138"/>
      <c r="I56" s="139"/>
      <c r="J56" s="24"/>
      <c r="L56" s="19"/>
      <c r="M56" s="20"/>
      <c r="N56" s="21"/>
    </row>
    <row r="57" spans="1:22" ht="15.75" customHeight="1">
      <c r="A57" s="30"/>
      <c r="B57" s="51" t="s">
        <v>43</v>
      </c>
      <c r="C57" s="16"/>
      <c r="D57" s="14"/>
      <c r="E57" s="18"/>
      <c r="F57" s="13"/>
      <c r="G57" s="13"/>
      <c r="H57" s="13"/>
      <c r="I57" s="13"/>
    </row>
    <row r="58" spans="1:22" ht="15.75" hidden="1" customHeight="1">
      <c r="A58" s="30"/>
      <c r="B58" s="14" t="s">
        <v>116</v>
      </c>
      <c r="C58" s="16" t="s">
        <v>51</v>
      </c>
      <c r="D58" s="14" t="s">
        <v>52</v>
      </c>
      <c r="E58" s="18">
        <v>1387</v>
      </c>
      <c r="F58" s="13">
        <f>E58/100</f>
        <v>13.87</v>
      </c>
      <c r="G58" s="13">
        <v>793.61</v>
      </c>
      <c r="H58" s="13">
        <f>F58*G58/1000</f>
        <v>11.007370699999999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11</v>
      </c>
      <c r="B59" s="14" t="s">
        <v>117</v>
      </c>
      <c r="C59" s="16" t="s">
        <v>25</v>
      </c>
      <c r="D59" s="14" t="s">
        <v>167</v>
      </c>
      <c r="E59" s="18">
        <v>286.8</v>
      </c>
      <c r="F59" s="13">
        <f>E59*12</f>
        <v>3441.6000000000004</v>
      </c>
      <c r="G59" s="13">
        <v>1.4</v>
      </c>
      <c r="H59" s="13">
        <f>F59*G59/1000</f>
        <v>4.8182399999999994</v>
      </c>
      <c r="I59" s="13">
        <f>2400/12*G59</f>
        <v>280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51" t="s">
        <v>124</v>
      </c>
      <c r="C60" s="16"/>
      <c r="D60" s="14"/>
      <c r="E60" s="18"/>
      <c r="F60" s="13"/>
      <c r="G60" s="13"/>
      <c r="H60" s="13"/>
      <c r="I60" s="13"/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30"/>
      <c r="B61" s="14" t="s">
        <v>125</v>
      </c>
      <c r="C61" s="16" t="s">
        <v>103</v>
      </c>
      <c r="D61" s="14" t="s">
        <v>52</v>
      </c>
      <c r="E61" s="18">
        <v>4</v>
      </c>
      <c r="F61" s="13">
        <v>4</v>
      </c>
      <c r="G61" s="13">
        <v>237.75</v>
      </c>
      <c r="H61" s="13">
        <f t="shared" ref="H61" si="6">F61*G61/1000</f>
        <v>0.95099999999999996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1"/>
      <c r="S61" s="121"/>
      <c r="T61" s="121"/>
      <c r="U61" s="121"/>
    </row>
    <row r="62" spans="1:22" ht="15.75" hidden="1" customHeight="1">
      <c r="A62" s="30"/>
      <c r="B62" s="51" t="s">
        <v>44</v>
      </c>
      <c r="C62" s="16"/>
      <c r="D62" s="14"/>
      <c r="E62" s="18"/>
      <c r="F62" s="13"/>
      <c r="G62" s="13"/>
      <c r="H62" s="13" t="s">
        <v>134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/>
      <c r="B63" s="80" t="s">
        <v>44</v>
      </c>
      <c r="C63" s="16"/>
      <c r="D63" s="14"/>
      <c r="E63" s="18"/>
      <c r="F63" s="13"/>
      <c r="G63" s="13"/>
      <c r="H63" s="13"/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6.5" hidden="1" customHeight="1">
      <c r="A64" s="30">
        <v>14</v>
      </c>
      <c r="B64" s="14" t="s">
        <v>45</v>
      </c>
      <c r="C64" s="16" t="s">
        <v>103</v>
      </c>
      <c r="D64" s="14" t="s">
        <v>172</v>
      </c>
      <c r="E64" s="18">
        <v>10</v>
      </c>
      <c r="F64" s="13">
        <v>10</v>
      </c>
      <c r="G64" s="13">
        <v>222.4</v>
      </c>
      <c r="H64" s="13">
        <f t="shared" ref="H64:H77" si="7">SUM(F64*G64/1000)</f>
        <v>2.2240000000000002</v>
      </c>
      <c r="I64" s="13">
        <f>G64*1</f>
        <v>222.4</v>
      </c>
    </row>
    <row r="65" spans="1:9" ht="17.2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7.25" hidden="1" customHeight="1">
      <c r="A66" s="30"/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8.75" hidden="1" customHeight="1">
      <c r="A67" s="30"/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21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5.75" hidden="1" customHeight="1">
      <c r="A69" s="30"/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21" hidden="1" customHeight="1">
      <c r="A70" s="30"/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9.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15.75" hidden="1" customHeight="1">
      <c r="A72" s="30"/>
      <c r="B72" s="51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15.75" hidden="1" customHeight="1">
      <c r="A73" s="30">
        <v>22</v>
      </c>
      <c r="B73" s="14" t="s">
        <v>70</v>
      </c>
      <c r="C73" s="16" t="s">
        <v>72</v>
      </c>
      <c r="D73" s="14"/>
      <c r="E73" s="18">
        <v>4</v>
      </c>
      <c r="F73" s="13">
        <v>0.4</v>
      </c>
      <c r="G73" s="13">
        <v>501.62</v>
      </c>
      <c r="H73" s="13">
        <f t="shared" si="7"/>
        <v>0.20064800000000002</v>
      </c>
      <c r="I73" s="13">
        <f>G73*0.6</f>
        <v>300.97199999999998</v>
      </c>
    </row>
    <row r="74" spans="1:9" ht="14.2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18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13.5" hidden="1" customHeight="1">
      <c r="A76" s="30"/>
      <c r="B76" s="58" t="s">
        <v>73</v>
      </c>
      <c r="C76" s="16"/>
      <c r="D76" s="14"/>
      <c r="E76" s="18"/>
      <c r="F76" s="13"/>
      <c r="G76" s="13" t="s">
        <v>134</v>
      </c>
      <c r="H76" s="13" t="s">
        <v>134</v>
      </c>
      <c r="I76" s="13"/>
    </row>
    <row r="77" spans="1:9" ht="14.25" hidden="1" customHeight="1">
      <c r="A77" s="30"/>
      <c r="B77" s="42" t="s">
        <v>120</v>
      </c>
      <c r="C77" s="16" t="s">
        <v>74</v>
      </c>
      <c r="D77" s="14"/>
      <c r="E77" s="18"/>
      <c r="F77" s="13">
        <v>0.1</v>
      </c>
      <c r="G77" s="13">
        <v>2759.44</v>
      </c>
      <c r="H77" s="13">
        <f t="shared" si="7"/>
        <v>0.27594400000000002</v>
      </c>
      <c r="I77" s="13">
        <v>0</v>
      </c>
    </row>
    <row r="78" spans="1:9" ht="19.5" hidden="1" customHeight="1">
      <c r="A78" s="30"/>
      <c r="B78" s="51" t="s">
        <v>88</v>
      </c>
      <c r="C78" s="64"/>
      <c r="D78" s="64"/>
      <c r="E78" s="64"/>
      <c r="F78" s="64"/>
      <c r="G78" s="59"/>
      <c r="H78" s="59">
        <f>SUM(H57:H77)</f>
        <v>123.00824768</v>
      </c>
      <c r="I78" s="59"/>
    </row>
    <row r="79" spans="1:9" ht="15.75" hidden="1" customHeight="1">
      <c r="A79" s="30"/>
      <c r="B79" s="14" t="s">
        <v>109</v>
      </c>
      <c r="C79" s="16"/>
      <c r="D79" s="14"/>
      <c r="E79" s="18"/>
      <c r="F79" s="13">
        <v>1</v>
      </c>
      <c r="G79" s="13">
        <v>13441.4</v>
      </c>
      <c r="H79" s="13">
        <f>G79*F79/1000</f>
        <v>13.4414</v>
      </c>
      <c r="I79" s="13">
        <v>0</v>
      </c>
    </row>
    <row r="80" spans="1:9" ht="15.75" customHeight="1">
      <c r="A80" s="122" t="s">
        <v>129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30">
        <v>12</v>
      </c>
      <c r="B81" s="14" t="s">
        <v>111</v>
      </c>
      <c r="C81" s="16" t="s">
        <v>53</v>
      </c>
      <c r="D81" s="54"/>
      <c r="E81" s="13">
        <v>5367.6</v>
      </c>
      <c r="F81" s="13">
        <f>SUM(E81*12)</f>
        <v>64411.200000000004</v>
      </c>
      <c r="G81" s="13">
        <v>2.1</v>
      </c>
      <c r="H81" s="13">
        <f>SUM(F81*G81/1000)</f>
        <v>135.26352000000003</v>
      </c>
      <c r="I81" s="13">
        <f>F81/12*G81</f>
        <v>11271.960000000001</v>
      </c>
    </row>
    <row r="82" spans="1:9" ht="31.5" customHeight="1">
      <c r="A82" s="30">
        <v>13</v>
      </c>
      <c r="B82" s="14" t="s">
        <v>75</v>
      </c>
      <c r="C82" s="16"/>
      <c r="D82" s="54"/>
      <c r="E82" s="18">
        <f>E81</f>
        <v>5367.6</v>
      </c>
      <c r="F82" s="13">
        <f>E82*12</f>
        <v>64411.200000000004</v>
      </c>
      <c r="G82" s="13">
        <v>1.63</v>
      </c>
      <c r="H82" s="13">
        <f>F82*G82/1000</f>
        <v>104.99025599999999</v>
      </c>
      <c r="I82" s="13">
        <f>F82/12*G82</f>
        <v>8749.1880000000001</v>
      </c>
    </row>
    <row r="83" spans="1:9" ht="15.75" customHeight="1">
      <c r="A83" s="30"/>
      <c r="B83" s="35" t="s">
        <v>77</v>
      </c>
      <c r="C83" s="58"/>
      <c r="D83" s="62"/>
      <c r="E83" s="59"/>
      <c r="F83" s="59"/>
      <c r="G83" s="59"/>
      <c r="H83" s="59">
        <f>H82</f>
        <v>104.99025599999999</v>
      </c>
      <c r="I83" s="59">
        <f>I82+I81+I59+I42+I41+I40+I27+I24+I21+I20+I18+I17+I16</f>
        <v>42521.818051999995</v>
      </c>
    </row>
    <row r="84" spans="1:9" ht="15.75" customHeight="1">
      <c r="A84" s="133" t="s">
        <v>58</v>
      </c>
      <c r="B84" s="134"/>
      <c r="C84" s="134"/>
      <c r="D84" s="134"/>
      <c r="E84" s="134"/>
      <c r="F84" s="134"/>
      <c r="G84" s="134"/>
      <c r="H84" s="134"/>
      <c r="I84" s="135"/>
    </row>
    <row r="85" spans="1:9" ht="29.25" customHeight="1">
      <c r="A85" s="30">
        <v>14</v>
      </c>
      <c r="B85" s="85" t="s">
        <v>159</v>
      </c>
      <c r="C85" s="86" t="s">
        <v>29</v>
      </c>
      <c r="D85" s="73"/>
      <c r="E85" s="96"/>
      <c r="F85" s="34">
        <f>15*0.599/1000</f>
        <v>8.9849999999999999E-3</v>
      </c>
      <c r="G85" s="34">
        <v>20547.34</v>
      </c>
      <c r="H85" s="13"/>
      <c r="I85" s="13">
        <f>G85*0.599*5/1000</f>
        <v>61.539283299999994</v>
      </c>
    </row>
    <row r="86" spans="1:9" ht="16.5" customHeight="1">
      <c r="A86" s="30">
        <v>15</v>
      </c>
      <c r="B86" s="45" t="s">
        <v>118</v>
      </c>
      <c r="C86" s="46" t="s">
        <v>103</v>
      </c>
      <c r="D86" s="71"/>
      <c r="E86" s="95"/>
      <c r="F86" s="34">
        <v>1</v>
      </c>
      <c r="G86" s="34">
        <v>60.72</v>
      </c>
      <c r="H86" s="13">
        <f t="shared" ref="H86" si="9">G86*F86/1000</f>
        <v>6.0719999999999996E-2</v>
      </c>
      <c r="I86" s="13">
        <f>G86*1</f>
        <v>60.72</v>
      </c>
    </row>
    <row r="87" spans="1:9" ht="16.5" customHeight="1">
      <c r="A87" s="30">
        <v>16</v>
      </c>
      <c r="B87" s="45" t="s">
        <v>286</v>
      </c>
      <c r="C87" s="46" t="s">
        <v>200</v>
      </c>
      <c r="D87" s="42"/>
      <c r="E87" s="13"/>
      <c r="F87" s="13"/>
      <c r="G87" s="34">
        <v>269.91000000000003</v>
      </c>
      <c r="H87" s="63"/>
      <c r="I87" s="13">
        <f>G87*1</f>
        <v>269.91000000000003</v>
      </c>
    </row>
    <row r="88" spans="1:9" ht="16.5" customHeight="1">
      <c r="A88" s="30">
        <v>17</v>
      </c>
      <c r="B88" s="45" t="s">
        <v>213</v>
      </c>
      <c r="C88" s="46" t="s">
        <v>39</v>
      </c>
      <c r="D88" s="71"/>
      <c r="E88" s="95"/>
      <c r="F88" s="34">
        <v>0.01</v>
      </c>
      <c r="G88" s="34">
        <v>27139.18</v>
      </c>
      <c r="H88" s="63"/>
      <c r="I88" s="13">
        <f>G88*0.02</f>
        <v>542.78359999999998</v>
      </c>
    </row>
    <row r="89" spans="1:9" ht="15.75" customHeight="1">
      <c r="A89" s="30"/>
      <c r="B89" s="40" t="s">
        <v>50</v>
      </c>
      <c r="C89" s="36"/>
      <c r="D89" s="43"/>
      <c r="E89" s="36">
        <v>1</v>
      </c>
      <c r="F89" s="36"/>
      <c r="G89" s="36"/>
      <c r="H89" s="36"/>
      <c r="I89" s="32">
        <f>SUM(I85:I88)</f>
        <v>934.95288329999994</v>
      </c>
    </row>
    <row r="90" spans="1:9" ht="15.75" customHeight="1">
      <c r="A90" s="30"/>
      <c r="B90" s="42" t="s">
        <v>76</v>
      </c>
      <c r="C90" s="15"/>
      <c r="D90" s="15"/>
      <c r="E90" s="37"/>
      <c r="F90" s="37"/>
      <c r="G90" s="38"/>
      <c r="H90" s="38"/>
      <c r="I90" s="17">
        <v>0</v>
      </c>
    </row>
    <row r="91" spans="1:9" ht="15.75" customHeight="1">
      <c r="A91" s="44"/>
      <c r="B91" s="41" t="s">
        <v>149</v>
      </c>
      <c r="C91" s="33"/>
      <c r="D91" s="33"/>
      <c r="E91" s="33"/>
      <c r="F91" s="33"/>
      <c r="G91" s="33"/>
      <c r="H91" s="33"/>
      <c r="I91" s="39">
        <f>I83+I89</f>
        <v>43456.770935299995</v>
      </c>
    </row>
    <row r="92" spans="1:9" ht="15.75" customHeight="1">
      <c r="A92" s="125" t="s">
        <v>214</v>
      </c>
      <c r="B92" s="125"/>
      <c r="C92" s="125"/>
      <c r="D92" s="125"/>
      <c r="E92" s="125"/>
      <c r="F92" s="125"/>
      <c r="G92" s="125"/>
      <c r="H92" s="125"/>
      <c r="I92" s="125"/>
    </row>
    <row r="93" spans="1:9" ht="15.75">
      <c r="A93" s="53"/>
      <c r="B93" s="126" t="s">
        <v>215</v>
      </c>
      <c r="C93" s="126"/>
      <c r="D93" s="126"/>
      <c r="E93" s="126"/>
      <c r="F93" s="126"/>
      <c r="G93" s="126"/>
      <c r="H93" s="57"/>
      <c r="I93" s="3"/>
    </row>
    <row r="94" spans="1:9" ht="15.75" customHeight="1">
      <c r="A94" s="49"/>
      <c r="B94" s="127" t="s">
        <v>6</v>
      </c>
      <c r="C94" s="127"/>
      <c r="D94" s="127"/>
      <c r="E94" s="127"/>
      <c r="F94" s="127"/>
      <c r="G94" s="127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28" t="s">
        <v>7</v>
      </c>
      <c r="B96" s="128"/>
      <c r="C96" s="128"/>
      <c r="D96" s="128"/>
      <c r="E96" s="128"/>
      <c r="F96" s="128"/>
      <c r="G96" s="128"/>
      <c r="H96" s="128"/>
      <c r="I96" s="128"/>
    </row>
    <row r="97" spans="1:9" ht="15.75" customHeight="1">
      <c r="A97" s="128" t="s">
        <v>8</v>
      </c>
      <c r="B97" s="128"/>
      <c r="C97" s="128"/>
      <c r="D97" s="128"/>
      <c r="E97" s="128"/>
      <c r="F97" s="128"/>
      <c r="G97" s="128"/>
      <c r="H97" s="128"/>
      <c r="I97" s="128"/>
    </row>
    <row r="98" spans="1:9" ht="15.75">
      <c r="A98" s="129" t="s">
        <v>59</v>
      </c>
      <c r="B98" s="129"/>
      <c r="C98" s="129"/>
      <c r="D98" s="129"/>
      <c r="E98" s="129"/>
      <c r="F98" s="129"/>
      <c r="G98" s="129"/>
      <c r="H98" s="129"/>
      <c r="I98" s="129"/>
    </row>
    <row r="99" spans="1:9" ht="15.75" customHeight="1">
      <c r="A99" s="11"/>
    </row>
    <row r="100" spans="1:9" ht="15.75" customHeight="1">
      <c r="A100" s="130" t="s">
        <v>9</v>
      </c>
      <c r="B100" s="130"/>
      <c r="C100" s="130"/>
      <c r="D100" s="130"/>
      <c r="E100" s="130"/>
      <c r="F100" s="130"/>
      <c r="G100" s="130"/>
      <c r="H100" s="130"/>
      <c r="I100" s="130"/>
    </row>
    <row r="101" spans="1:9" ht="15.75" customHeight="1">
      <c r="A101" s="4"/>
    </row>
    <row r="102" spans="1:9" ht="15.75">
      <c r="B102" s="50" t="s">
        <v>10</v>
      </c>
      <c r="C102" s="131" t="s">
        <v>127</v>
      </c>
      <c r="D102" s="131"/>
      <c r="E102" s="131"/>
      <c r="F102" s="55"/>
      <c r="I102" s="48"/>
    </row>
    <row r="103" spans="1:9" ht="15.75" customHeight="1">
      <c r="A103" s="49"/>
      <c r="C103" s="127" t="s">
        <v>11</v>
      </c>
      <c r="D103" s="127"/>
      <c r="E103" s="127"/>
      <c r="F103" s="25"/>
      <c r="I103" s="47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50" t="s">
        <v>13</v>
      </c>
      <c r="C105" s="132"/>
      <c r="D105" s="132"/>
      <c r="E105" s="132"/>
      <c r="F105" s="56"/>
      <c r="I105" s="48"/>
    </row>
    <row r="106" spans="1:9" ht="15.75" customHeight="1">
      <c r="A106" s="49"/>
      <c r="C106" s="121" t="s">
        <v>11</v>
      </c>
      <c r="D106" s="121"/>
      <c r="E106" s="121"/>
      <c r="F106" s="49"/>
      <c r="I106" s="47" t="s">
        <v>12</v>
      </c>
    </row>
    <row r="107" spans="1:9" ht="15.75">
      <c r="A107" s="4" t="s">
        <v>14</v>
      </c>
    </row>
    <row r="108" spans="1:9" ht="15.75" customHeight="1">
      <c r="A108" s="119" t="s">
        <v>15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45" customHeight="1">
      <c r="A109" s="120" t="s">
        <v>16</v>
      </c>
      <c r="B109" s="120"/>
      <c r="C109" s="120"/>
      <c r="D109" s="120"/>
      <c r="E109" s="120"/>
      <c r="F109" s="120"/>
      <c r="G109" s="120"/>
      <c r="H109" s="120"/>
      <c r="I109" s="120"/>
    </row>
    <row r="110" spans="1:9" ht="30" customHeight="1">
      <c r="A110" s="120" t="s">
        <v>17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36" customHeight="1">
      <c r="A111" s="120" t="s">
        <v>21</v>
      </c>
      <c r="B111" s="120"/>
      <c r="C111" s="120"/>
      <c r="D111" s="120"/>
      <c r="E111" s="120"/>
      <c r="F111" s="120"/>
      <c r="G111" s="120"/>
      <c r="H111" s="120"/>
      <c r="I111" s="120"/>
    </row>
    <row r="112" spans="1:9" ht="15" customHeight="1">
      <c r="A112" s="120" t="s">
        <v>20</v>
      </c>
      <c r="B112" s="120"/>
      <c r="C112" s="120"/>
      <c r="D112" s="120"/>
      <c r="E112" s="120"/>
      <c r="F112" s="120"/>
      <c r="G112" s="120"/>
      <c r="H112" s="120"/>
      <c r="I112" s="120"/>
    </row>
  </sheetData>
  <autoFilter ref="I12:I56"/>
  <mergeCells count="29">
    <mergeCell ref="R61:U61"/>
    <mergeCell ref="A80:I80"/>
    <mergeCell ref="A3:I3"/>
    <mergeCell ref="A4:I4"/>
    <mergeCell ref="A5:I5"/>
    <mergeCell ref="A8:I8"/>
    <mergeCell ref="A10:I10"/>
    <mergeCell ref="A14:I14"/>
    <mergeCell ref="A98:I98"/>
    <mergeCell ref="A15:I15"/>
    <mergeCell ref="A28:I28"/>
    <mergeCell ref="A45:I45"/>
    <mergeCell ref="A56:I56"/>
    <mergeCell ref="A92:I92"/>
    <mergeCell ref="B93:G93"/>
    <mergeCell ref="B94:G94"/>
    <mergeCell ref="A96:I96"/>
    <mergeCell ref="A97:I97"/>
    <mergeCell ref="A84:I84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J98" sqref="J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141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207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43982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>
        <v>4</v>
      </c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>
        <v>7</v>
      </c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8</v>
      </c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>
        <v>10</v>
      </c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>
        <v>11</v>
      </c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80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8</v>
      </c>
      <c r="B30" s="14" t="s">
        <v>101</v>
      </c>
      <c r="C30" s="16" t="s">
        <v>84</v>
      </c>
      <c r="D30" s="14" t="s">
        <v>165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6" si="1">SUM(F30*G30/1000)</f>
        <v>6.063497439999999</v>
      </c>
      <c r="I30" s="13">
        <f t="shared" ref="I30:I33" si="2">F30/6*G30</f>
        <v>1010.5829066666666</v>
      </c>
      <c r="J30" s="23"/>
      <c r="K30" s="8"/>
      <c r="L30" s="8"/>
      <c r="M30" s="8"/>
    </row>
    <row r="31" spans="1:13" ht="31.5" customHeight="1">
      <c r="A31" s="30">
        <v>9</v>
      </c>
      <c r="B31" s="14" t="s">
        <v>115</v>
      </c>
      <c r="C31" s="16" t="s">
        <v>84</v>
      </c>
      <c r="D31" s="14" t="s">
        <v>164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customHeight="1">
      <c r="A32" s="30">
        <v>10</v>
      </c>
      <c r="B32" s="14" t="s">
        <v>27</v>
      </c>
      <c r="C32" s="16" t="s">
        <v>84</v>
      </c>
      <c r="D32" s="14" t="s">
        <v>167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customHeight="1">
      <c r="A33" s="30">
        <v>11</v>
      </c>
      <c r="B33" s="14" t="s">
        <v>114</v>
      </c>
      <c r="C33" s="16" t="s">
        <v>39</v>
      </c>
      <c r="D33" s="14" t="s">
        <v>170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si="1"/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1"/>
        <v>1.1363299999999998</v>
      </c>
      <c r="I35" s="13">
        <v>0</v>
      </c>
      <c r="J35" s="24"/>
    </row>
    <row r="36" spans="1:14" ht="15.75" hidden="1" customHeight="1">
      <c r="A36" s="30"/>
      <c r="B36" s="14" t="s">
        <v>121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1"/>
        <v>1.216539644</v>
      </c>
      <c r="I36" s="13">
        <v>0</v>
      </c>
      <c r="J36" s="24"/>
    </row>
    <row r="37" spans="1:14" ht="15.75" hidden="1" customHeight="1">
      <c r="A37" s="30"/>
      <c r="B37" s="80" t="s">
        <v>5</v>
      </c>
      <c r="C37" s="16"/>
      <c r="D37" s="14"/>
      <c r="E37" s="18"/>
      <c r="F37" s="13"/>
      <c r="G37" s="13"/>
      <c r="H37" s="13" t="s">
        <v>134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3">SUM(F38*G38/1000)</f>
        <v>9.1633200000000006</v>
      </c>
      <c r="I38" s="13">
        <f t="shared" ref="I38:I43" si="4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102</v>
      </c>
      <c r="C39" s="16" t="s">
        <v>29</v>
      </c>
      <c r="D39" s="14" t="s">
        <v>122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4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83</v>
      </c>
      <c r="E40" s="13">
        <v>160</v>
      </c>
      <c r="F40" s="13">
        <f>SUM(E40*155/1000)</f>
        <v>24.8</v>
      </c>
      <c r="G40" s="13">
        <v>350.75</v>
      </c>
      <c r="H40" s="13">
        <f t="shared" si="3"/>
        <v>8.6986000000000008</v>
      </c>
      <c r="I40" s="13">
        <f t="shared" si="4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79</v>
      </c>
      <c r="C41" s="16" t="s">
        <v>84</v>
      </c>
      <c r="D41" s="14" t="s">
        <v>123</v>
      </c>
      <c r="E41" s="13">
        <v>76</v>
      </c>
      <c r="F41" s="13">
        <f>SUM(E41*50/1000)</f>
        <v>3.8</v>
      </c>
      <c r="G41" s="13">
        <v>5803.28</v>
      </c>
      <c r="H41" s="13">
        <f t="shared" si="3"/>
        <v>22.052463999999997</v>
      </c>
      <c r="I41" s="13">
        <f t="shared" si="4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85</v>
      </c>
      <c r="C42" s="16" t="s">
        <v>84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3"/>
        <v>1.466154</v>
      </c>
      <c r="I42" s="13">
        <f t="shared" si="4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3"/>
        <v>0.71820000000000006</v>
      </c>
      <c r="I43" s="13">
        <f t="shared" si="4"/>
        <v>119.69999999999999</v>
      </c>
      <c r="J43" s="24"/>
      <c r="L43" s="19"/>
      <c r="M43" s="20"/>
      <c r="N43" s="21"/>
    </row>
    <row r="44" spans="1:14" ht="15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customHeight="1">
      <c r="A45" s="30">
        <v>12</v>
      </c>
      <c r="B45" s="14" t="s">
        <v>135</v>
      </c>
      <c r="C45" s="16" t="s">
        <v>84</v>
      </c>
      <c r="D45" s="14" t="s">
        <v>172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f t="shared" ref="I45:I48" si="6">F45/2*G45</f>
        <v>890.47107800000015</v>
      </c>
      <c r="J45" s="24"/>
      <c r="L45" s="19"/>
      <c r="M45" s="20"/>
      <c r="N45" s="21"/>
    </row>
    <row r="46" spans="1:14" ht="15.75" customHeight="1">
      <c r="A46" s="30">
        <v>13</v>
      </c>
      <c r="B46" s="14" t="s">
        <v>34</v>
      </c>
      <c r="C46" s="16" t="s">
        <v>84</v>
      </c>
      <c r="D46" s="14" t="s">
        <v>172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f t="shared" si="6"/>
        <v>30.132960000000001</v>
      </c>
      <c r="J46" s="24"/>
      <c r="L46" s="19"/>
      <c r="M46" s="20"/>
      <c r="N46" s="21"/>
    </row>
    <row r="47" spans="1:14" ht="15.75" customHeight="1">
      <c r="A47" s="30">
        <v>14</v>
      </c>
      <c r="B47" s="14" t="s">
        <v>35</v>
      </c>
      <c r="C47" s="16" t="s">
        <v>84</v>
      </c>
      <c r="D47" s="14" t="s">
        <v>172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f t="shared" si="6"/>
        <v>531.83515439999996</v>
      </c>
      <c r="J47" s="24"/>
      <c r="L47" s="19"/>
      <c r="M47" s="20"/>
      <c r="N47" s="21"/>
    </row>
    <row r="48" spans="1:14" ht="15.75" customHeight="1">
      <c r="A48" s="30">
        <v>15</v>
      </c>
      <c r="B48" s="14" t="s">
        <v>36</v>
      </c>
      <c r="C48" s="16" t="s">
        <v>84</v>
      </c>
      <c r="D48" s="14" t="s">
        <v>172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f t="shared" si="6"/>
        <v>2384.6061</v>
      </c>
      <c r="J48" s="24"/>
      <c r="L48" s="19"/>
      <c r="M48" s="20"/>
      <c r="N48" s="21"/>
    </row>
    <row r="49" spans="1:22" ht="15.75" customHeight="1">
      <c r="A49" s="30">
        <v>16</v>
      </c>
      <c r="B49" s="14" t="s">
        <v>33</v>
      </c>
      <c r="C49" s="16" t="s">
        <v>51</v>
      </c>
      <c r="D49" s="14" t="s">
        <v>172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f>F49/2*G49</f>
        <v>103.674159</v>
      </c>
      <c r="J49" s="24"/>
      <c r="L49" s="19"/>
      <c r="M49" s="20"/>
      <c r="N49" s="21"/>
    </row>
    <row r="50" spans="1:22" ht="15.75" customHeight="1">
      <c r="A50" s="30">
        <v>17</v>
      </c>
      <c r="B50" s="14" t="s">
        <v>54</v>
      </c>
      <c r="C50" s="16" t="s">
        <v>84</v>
      </c>
      <c r="D50" s="14" t="s">
        <v>172</v>
      </c>
      <c r="E50" s="18">
        <v>1914</v>
      </c>
      <c r="F50" s="13">
        <f>SUM(E50*5/1000)</f>
        <v>9.57</v>
      </c>
      <c r="G50" s="13">
        <v>1213.55</v>
      </c>
      <c r="H50" s="13">
        <f t="shared" si="5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41.25" customHeight="1">
      <c r="A51" s="30">
        <v>18</v>
      </c>
      <c r="B51" s="14" t="s">
        <v>86</v>
      </c>
      <c r="C51" s="16" t="s">
        <v>84</v>
      </c>
      <c r="D51" s="14" t="s">
        <v>172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3.75" customHeight="1">
      <c r="A52" s="30">
        <v>19</v>
      </c>
      <c r="B52" s="14" t="s">
        <v>87</v>
      </c>
      <c r="C52" s="16" t="s">
        <v>37</v>
      </c>
      <c r="D52" s="14" t="s">
        <v>172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7.25" customHeight="1">
      <c r="A53" s="30">
        <v>20</v>
      </c>
      <c r="B53" s="14" t="s">
        <v>38</v>
      </c>
      <c r="C53" s="16" t="s">
        <v>39</v>
      </c>
      <c r="D53" s="14" t="s">
        <v>172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8" hidden="1" customHeight="1">
      <c r="A54" s="30">
        <v>19</v>
      </c>
      <c r="B54" s="14" t="s">
        <v>40</v>
      </c>
      <c r="C54" s="16" t="s">
        <v>103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5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31.5" customHeight="1">
      <c r="A55" s="137" t="s">
        <v>131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80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18" hidden="1" customHeight="1">
      <c r="A57" s="30">
        <v>20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80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21</v>
      </c>
      <c r="B60" s="14" t="s">
        <v>117</v>
      </c>
      <c r="C60" s="16" t="s">
        <v>25</v>
      </c>
      <c r="D60" s="14" t="s">
        <v>167</v>
      </c>
      <c r="E60" s="18">
        <v>286.8</v>
      </c>
      <c r="F60" s="13">
        <f>E60*12</f>
        <v>3441.6000000000004</v>
      </c>
      <c r="G60" s="13">
        <v>1.4</v>
      </c>
      <c r="H60" s="13">
        <f>F60*G60/1000</f>
        <v>4.8182399999999994</v>
      </c>
      <c r="I60" s="13">
        <f>2400/12*G60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80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7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5.75" customHeight="1">
      <c r="A63" s="30"/>
      <c r="B63" s="80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22</v>
      </c>
      <c r="B64" s="14" t="s">
        <v>45</v>
      </c>
      <c r="C64" s="16" t="s">
        <v>103</v>
      </c>
      <c r="D64" s="14" t="s">
        <v>172</v>
      </c>
      <c r="E64" s="18">
        <v>10</v>
      </c>
      <c r="F64" s="13">
        <v>10</v>
      </c>
      <c r="G64" s="13">
        <v>222.4</v>
      </c>
      <c r="H64" s="13">
        <f t="shared" ref="H64:H77" si="8">SUM(F64*G64/1000)</f>
        <v>2.2240000000000002</v>
      </c>
      <c r="I64" s="13">
        <f>G64*1</f>
        <v>222.4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8"/>
        <v>0.38124999999999998</v>
      </c>
      <c r="I65" s="13">
        <v>0</v>
      </c>
    </row>
    <row r="66" spans="1:9" ht="15.75" hidden="1" customHeight="1">
      <c r="A66" s="30">
        <v>28</v>
      </c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8"/>
        <v>40.601267</v>
      </c>
      <c r="I66" s="13">
        <f>F66*G66</f>
        <v>40601.267</v>
      </c>
    </row>
    <row r="67" spans="1:9" ht="15.75" hidden="1" customHeight="1">
      <c r="A67" s="30">
        <v>29</v>
      </c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8"/>
        <v>3.1617889800000003</v>
      </c>
      <c r="I67" s="13">
        <f t="shared" ref="I67:I71" si="9">F67*G67</f>
        <v>3161.7889800000003</v>
      </c>
    </row>
    <row r="68" spans="1:9" ht="15.75" hidden="1" customHeight="1">
      <c r="A68" s="30">
        <v>30</v>
      </c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8"/>
        <v>56.637399000000002</v>
      </c>
      <c r="I68" s="13">
        <f t="shared" si="9"/>
        <v>56637.399000000005</v>
      </c>
    </row>
    <row r="69" spans="1:9" ht="15.75" hidden="1" customHeight="1">
      <c r="A69" s="30">
        <v>31</v>
      </c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8"/>
        <v>0.58916000000000002</v>
      </c>
      <c r="I69" s="13">
        <f t="shared" si="9"/>
        <v>589.16</v>
      </c>
    </row>
    <row r="70" spans="1:9" ht="15.75" hidden="1" customHeight="1">
      <c r="A70" s="30">
        <v>32</v>
      </c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8"/>
        <v>0.54964000000000002</v>
      </c>
      <c r="I70" s="13">
        <f t="shared" si="9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8"/>
        <v>0.39904000000000001</v>
      </c>
      <c r="I71" s="13">
        <f t="shared" si="9"/>
        <v>399.04</v>
      </c>
    </row>
    <row r="72" spans="1:9" ht="16.5" customHeight="1">
      <c r="A72" s="30"/>
      <c r="B72" s="80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18" customHeight="1">
      <c r="A73" s="30">
        <v>23</v>
      </c>
      <c r="B73" s="14" t="s">
        <v>70</v>
      </c>
      <c r="C73" s="16" t="s">
        <v>72</v>
      </c>
      <c r="D73" s="14" t="s">
        <v>212</v>
      </c>
      <c r="E73" s="18">
        <v>4</v>
      </c>
      <c r="F73" s="13">
        <v>0.4</v>
      </c>
      <c r="G73" s="13">
        <v>501.62</v>
      </c>
      <c r="H73" s="13">
        <f t="shared" si="8"/>
        <v>0.20064800000000002</v>
      </c>
      <c r="I73" s="13">
        <f>G73*0.1</f>
        <v>50.162000000000006</v>
      </c>
    </row>
    <row r="74" spans="1:9" ht="22.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28.5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27.75" hidden="1" customHeight="1">
      <c r="A76" s="30"/>
      <c r="B76" s="58" t="s">
        <v>73</v>
      </c>
      <c r="C76" s="16"/>
      <c r="D76" s="14"/>
      <c r="E76" s="18"/>
      <c r="F76" s="13"/>
      <c r="G76" s="13" t="s">
        <v>134</v>
      </c>
      <c r="H76" s="13" t="s">
        <v>134</v>
      </c>
      <c r="I76" s="13"/>
    </row>
    <row r="77" spans="1:9" ht="29.25" hidden="1" customHeight="1">
      <c r="A77" s="30"/>
      <c r="B77" s="42" t="s">
        <v>120</v>
      </c>
      <c r="C77" s="16" t="s">
        <v>74</v>
      </c>
      <c r="D77" s="14"/>
      <c r="E77" s="18"/>
      <c r="F77" s="13">
        <v>0.1</v>
      </c>
      <c r="G77" s="13">
        <v>2759.44</v>
      </c>
      <c r="H77" s="13">
        <f t="shared" si="8"/>
        <v>0.27594400000000002</v>
      </c>
      <c r="I77" s="13">
        <v>0</v>
      </c>
    </row>
    <row r="78" spans="1:9" ht="21" hidden="1" customHeight="1">
      <c r="A78" s="30"/>
      <c r="B78" s="80" t="s">
        <v>88</v>
      </c>
      <c r="C78" s="64"/>
      <c r="D78" s="64"/>
      <c r="E78" s="64"/>
      <c r="F78" s="64"/>
      <c r="G78" s="59"/>
      <c r="H78" s="59">
        <f>SUM(H57:H77)</f>
        <v>129.13547647999999</v>
      </c>
      <c r="I78" s="59"/>
    </row>
    <row r="79" spans="1:9" ht="16.5" hidden="1" customHeight="1">
      <c r="A79" s="30"/>
      <c r="B79" s="14" t="s">
        <v>109</v>
      </c>
      <c r="C79" s="16"/>
      <c r="D79" s="14"/>
      <c r="E79" s="18"/>
      <c r="F79" s="13">
        <v>1</v>
      </c>
      <c r="G79" s="13">
        <v>15090</v>
      </c>
      <c r="H79" s="13">
        <f>G79*F79/1000</f>
        <v>15.09</v>
      </c>
      <c r="I79" s="13">
        <f>G79*1</f>
        <v>15090</v>
      </c>
    </row>
    <row r="80" spans="1:9" ht="15.75" customHeight="1">
      <c r="A80" s="122" t="s">
        <v>132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30">
        <v>24</v>
      </c>
      <c r="B81" s="14" t="s">
        <v>111</v>
      </c>
      <c r="C81" s="16" t="s">
        <v>53</v>
      </c>
      <c r="D81" s="54"/>
      <c r="E81" s="13">
        <v>5367.6</v>
      </c>
      <c r="F81" s="13">
        <f>SUM(E81*12)</f>
        <v>64411.200000000004</v>
      </c>
      <c r="G81" s="13">
        <v>2.1</v>
      </c>
      <c r="H81" s="13">
        <f>SUM(F81*G81/1000)</f>
        <v>135.26352000000003</v>
      </c>
      <c r="I81" s="13">
        <f>F81/12*G81</f>
        <v>11271.960000000001</v>
      </c>
    </row>
    <row r="82" spans="1:9" ht="31.5" customHeight="1">
      <c r="A82" s="30">
        <v>25</v>
      </c>
      <c r="B82" s="14" t="s">
        <v>75</v>
      </c>
      <c r="C82" s="16"/>
      <c r="D82" s="54"/>
      <c r="E82" s="18">
        <f>E81</f>
        <v>5367.6</v>
      </c>
      <c r="F82" s="13">
        <f>E82*12</f>
        <v>64411.200000000004</v>
      </c>
      <c r="G82" s="13">
        <v>1.63</v>
      </c>
      <c r="H82" s="13">
        <f>F82*G82/1000</f>
        <v>104.99025599999999</v>
      </c>
      <c r="I82" s="13">
        <f>F82/12*G82</f>
        <v>8749.1880000000001</v>
      </c>
    </row>
    <row r="83" spans="1:9" ht="15.75" customHeight="1">
      <c r="A83" s="30"/>
      <c r="B83" s="35" t="s">
        <v>77</v>
      </c>
      <c r="C83" s="58"/>
      <c r="D83" s="62"/>
      <c r="E83" s="59"/>
      <c r="F83" s="59"/>
      <c r="G83" s="59"/>
      <c r="H83" s="59">
        <f>H82</f>
        <v>104.99025599999999</v>
      </c>
      <c r="I83" s="59">
        <f>I82+I81+I73+I64+I60+I53+I52+I51+I50+I49+I48+I47+I46+I45+I33+I32+I31+I30+I27+I24+I21+I20+I18+I17+I16</f>
        <v>48313.822836733343</v>
      </c>
    </row>
    <row r="84" spans="1:9" ht="15.75" customHeight="1">
      <c r="A84" s="133" t="s">
        <v>58</v>
      </c>
      <c r="B84" s="134"/>
      <c r="C84" s="134"/>
      <c r="D84" s="134"/>
      <c r="E84" s="134"/>
      <c r="F84" s="134"/>
      <c r="G84" s="134"/>
      <c r="H84" s="134"/>
      <c r="I84" s="135"/>
    </row>
    <row r="85" spans="1:9" ht="15.75" customHeight="1">
      <c r="A85" s="30">
        <v>26</v>
      </c>
      <c r="B85" s="45" t="s">
        <v>118</v>
      </c>
      <c r="C85" s="46" t="s">
        <v>103</v>
      </c>
      <c r="D85" s="71"/>
      <c r="E85" s="95"/>
      <c r="F85" s="34">
        <v>1</v>
      </c>
      <c r="G85" s="34">
        <v>60.72</v>
      </c>
      <c r="H85" s="13">
        <f t="shared" ref="H85" si="10">G85*F85/1000</f>
        <v>6.0719999999999996E-2</v>
      </c>
      <c r="I85" s="13">
        <f>G85*1</f>
        <v>60.72</v>
      </c>
    </row>
    <row r="86" spans="1:9" ht="17.25" customHeight="1">
      <c r="A86" s="30">
        <v>27</v>
      </c>
      <c r="B86" s="87" t="s">
        <v>208</v>
      </c>
      <c r="C86" s="97" t="s">
        <v>174</v>
      </c>
      <c r="D86" s="71"/>
      <c r="E86" s="95"/>
      <c r="F86" s="34">
        <v>1</v>
      </c>
      <c r="G86" s="34">
        <v>9830</v>
      </c>
      <c r="H86" s="63">
        <f>G86*F86/1000</f>
        <v>9.83</v>
      </c>
      <c r="I86" s="13">
        <f>G86*1</f>
        <v>9830</v>
      </c>
    </row>
    <row r="87" spans="1:9" ht="16.5" customHeight="1">
      <c r="A87" s="30">
        <v>28</v>
      </c>
      <c r="B87" s="83" t="s">
        <v>209</v>
      </c>
      <c r="C87" s="46" t="s">
        <v>53</v>
      </c>
      <c r="D87" s="71" t="s">
        <v>175</v>
      </c>
      <c r="E87" s="95"/>
      <c r="F87" s="34">
        <v>0.125</v>
      </c>
      <c r="G87" s="34">
        <v>734.3</v>
      </c>
      <c r="H87" s="63"/>
      <c r="I87" s="13">
        <f>G87*0.125</f>
        <v>91.787499999999994</v>
      </c>
    </row>
    <row r="88" spans="1:9" ht="15.75" customHeight="1">
      <c r="A88" s="30">
        <v>29</v>
      </c>
      <c r="B88" s="45" t="s">
        <v>210</v>
      </c>
      <c r="C88" s="46" t="s">
        <v>200</v>
      </c>
      <c r="D88" s="71" t="s">
        <v>211</v>
      </c>
      <c r="E88" s="95"/>
      <c r="F88" s="34">
        <v>1</v>
      </c>
      <c r="G88" s="34">
        <v>222.63</v>
      </c>
      <c r="H88" s="63"/>
      <c r="I88" s="13">
        <f>G88*1</f>
        <v>222.63</v>
      </c>
    </row>
    <row r="89" spans="1:9" ht="15.75" customHeight="1">
      <c r="A89" s="30">
        <v>30</v>
      </c>
      <c r="B89" s="45" t="s">
        <v>216</v>
      </c>
      <c r="C89" s="46" t="s">
        <v>29</v>
      </c>
      <c r="D89" s="71" t="s">
        <v>172</v>
      </c>
      <c r="E89" s="95"/>
      <c r="F89" s="34">
        <v>0.1</v>
      </c>
      <c r="G89" s="34">
        <v>1356.96</v>
      </c>
      <c r="H89" s="63"/>
      <c r="I89" s="13">
        <v>0</v>
      </c>
    </row>
    <row r="90" spans="1:9" ht="15.75" customHeight="1">
      <c r="A90" s="30">
        <v>31</v>
      </c>
      <c r="B90" s="45" t="s">
        <v>201</v>
      </c>
      <c r="C90" s="84" t="s">
        <v>162</v>
      </c>
      <c r="D90" s="71"/>
      <c r="E90" s="95"/>
      <c r="F90" s="34">
        <v>2</v>
      </c>
      <c r="G90" s="34">
        <v>335.25</v>
      </c>
      <c r="H90" s="63"/>
      <c r="I90" s="13">
        <f>G90*1</f>
        <v>335.25</v>
      </c>
    </row>
    <row r="91" spans="1:9" ht="15.75" customHeight="1">
      <c r="A91" s="30"/>
      <c r="B91" s="40" t="s">
        <v>50</v>
      </c>
      <c r="C91" s="36"/>
      <c r="D91" s="43"/>
      <c r="E91" s="36">
        <v>1</v>
      </c>
      <c r="F91" s="36"/>
      <c r="G91" s="36"/>
      <c r="H91" s="36"/>
      <c r="I91" s="32">
        <f>SUM(I85:I90)</f>
        <v>10540.387499999999</v>
      </c>
    </row>
    <row r="92" spans="1:9" ht="15.75" customHeight="1">
      <c r="A92" s="30"/>
      <c r="B92" s="42" t="s">
        <v>76</v>
      </c>
      <c r="C92" s="15"/>
      <c r="D92" s="15"/>
      <c r="E92" s="37"/>
      <c r="F92" s="37"/>
      <c r="G92" s="38"/>
      <c r="H92" s="38"/>
      <c r="I92" s="17">
        <v>0</v>
      </c>
    </row>
    <row r="93" spans="1:9" ht="15.75" customHeight="1">
      <c r="A93" s="44"/>
      <c r="B93" s="41" t="s">
        <v>149</v>
      </c>
      <c r="C93" s="33"/>
      <c r="D93" s="33"/>
      <c r="E93" s="33"/>
      <c r="F93" s="33"/>
      <c r="G93" s="33"/>
      <c r="H93" s="33"/>
      <c r="I93" s="39">
        <f>I83+I91</f>
        <v>58854.21033673334</v>
      </c>
    </row>
    <row r="94" spans="1:9" ht="15.75" customHeight="1">
      <c r="A94" s="125" t="s">
        <v>287</v>
      </c>
      <c r="B94" s="125"/>
      <c r="C94" s="125"/>
      <c r="D94" s="125"/>
      <c r="E94" s="125"/>
      <c r="F94" s="125"/>
      <c r="G94" s="125"/>
      <c r="H94" s="125"/>
      <c r="I94" s="125"/>
    </row>
    <row r="95" spans="1:9" ht="15.75">
      <c r="A95" s="53"/>
      <c r="B95" s="126" t="s">
        <v>288</v>
      </c>
      <c r="C95" s="126"/>
      <c r="D95" s="126"/>
      <c r="E95" s="126"/>
      <c r="F95" s="126"/>
      <c r="G95" s="126"/>
      <c r="H95" s="57"/>
      <c r="I95" s="3"/>
    </row>
    <row r="96" spans="1:9" ht="15.75" customHeight="1">
      <c r="A96" s="49"/>
      <c r="B96" s="127" t="s">
        <v>6</v>
      </c>
      <c r="C96" s="127"/>
      <c r="D96" s="127"/>
      <c r="E96" s="127"/>
      <c r="F96" s="127"/>
      <c r="G96" s="127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8" t="s">
        <v>7</v>
      </c>
      <c r="B98" s="128"/>
      <c r="C98" s="128"/>
      <c r="D98" s="128"/>
      <c r="E98" s="128"/>
      <c r="F98" s="128"/>
      <c r="G98" s="128"/>
      <c r="H98" s="128"/>
      <c r="I98" s="128"/>
    </row>
    <row r="99" spans="1:9" ht="15.75" customHeight="1">
      <c r="A99" s="128" t="s">
        <v>8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>
      <c r="A100" s="129" t="s">
        <v>59</v>
      </c>
      <c r="B100" s="129"/>
      <c r="C100" s="129"/>
      <c r="D100" s="129"/>
      <c r="E100" s="129"/>
      <c r="F100" s="129"/>
      <c r="G100" s="129"/>
      <c r="H100" s="129"/>
      <c r="I100" s="129"/>
    </row>
    <row r="101" spans="1:9" ht="15.75" customHeight="1">
      <c r="A101" s="11"/>
    </row>
    <row r="102" spans="1:9" ht="15.75" customHeight="1">
      <c r="A102" s="130" t="s">
        <v>9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 customHeight="1">
      <c r="A103" s="4"/>
    </row>
    <row r="104" spans="1:9" ht="15.75">
      <c r="B104" s="50" t="s">
        <v>10</v>
      </c>
      <c r="C104" s="131" t="s">
        <v>127</v>
      </c>
      <c r="D104" s="131"/>
      <c r="E104" s="131"/>
      <c r="F104" s="55"/>
      <c r="I104" s="48"/>
    </row>
    <row r="105" spans="1:9" ht="15.75" customHeight="1">
      <c r="A105" s="49"/>
      <c r="C105" s="127" t="s">
        <v>11</v>
      </c>
      <c r="D105" s="127"/>
      <c r="E105" s="127"/>
      <c r="F105" s="25"/>
      <c r="I105" s="47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50" t="s">
        <v>13</v>
      </c>
      <c r="C107" s="132"/>
      <c r="D107" s="132"/>
      <c r="E107" s="132"/>
      <c r="F107" s="56"/>
      <c r="I107" s="48"/>
    </row>
    <row r="108" spans="1:9" ht="15.75" customHeight="1">
      <c r="A108" s="49"/>
      <c r="C108" s="121" t="s">
        <v>11</v>
      </c>
      <c r="D108" s="121"/>
      <c r="E108" s="121"/>
      <c r="F108" s="49"/>
      <c r="I108" s="47" t="s">
        <v>12</v>
      </c>
    </row>
    <row r="109" spans="1:9" ht="15.75">
      <c r="A109" s="4" t="s">
        <v>14</v>
      </c>
    </row>
    <row r="110" spans="1:9" ht="15.75" customHeight="1">
      <c r="A110" s="119" t="s">
        <v>15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45" customHeight="1">
      <c r="A111" s="120" t="s">
        <v>16</v>
      </c>
      <c r="B111" s="120"/>
      <c r="C111" s="120"/>
      <c r="D111" s="120"/>
      <c r="E111" s="120"/>
      <c r="F111" s="120"/>
      <c r="G111" s="120"/>
      <c r="H111" s="120"/>
      <c r="I111" s="120"/>
    </row>
    <row r="112" spans="1:9" ht="30" customHeight="1">
      <c r="A112" s="120" t="s">
        <v>17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30" customHeight="1">
      <c r="A113" s="120" t="s">
        <v>21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15" customHeight="1">
      <c r="A114" s="120" t="s">
        <v>20</v>
      </c>
      <c r="B114" s="120"/>
      <c r="C114" s="120"/>
      <c r="D114" s="120"/>
      <c r="E114" s="120"/>
      <c r="F114" s="120"/>
      <c r="G114" s="120"/>
      <c r="H114" s="120"/>
      <c r="I114" s="120"/>
    </row>
  </sheetData>
  <autoFilter ref="I12:I57"/>
  <mergeCells count="29">
    <mergeCell ref="R62:U62"/>
    <mergeCell ref="A80:I80"/>
    <mergeCell ref="A3:I3"/>
    <mergeCell ref="A4:I4"/>
    <mergeCell ref="A5:I5"/>
    <mergeCell ref="A8:I8"/>
    <mergeCell ref="A10:I10"/>
    <mergeCell ref="A14:I14"/>
    <mergeCell ref="A100:I100"/>
    <mergeCell ref="A15:I15"/>
    <mergeCell ref="A28:I28"/>
    <mergeCell ref="A44:I44"/>
    <mergeCell ref="A55:I55"/>
    <mergeCell ref="A94:I94"/>
    <mergeCell ref="B95:G95"/>
    <mergeCell ref="B96:G96"/>
    <mergeCell ref="A98:I98"/>
    <mergeCell ref="A99:I99"/>
    <mergeCell ref="A84:I84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topLeftCell="A80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142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217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44012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customHeight="1">
      <c r="A19" s="30">
        <v>4</v>
      </c>
      <c r="B19" s="14" t="s">
        <v>89</v>
      </c>
      <c r="C19" s="16" t="s">
        <v>90</v>
      </c>
      <c r="D19" s="14" t="s">
        <v>172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f>G19*F19</f>
        <v>653.4144</v>
      </c>
      <c r="J19" s="23"/>
      <c r="K19" s="8"/>
      <c r="L19" s="8"/>
      <c r="M19" s="8"/>
    </row>
    <row r="20" spans="1:13" ht="15.75" customHeight="1">
      <c r="A20" s="30">
        <v>5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6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customHeight="1">
      <c r="A22" s="30">
        <v>7</v>
      </c>
      <c r="B22" s="14" t="s">
        <v>94</v>
      </c>
      <c r="C22" s="16" t="s">
        <v>51</v>
      </c>
      <c r="D22" s="14" t="s">
        <v>167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f>G22*F22</f>
        <v>1693.6453999999999</v>
      </c>
      <c r="J22" s="23"/>
      <c r="K22" s="8"/>
      <c r="L22" s="8"/>
      <c r="M22" s="8"/>
    </row>
    <row r="23" spans="1:13" ht="15.75" customHeight="1">
      <c r="A23" s="30">
        <v>8</v>
      </c>
      <c r="B23" s="14" t="s">
        <v>95</v>
      </c>
      <c r="C23" s="16" t="s">
        <v>51</v>
      </c>
      <c r="D23" s="14" t="s">
        <v>167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f>G23*F23</f>
        <v>25.688199999999998</v>
      </c>
      <c r="J23" s="23"/>
      <c r="K23" s="8"/>
      <c r="L23" s="8"/>
      <c r="M23" s="8"/>
    </row>
    <row r="24" spans="1:13" ht="15.75" customHeight="1">
      <c r="A24" s="30">
        <v>9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customHeight="1">
      <c r="A25" s="30">
        <v>10</v>
      </c>
      <c r="B25" s="14" t="s">
        <v>97</v>
      </c>
      <c r="C25" s="16" t="s">
        <v>51</v>
      </c>
      <c r="D25" s="14" t="s">
        <v>172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f>G25*F25</f>
        <v>88.536000000000001</v>
      </c>
      <c r="J25" s="23"/>
      <c r="K25" s="8"/>
      <c r="L25" s="8"/>
      <c r="M25" s="8"/>
    </row>
    <row r="26" spans="1:13" ht="15.75" customHeight="1">
      <c r="A26" s="30">
        <v>11</v>
      </c>
      <c r="B26" s="14" t="s">
        <v>119</v>
      </c>
      <c r="C26" s="16" t="s">
        <v>51</v>
      </c>
      <c r="D26" s="14" t="s">
        <v>172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f>G26*F26</f>
        <v>51.8688</v>
      </c>
      <c r="J26" s="23"/>
      <c r="K26" s="8"/>
      <c r="L26" s="8"/>
      <c r="M26" s="8"/>
    </row>
    <row r="27" spans="1:13" ht="15.75" customHeight="1">
      <c r="A27" s="30">
        <v>12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13</v>
      </c>
      <c r="B30" s="14" t="s">
        <v>101</v>
      </c>
      <c r="C30" s="16" t="s">
        <v>84</v>
      </c>
      <c r="D30" s="14" t="s">
        <v>165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6" si="1">SUM(F30*G30/1000)</f>
        <v>6.063497439999999</v>
      </c>
      <c r="I30" s="13">
        <f t="shared" ref="I30:I33" si="2">F30/6*G30</f>
        <v>1010.5829066666666</v>
      </c>
      <c r="J30" s="23"/>
      <c r="K30" s="8"/>
      <c r="L30" s="8"/>
      <c r="M30" s="8"/>
    </row>
    <row r="31" spans="1:13" ht="31.5" customHeight="1">
      <c r="A31" s="30">
        <v>14</v>
      </c>
      <c r="B31" s="14" t="s">
        <v>115</v>
      </c>
      <c r="C31" s="16" t="s">
        <v>84</v>
      </c>
      <c r="D31" s="14" t="s">
        <v>164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167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customHeight="1">
      <c r="A33" s="30">
        <v>15</v>
      </c>
      <c r="B33" s="14" t="s">
        <v>114</v>
      </c>
      <c r="C33" s="16" t="s">
        <v>39</v>
      </c>
      <c r="D33" s="14" t="s">
        <v>170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si="1"/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1"/>
        <v>1.1363299999999998</v>
      </c>
      <c r="I35" s="13">
        <v>0</v>
      </c>
      <c r="J35" s="24"/>
    </row>
    <row r="36" spans="1:14" ht="15.75" hidden="1" customHeight="1">
      <c r="A36" s="30"/>
      <c r="B36" s="14" t="s">
        <v>121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1"/>
        <v>1.216539644</v>
      </c>
      <c r="I36" s="13">
        <v>0</v>
      </c>
      <c r="J36" s="24"/>
    </row>
    <row r="37" spans="1:14" ht="15.75" hidden="1" customHeight="1">
      <c r="A37" s="30"/>
      <c r="B37" s="51" t="s">
        <v>5</v>
      </c>
      <c r="C37" s="16"/>
      <c r="D37" s="14"/>
      <c r="E37" s="18"/>
      <c r="F37" s="13"/>
      <c r="G37" s="13"/>
      <c r="H37" s="13" t="s">
        <v>134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3">SUM(F38*G38/1000)</f>
        <v>9.1633200000000006</v>
      </c>
      <c r="I38" s="13">
        <f t="shared" ref="I38:I43" si="4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102</v>
      </c>
      <c r="C39" s="16" t="s">
        <v>29</v>
      </c>
      <c r="D39" s="14" t="s">
        <v>122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4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83</v>
      </c>
      <c r="E40" s="13">
        <v>160</v>
      </c>
      <c r="F40" s="13">
        <f>SUM(E40*155/1000)</f>
        <v>24.8</v>
      </c>
      <c r="G40" s="13">
        <v>350.75</v>
      </c>
      <c r="H40" s="13">
        <f t="shared" si="3"/>
        <v>8.6986000000000008</v>
      </c>
      <c r="I40" s="13">
        <f t="shared" si="4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79</v>
      </c>
      <c r="C41" s="16" t="s">
        <v>84</v>
      </c>
      <c r="D41" s="14" t="s">
        <v>123</v>
      </c>
      <c r="E41" s="13">
        <v>76</v>
      </c>
      <c r="F41" s="13">
        <f>SUM(E41*50/1000)</f>
        <v>3.8</v>
      </c>
      <c r="G41" s="13">
        <v>5803.28</v>
      </c>
      <c r="H41" s="13">
        <f t="shared" si="3"/>
        <v>22.052463999999997</v>
      </c>
      <c r="I41" s="13">
        <f t="shared" si="4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85</v>
      </c>
      <c r="C42" s="16" t="s">
        <v>84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3"/>
        <v>1.466154</v>
      </c>
      <c r="I42" s="13">
        <f t="shared" si="4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3"/>
        <v>0.71820000000000006</v>
      </c>
      <c r="I43" s="13">
        <f t="shared" si="4"/>
        <v>119.69999999999999</v>
      </c>
      <c r="J43" s="24"/>
      <c r="L43" s="19"/>
      <c r="M43" s="20"/>
      <c r="N43" s="21"/>
    </row>
    <row r="44" spans="1:14" ht="15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15</v>
      </c>
      <c r="B50" s="14" t="s">
        <v>54</v>
      </c>
      <c r="C50" s="16" t="s">
        <v>84</v>
      </c>
      <c r="D50" s="14" t="s">
        <v>137</v>
      </c>
      <c r="E50" s="18">
        <v>1914</v>
      </c>
      <c r="F50" s="13">
        <f>SUM(E50*5/1000)</f>
        <v>9.57</v>
      </c>
      <c r="G50" s="13">
        <v>1213.55</v>
      </c>
      <c r="H50" s="13">
        <f t="shared" si="5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6" hidden="1" customHeight="1">
      <c r="A52" s="30">
        <v>17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39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20.25" customHeight="1">
      <c r="A54" s="30">
        <v>16</v>
      </c>
      <c r="B54" s="14" t="s">
        <v>40</v>
      </c>
      <c r="C54" s="16" t="s">
        <v>103</v>
      </c>
      <c r="D54" s="93">
        <v>43993</v>
      </c>
      <c r="E54" s="18">
        <v>120</v>
      </c>
      <c r="F54" s="13">
        <f>SUM(E54)*3</f>
        <v>360</v>
      </c>
      <c r="G54" s="13">
        <v>65.67</v>
      </c>
      <c r="H54" s="13">
        <f t="shared" si="5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7" t="s">
        <v>131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51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20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51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6.5" customHeight="1">
      <c r="A60" s="30">
        <v>17</v>
      </c>
      <c r="B60" s="14" t="s">
        <v>117</v>
      </c>
      <c r="C60" s="16" t="s">
        <v>25</v>
      </c>
      <c r="D60" s="14" t="s">
        <v>167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1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20.25" customHeight="1">
      <c r="A63" s="30"/>
      <c r="B63" s="51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18</v>
      </c>
      <c r="B64" s="14" t="s">
        <v>45</v>
      </c>
      <c r="C64" s="16" t="s">
        <v>103</v>
      </c>
      <c r="D64" s="14" t="s">
        <v>178</v>
      </c>
      <c r="E64" s="18">
        <v>10</v>
      </c>
      <c r="F64" s="13">
        <v>10</v>
      </c>
      <c r="G64" s="13">
        <v>222.4</v>
      </c>
      <c r="H64" s="13">
        <f t="shared" ref="H64:H77" si="7">SUM(F64*G64/1000)</f>
        <v>2.2240000000000002</v>
      </c>
      <c r="I64" s="13">
        <f>G64*3</f>
        <v>667.2</v>
      </c>
    </row>
    <row r="65" spans="1:9" ht="24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7.25" hidden="1" customHeight="1">
      <c r="A66" s="30">
        <v>13</v>
      </c>
      <c r="B66" s="14" t="s">
        <v>47</v>
      </c>
      <c r="C66" s="16" t="s">
        <v>105</v>
      </c>
      <c r="D66" s="14"/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8" hidden="1" customHeight="1">
      <c r="A67" s="30">
        <v>14</v>
      </c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19.5" hidden="1" customHeight="1">
      <c r="A68" s="30">
        <v>15</v>
      </c>
      <c r="B68" s="14" t="s">
        <v>49</v>
      </c>
      <c r="C68" s="16" t="s">
        <v>74</v>
      </c>
      <c r="D68" s="14"/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6.5" hidden="1" customHeight="1">
      <c r="A69" s="30">
        <v>16</v>
      </c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17.25" hidden="1" customHeight="1">
      <c r="A70" s="30">
        <v>17</v>
      </c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9.5" hidden="1" customHeight="1">
      <c r="A71" s="30">
        <v>14</v>
      </c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26.25" hidden="1" customHeight="1">
      <c r="A72" s="30"/>
      <c r="B72" s="51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38.25" hidden="1" customHeight="1">
      <c r="A73" s="30">
        <v>22</v>
      </c>
      <c r="B73" s="14" t="s">
        <v>70</v>
      </c>
      <c r="C73" s="16" t="s">
        <v>72</v>
      </c>
      <c r="D73" s="14"/>
      <c r="E73" s="18">
        <v>4</v>
      </c>
      <c r="F73" s="13">
        <v>0.4</v>
      </c>
      <c r="G73" s="13">
        <v>501.62</v>
      </c>
      <c r="H73" s="13">
        <f t="shared" si="7"/>
        <v>0.20064800000000002</v>
      </c>
      <c r="I73" s="13">
        <f>G73*0.6</f>
        <v>300.97199999999998</v>
      </c>
    </row>
    <row r="74" spans="1:9" ht="25.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30.75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42" hidden="1" customHeight="1">
      <c r="A76" s="30"/>
      <c r="B76" s="58" t="s">
        <v>73</v>
      </c>
      <c r="C76" s="16"/>
      <c r="D76" s="14"/>
      <c r="E76" s="18"/>
      <c r="F76" s="13"/>
      <c r="G76" s="13" t="s">
        <v>134</v>
      </c>
      <c r="H76" s="13" t="s">
        <v>134</v>
      </c>
      <c r="I76" s="13"/>
    </row>
    <row r="77" spans="1:9" ht="30" hidden="1" customHeight="1">
      <c r="A77" s="30"/>
      <c r="B77" s="42" t="s">
        <v>120</v>
      </c>
      <c r="C77" s="16" t="s">
        <v>74</v>
      </c>
      <c r="D77" s="14"/>
      <c r="E77" s="18"/>
      <c r="F77" s="13">
        <v>0.1</v>
      </c>
      <c r="G77" s="13">
        <v>2759.44</v>
      </c>
      <c r="H77" s="13">
        <f t="shared" si="7"/>
        <v>0.27594400000000002</v>
      </c>
      <c r="I77" s="13">
        <v>0</v>
      </c>
    </row>
    <row r="78" spans="1:9" ht="33.75" hidden="1" customHeight="1">
      <c r="A78" s="30"/>
      <c r="B78" s="51" t="s">
        <v>88</v>
      </c>
      <c r="C78" s="64"/>
      <c r="D78" s="64"/>
      <c r="E78" s="64"/>
      <c r="F78" s="64"/>
      <c r="G78" s="59"/>
      <c r="H78" s="59">
        <f>SUM(H57:H77)</f>
        <v>127.67723648</v>
      </c>
      <c r="I78" s="59"/>
    </row>
    <row r="79" spans="1:9" ht="27" hidden="1" customHeight="1">
      <c r="A79" s="30"/>
      <c r="B79" s="14" t="s">
        <v>109</v>
      </c>
      <c r="C79" s="16"/>
      <c r="D79" s="14"/>
      <c r="E79" s="18"/>
      <c r="F79" s="13">
        <v>1</v>
      </c>
      <c r="G79" s="13">
        <v>13441.4</v>
      </c>
      <c r="H79" s="13">
        <f>G79*F79/1000</f>
        <v>13.4414</v>
      </c>
      <c r="I79" s="13">
        <v>0</v>
      </c>
    </row>
    <row r="80" spans="1:9" ht="15.75" customHeight="1">
      <c r="A80" s="122" t="s">
        <v>132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30">
        <v>19</v>
      </c>
      <c r="B81" s="14" t="s">
        <v>111</v>
      </c>
      <c r="C81" s="16" t="s">
        <v>53</v>
      </c>
      <c r="D81" s="54"/>
      <c r="E81" s="13">
        <v>5367.6</v>
      </c>
      <c r="F81" s="13">
        <f>SUM(E81*12)</f>
        <v>64411.200000000004</v>
      </c>
      <c r="G81" s="13">
        <v>2.1</v>
      </c>
      <c r="H81" s="13">
        <f>SUM(F81*G81/1000)</f>
        <v>135.26352000000003</v>
      </c>
      <c r="I81" s="13">
        <f>F81/12*G81</f>
        <v>11271.960000000001</v>
      </c>
    </row>
    <row r="82" spans="1:9" ht="31.5" customHeight="1">
      <c r="A82" s="30">
        <v>20</v>
      </c>
      <c r="B82" s="14" t="s">
        <v>75</v>
      </c>
      <c r="C82" s="16"/>
      <c r="D82" s="54"/>
      <c r="E82" s="18">
        <f>E81</f>
        <v>5367.6</v>
      </c>
      <c r="F82" s="13">
        <f>E82*12</f>
        <v>64411.200000000004</v>
      </c>
      <c r="G82" s="13">
        <v>1.63</v>
      </c>
      <c r="H82" s="13">
        <f>F82*G82/1000</f>
        <v>104.99025599999999</v>
      </c>
      <c r="I82" s="13">
        <f>F82/12*G82</f>
        <v>8749.1880000000001</v>
      </c>
    </row>
    <row r="83" spans="1:9" ht="15.75" customHeight="1">
      <c r="A83" s="30"/>
      <c r="B83" s="35" t="s">
        <v>77</v>
      </c>
      <c r="C83" s="58"/>
      <c r="D83" s="62"/>
      <c r="E83" s="59"/>
      <c r="F83" s="59"/>
      <c r="G83" s="59"/>
      <c r="H83" s="59">
        <f>H82</f>
        <v>104.99025599999999</v>
      </c>
      <c r="I83" s="59">
        <f>I82+I81+I64+I60+I54+I33+I31+I30+I27+I26+I25+I24+I23+I22+I21+I20+I19+I18+I17+I16</f>
        <v>47653.998645333348</v>
      </c>
    </row>
    <row r="84" spans="1:9" ht="15.75" customHeight="1">
      <c r="A84" s="133" t="s">
        <v>58</v>
      </c>
      <c r="B84" s="134"/>
      <c r="C84" s="134"/>
      <c r="D84" s="134"/>
      <c r="E84" s="134"/>
      <c r="F84" s="134"/>
      <c r="G84" s="134"/>
      <c r="H84" s="134"/>
      <c r="I84" s="135"/>
    </row>
    <row r="85" spans="1:9" ht="15.75" customHeight="1">
      <c r="A85" s="30">
        <v>21</v>
      </c>
      <c r="B85" s="45" t="s">
        <v>118</v>
      </c>
      <c r="C85" s="46" t="s">
        <v>103</v>
      </c>
      <c r="D85" s="71"/>
      <c r="E85" s="95"/>
      <c r="F85" s="34">
        <v>1</v>
      </c>
      <c r="G85" s="34">
        <v>60.72</v>
      </c>
      <c r="H85" s="13">
        <f t="shared" ref="H85" si="9">G85*F85/1000</f>
        <v>6.0719999999999996E-2</v>
      </c>
      <c r="I85" s="13">
        <f>G85*1</f>
        <v>60.72</v>
      </c>
    </row>
    <row r="86" spans="1:9" ht="34.5" customHeight="1">
      <c r="A86" s="30">
        <v>22</v>
      </c>
      <c r="B86" s="45" t="s">
        <v>184</v>
      </c>
      <c r="C86" s="46" t="s">
        <v>37</v>
      </c>
      <c r="D86" s="71" t="s">
        <v>172</v>
      </c>
      <c r="E86" s="95"/>
      <c r="F86" s="34">
        <v>0.01</v>
      </c>
      <c r="G86" s="34">
        <v>4070.89</v>
      </c>
      <c r="H86" s="63">
        <f>G86*F86/1000</f>
        <v>4.0708899999999999E-2</v>
      </c>
      <c r="I86" s="13">
        <v>0</v>
      </c>
    </row>
    <row r="87" spans="1:9" ht="31.5" customHeight="1">
      <c r="A87" s="30">
        <v>23</v>
      </c>
      <c r="B87" s="45" t="s">
        <v>218</v>
      </c>
      <c r="C87" s="46" t="s">
        <v>219</v>
      </c>
      <c r="D87" s="71"/>
      <c r="E87" s="95"/>
      <c r="F87" s="34">
        <v>1</v>
      </c>
      <c r="G87" s="34">
        <v>61.58</v>
      </c>
      <c r="H87" s="63"/>
      <c r="I87" s="13">
        <f>G87*1</f>
        <v>61.58</v>
      </c>
    </row>
    <row r="88" spans="1:9" ht="15.75" customHeight="1">
      <c r="A88" s="30"/>
      <c r="B88" s="40" t="s">
        <v>50</v>
      </c>
      <c r="C88" s="36"/>
      <c r="D88" s="43"/>
      <c r="E88" s="36">
        <v>1</v>
      </c>
      <c r="F88" s="36"/>
      <c r="G88" s="90"/>
      <c r="H88" s="36"/>
      <c r="I88" s="32">
        <f>SUM(I85:I87)</f>
        <v>122.3</v>
      </c>
    </row>
    <row r="89" spans="1:9" ht="15.75" customHeight="1">
      <c r="A89" s="30"/>
      <c r="B89" s="42" t="s">
        <v>76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149</v>
      </c>
      <c r="C90" s="33"/>
      <c r="D90" s="33"/>
      <c r="E90" s="33"/>
      <c r="F90" s="33"/>
      <c r="G90" s="33"/>
      <c r="H90" s="33"/>
      <c r="I90" s="39">
        <f>I83+I88</f>
        <v>47776.298645333351</v>
      </c>
    </row>
    <row r="91" spans="1:9" ht="15.75" customHeight="1">
      <c r="A91" s="125" t="s">
        <v>289</v>
      </c>
      <c r="B91" s="125"/>
      <c r="C91" s="125"/>
      <c r="D91" s="125"/>
      <c r="E91" s="125"/>
      <c r="F91" s="125"/>
      <c r="G91" s="125"/>
      <c r="H91" s="125"/>
      <c r="I91" s="125"/>
    </row>
    <row r="92" spans="1:9" ht="15.75">
      <c r="A92" s="53"/>
      <c r="B92" s="126" t="s">
        <v>290</v>
      </c>
      <c r="C92" s="126"/>
      <c r="D92" s="126"/>
      <c r="E92" s="126"/>
      <c r="F92" s="126"/>
      <c r="G92" s="126"/>
      <c r="H92" s="57"/>
      <c r="I92" s="3"/>
    </row>
    <row r="93" spans="1:9" ht="15.75" customHeight="1">
      <c r="A93" s="49"/>
      <c r="B93" s="127" t="s">
        <v>6</v>
      </c>
      <c r="C93" s="127"/>
      <c r="D93" s="127"/>
      <c r="E93" s="127"/>
      <c r="F93" s="127"/>
      <c r="G93" s="127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8" t="s">
        <v>7</v>
      </c>
      <c r="B95" s="128"/>
      <c r="C95" s="128"/>
      <c r="D95" s="128"/>
      <c r="E95" s="128"/>
      <c r="F95" s="128"/>
      <c r="G95" s="128"/>
      <c r="H95" s="128"/>
      <c r="I95" s="128"/>
    </row>
    <row r="96" spans="1:9" ht="15.75" customHeight="1">
      <c r="A96" s="128" t="s">
        <v>8</v>
      </c>
      <c r="B96" s="128"/>
      <c r="C96" s="128"/>
      <c r="D96" s="128"/>
      <c r="E96" s="128"/>
      <c r="F96" s="128"/>
      <c r="G96" s="128"/>
      <c r="H96" s="128"/>
      <c r="I96" s="128"/>
    </row>
    <row r="97" spans="1:9" ht="15.75">
      <c r="A97" s="129" t="s">
        <v>59</v>
      </c>
      <c r="B97" s="129"/>
      <c r="C97" s="129"/>
      <c r="D97" s="129"/>
      <c r="E97" s="129"/>
      <c r="F97" s="129"/>
      <c r="G97" s="129"/>
      <c r="H97" s="129"/>
      <c r="I97" s="129"/>
    </row>
    <row r="98" spans="1:9" ht="15.75" customHeight="1">
      <c r="A98" s="11"/>
    </row>
    <row r="99" spans="1:9" ht="15.75" customHeight="1">
      <c r="A99" s="130" t="s">
        <v>9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4"/>
    </row>
    <row r="101" spans="1:9" ht="15.75">
      <c r="B101" s="50" t="s">
        <v>10</v>
      </c>
      <c r="C101" s="131" t="s">
        <v>127</v>
      </c>
      <c r="D101" s="131"/>
      <c r="E101" s="131"/>
      <c r="F101" s="55"/>
      <c r="I101" s="48"/>
    </row>
    <row r="102" spans="1:9" ht="15.75" customHeight="1">
      <c r="A102" s="49"/>
      <c r="C102" s="127" t="s">
        <v>11</v>
      </c>
      <c r="D102" s="127"/>
      <c r="E102" s="127"/>
      <c r="F102" s="25"/>
      <c r="I102" s="47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50" t="s">
        <v>13</v>
      </c>
      <c r="C104" s="132"/>
      <c r="D104" s="132"/>
      <c r="E104" s="132"/>
      <c r="F104" s="56"/>
      <c r="I104" s="48"/>
    </row>
    <row r="105" spans="1:9" ht="15.75" customHeight="1">
      <c r="A105" s="49"/>
      <c r="C105" s="121" t="s">
        <v>11</v>
      </c>
      <c r="D105" s="121"/>
      <c r="E105" s="121"/>
      <c r="F105" s="49"/>
      <c r="I105" s="47" t="s">
        <v>12</v>
      </c>
    </row>
    <row r="106" spans="1:9" ht="15.75">
      <c r="A106" s="4" t="s">
        <v>14</v>
      </c>
    </row>
    <row r="107" spans="1:9" ht="15.75" customHeight="1">
      <c r="A107" s="119" t="s">
        <v>15</v>
      </c>
      <c r="B107" s="119"/>
      <c r="C107" s="119"/>
      <c r="D107" s="119"/>
      <c r="E107" s="119"/>
      <c r="F107" s="119"/>
      <c r="G107" s="119"/>
      <c r="H107" s="119"/>
      <c r="I107" s="119"/>
    </row>
    <row r="108" spans="1:9" ht="45" customHeight="1">
      <c r="A108" s="120" t="s">
        <v>16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30" customHeight="1">
      <c r="A109" s="120" t="s">
        <v>17</v>
      </c>
      <c r="B109" s="120"/>
      <c r="C109" s="120"/>
      <c r="D109" s="120"/>
      <c r="E109" s="120"/>
      <c r="F109" s="120"/>
      <c r="G109" s="120"/>
      <c r="H109" s="120"/>
      <c r="I109" s="120"/>
    </row>
    <row r="110" spans="1:9" ht="30" customHeight="1">
      <c r="A110" s="120" t="s">
        <v>21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15" customHeight="1">
      <c r="A111" s="120" t="s">
        <v>20</v>
      </c>
      <c r="B111" s="120"/>
      <c r="C111" s="120"/>
      <c r="D111" s="120"/>
      <c r="E111" s="120"/>
      <c r="F111" s="120"/>
      <c r="G111" s="120"/>
      <c r="H111" s="120"/>
      <c r="I111" s="120"/>
    </row>
  </sheetData>
  <autoFilter ref="I12:I57"/>
  <mergeCells count="29">
    <mergeCell ref="R62:U62"/>
    <mergeCell ref="A80:I80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4:I44"/>
    <mergeCell ref="A55:I55"/>
    <mergeCell ref="A91:I91"/>
    <mergeCell ref="B92:G92"/>
    <mergeCell ref="B93:G93"/>
    <mergeCell ref="A95:I95"/>
    <mergeCell ref="A96:I96"/>
    <mergeCell ref="A84:I84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topLeftCell="A63" workbookViewId="0">
      <selection activeCell="I91" sqref="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143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220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44043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8</v>
      </c>
      <c r="B30" s="14" t="s">
        <v>101</v>
      </c>
      <c r="C30" s="16" t="s">
        <v>84</v>
      </c>
      <c r="D30" s="14" t="s">
        <v>165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2" si="1">SUM(F30*G30/1000)</f>
        <v>6.063497439999999</v>
      </c>
      <c r="I30" s="13">
        <f t="shared" ref="I30:I33" si="2">F30/6*G30</f>
        <v>1010.5829066666666</v>
      </c>
      <c r="J30" s="23"/>
      <c r="K30" s="8"/>
      <c r="L30" s="8"/>
      <c r="M30" s="8"/>
    </row>
    <row r="31" spans="1:13" ht="31.5" customHeight="1">
      <c r="A31" s="30">
        <v>9</v>
      </c>
      <c r="B31" s="14" t="s">
        <v>115</v>
      </c>
      <c r="C31" s="16" t="s">
        <v>84</v>
      </c>
      <c r="D31" s="14" t="s">
        <v>164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167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customHeight="1">
      <c r="A33" s="30">
        <v>10</v>
      </c>
      <c r="B33" s="14" t="s">
        <v>114</v>
      </c>
      <c r="C33" s="16" t="s">
        <v>39</v>
      </c>
      <c r="D33" s="14" t="s">
        <v>170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ref="H34:H36" si="3">SUM(F34*G34/1000)</f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3"/>
        <v>1.1363299999999998</v>
      </c>
      <c r="I35" s="13">
        <v>0</v>
      </c>
      <c r="J35" s="24"/>
    </row>
    <row r="36" spans="1:14" ht="15.75" hidden="1" customHeight="1">
      <c r="A36" s="30"/>
      <c r="B36" s="14" t="s">
        <v>121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3"/>
        <v>1.216539644</v>
      </c>
      <c r="I36" s="13">
        <v>0</v>
      </c>
      <c r="J36" s="24"/>
    </row>
    <row r="37" spans="1:14" ht="15.75" hidden="1" customHeight="1">
      <c r="A37" s="30"/>
      <c r="B37" s="51" t="s">
        <v>5</v>
      </c>
      <c r="C37" s="16"/>
      <c r="D37" s="14"/>
      <c r="E37" s="18"/>
      <c r="F37" s="13"/>
      <c r="G37" s="13"/>
      <c r="H37" s="13" t="s">
        <v>134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4">SUM(F38*G38/1000)</f>
        <v>9.1633200000000006</v>
      </c>
      <c r="I38" s="13">
        <f t="shared" ref="I38:I43" si="5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102</v>
      </c>
      <c r="C39" s="16" t="s">
        <v>29</v>
      </c>
      <c r="D39" s="14" t="s">
        <v>122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5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83</v>
      </c>
      <c r="E40" s="13">
        <v>160</v>
      </c>
      <c r="F40" s="13">
        <f>SUM(E40*155/1000)</f>
        <v>24.8</v>
      </c>
      <c r="G40" s="13">
        <v>350.75</v>
      </c>
      <c r="H40" s="13">
        <f t="shared" si="4"/>
        <v>8.6986000000000008</v>
      </c>
      <c r="I40" s="13">
        <f t="shared" si="5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79</v>
      </c>
      <c r="C41" s="16" t="s">
        <v>84</v>
      </c>
      <c r="D41" s="14" t="s">
        <v>123</v>
      </c>
      <c r="E41" s="13">
        <v>76</v>
      </c>
      <c r="F41" s="13">
        <f>SUM(E41*50/1000)</f>
        <v>3.8</v>
      </c>
      <c r="G41" s="13">
        <v>5803.28</v>
      </c>
      <c r="H41" s="13">
        <f t="shared" si="4"/>
        <v>22.052463999999997</v>
      </c>
      <c r="I41" s="13">
        <f t="shared" si="5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85</v>
      </c>
      <c r="C42" s="16" t="s">
        <v>84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4"/>
        <v>1.466154</v>
      </c>
      <c r="I42" s="13">
        <f t="shared" si="5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4"/>
        <v>0.71820000000000006</v>
      </c>
      <c r="I43" s="13">
        <f t="shared" si="5"/>
        <v>119.69999999999999</v>
      </c>
      <c r="J43" s="24"/>
      <c r="L43" s="19"/>
      <c r="M43" s="20"/>
      <c r="N43" s="21"/>
    </row>
    <row r="44" spans="1:14" ht="15" hidden="1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6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6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6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6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15</v>
      </c>
      <c r="B50" s="14" t="s">
        <v>54</v>
      </c>
      <c r="C50" s="16" t="s">
        <v>84</v>
      </c>
      <c r="D50" s="14" t="s">
        <v>137</v>
      </c>
      <c r="E50" s="18">
        <v>1914</v>
      </c>
      <c r="F50" s="13">
        <f>SUM(E50*5/1000)</f>
        <v>9.57</v>
      </c>
      <c r="G50" s="13">
        <v>1213.55</v>
      </c>
      <c r="H50" s="13">
        <f t="shared" si="6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31.5" hidden="1" customHeight="1">
      <c r="A51" s="30">
        <v>13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6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14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15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6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hidden="1" customHeight="1">
      <c r="A54" s="30">
        <v>19</v>
      </c>
      <c r="B54" s="14" t="s">
        <v>40</v>
      </c>
      <c r="C54" s="16" t="s">
        <v>103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6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7" t="s">
        <v>128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51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20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51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11</v>
      </c>
      <c r="B60" s="14" t="s">
        <v>117</v>
      </c>
      <c r="C60" s="16" t="s">
        <v>25</v>
      </c>
      <c r="D60" s="14" t="s">
        <v>167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1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7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5.75" customHeight="1">
      <c r="A63" s="30"/>
      <c r="B63" s="51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12</v>
      </c>
      <c r="B64" s="14" t="s">
        <v>45</v>
      </c>
      <c r="C64" s="16" t="s">
        <v>103</v>
      </c>
      <c r="D64" s="14" t="s">
        <v>172</v>
      </c>
      <c r="E64" s="18">
        <v>10</v>
      </c>
      <c r="F64" s="13">
        <v>10</v>
      </c>
      <c r="G64" s="13">
        <v>222.4</v>
      </c>
      <c r="H64" s="13">
        <f t="shared" ref="H64:H77" si="8">SUM(F64*G64/1000)</f>
        <v>2.2240000000000002</v>
      </c>
      <c r="I64" s="13">
        <f>G64*1</f>
        <v>222.4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8"/>
        <v>0.38124999999999998</v>
      </c>
      <c r="I65" s="13">
        <v>0</v>
      </c>
    </row>
    <row r="66" spans="1:9" ht="15.75" customHeight="1">
      <c r="A66" s="30">
        <v>13</v>
      </c>
      <c r="B66" s="14" t="s">
        <v>47</v>
      </c>
      <c r="C66" s="16" t="s">
        <v>105</v>
      </c>
      <c r="D66" s="14"/>
      <c r="E66" s="18">
        <v>19138</v>
      </c>
      <c r="F66" s="13">
        <f>SUM(E66/100)</f>
        <v>191.38</v>
      </c>
      <c r="G66" s="13">
        <v>212.15</v>
      </c>
      <c r="H66" s="13">
        <f t="shared" si="8"/>
        <v>40.601267</v>
      </c>
      <c r="I66" s="13">
        <f>F66*G66</f>
        <v>40601.267</v>
      </c>
    </row>
    <row r="67" spans="1:9" ht="15.75" customHeight="1">
      <c r="A67" s="30">
        <v>14</v>
      </c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8"/>
        <v>3.1617889800000003</v>
      </c>
      <c r="I67" s="13">
        <f t="shared" ref="I67:I71" si="9">F67*G67</f>
        <v>3161.7889800000003</v>
      </c>
    </row>
    <row r="68" spans="1:9" ht="15.75" customHeight="1">
      <c r="A68" s="30">
        <v>15</v>
      </c>
      <c r="B68" s="14" t="s">
        <v>49</v>
      </c>
      <c r="C68" s="16" t="s">
        <v>74</v>
      </c>
      <c r="D68" s="14"/>
      <c r="E68" s="18">
        <v>2730</v>
      </c>
      <c r="F68" s="13">
        <f>SUM(E68/100)</f>
        <v>27.3</v>
      </c>
      <c r="G68" s="13">
        <v>2074.63</v>
      </c>
      <c r="H68" s="13">
        <f t="shared" si="8"/>
        <v>56.637399000000002</v>
      </c>
      <c r="I68" s="13">
        <f t="shared" si="9"/>
        <v>56637.399000000005</v>
      </c>
    </row>
    <row r="69" spans="1:9" ht="15.75" customHeight="1">
      <c r="A69" s="30">
        <v>16</v>
      </c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8"/>
        <v>0.58916000000000002</v>
      </c>
      <c r="I69" s="13">
        <f t="shared" si="9"/>
        <v>589.16</v>
      </c>
    </row>
    <row r="70" spans="1:9" ht="15.75" customHeight="1">
      <c r="A70" s="30">
        <v>17</v>
      </c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8"/>
        <v>0.54964000000000002</v>
      </c>
      <c r="I70" s="13">
        <f t="shared" si="9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8"/>
        <v>0.39904000000000001</v>
      </c>
      <c r="I71" s="13">
        <f t="shared" si="9"/>
        <v>399.04</v>
      </c>
    </row>
    <row r="72" spans="1:9" ht="15.75" customHeight="1">
      <c r="A72" s="30"/>
      <c r="B72" s="51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15.75" customHeight="1">
      <c r="A73" s="30">
        <v>18</v>
      </c>
      <c r="B73" s="14" t="s">
        <v>70</v>
      </c>
      <c r="C73" s="16" t="s">
        <v>72</v>
      </c>
      <c r="D73" s="14" t="s">
        <v>221</v>
      </c>
      <c r="E73" s="18">
        <v>4</v>
      </c>
      <c r="F73" s="13">
        <v>0.4</v>
      </c>
      <c r="G73" s="13">
        <v>501.62</v>
      </c>
      <c r="H73" s="13">
        <f t="shared" si="8"/>
        <v>0.20064800000000002</v>
      </c>
      <c r="I73" s="13">
        <f>G73*0.3</f>
        <v>150.48599999999999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15.75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15.75" hidden="1" customHeight="1">
      <c r="A76" s="30"/>
      <c r="B76" s="58" t="s">
        <v>73</v>
      </c>
      <c r="C76" s="16"/>
      <c r="D76" s="14"/>
      <c r="E76" s="18"/>
      <c r="F76" s="13"/>
      <c r="G76" s="13" t="s">
        <v>134</v>
      </c>
      <c r="H76" s="13" t="s">
        <v>134</v>
      </c>
      <c r="I76" s="13"/>
    </row>
    <row r="77" spans="1:9" ht="15.75" hidden="1" customHeight="1">
      <c r="A77" s="30"/>
      <c r="B77" s="42" t="s">
        <v>120</v>
      </c>
      <c r="C77" s="16" t="s">
        <v>74</v>
      </c>
      <c r="D77" s="14"/>
      <c r="E77" s="18"/>
      <c r="F77" s="13">
        <v>0.1</v>
      </c>
      <c r="G77" s="13">
        <v>2759.44</v>
      </c>
      <c r="H77" s="13">
        <f t="shared" si="8"/>
        <v>0.27594400000000002</v>
      </c>
      <c r="I77" s="13">
        <v>0</v>
      </c>
    </row>
    <row r="78" spans="1:9" ht="15.75" hidden="1" customHeight="1">
      <c r="A78" s="30"/>
      <c r="B78" s="51" t="s">
        <v>88</v>
      </c>
      <c r="C78" s="64"/>
      <c r="D78" s="64"/>
      <c r="E78" s="64"/>
      <c r="F78" s="64"/>
      <c r="G78" s="59"/>
      <c r="H78" s="59">
        <f>SUM(H57:H77)</f>
        <v>127.67723648</v>
      </c>
      <c r="I78" s="59"/>
    </row>
    <row r="79" spans="1:9" ht="15.75" hidden="1" customHeight="1">
      <c r="A79" s="30"/>
      <c r="B79" s="14" t="s">
        <v>109</v>
      </c>
      <c r="C79" s="16"/>
      <c r="D79" s="14"/>
      <c r="E79" s="18"/>
      <c r="F79" s="13">
        <v>1</v>
      </c>
      <c r="G79" s="13">
        <v>13441.4</v>
      </c>
      <c r="H79" s="13">
        <f>G79*F79/1000</f>
        <v>13.4414</v>
      </c>
      <c r="I79" s="13">
        <v>0</v>
      </c>
    </row>
    <row r="80" spans="1:9" ht="15.75" customHeight="1">
      <c r="A80" s="122" t="s">
        <v>129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30">
        <v>19</v>
      </c>
      <c r="B81" s="14" t="s">
        <v>111</v>
      </c>
      <c r="C81" s="16" t="s">
        <v>53</v>
      </c>
      <c r="D81" s="54"/>
      <c r="E81" s="13">
        <v>5367.6</v>
      </c>
      <c r="F81" s="13">
        <f>SUM(E81*12)</f>
        <v>64411.200000000004</v>
      </c>
      <c r="G81" s="13">
        <v>2.1</v>
      </c>
      <c r="H81" s="13">
        <f>SUM(F81*G81/1000)</f>
        <v>135.26352000000003</v>
      </c>
      <c r="I81" s="13">
        <f>F81/12*G81</f>
        <v>11271.960000000001</v>
      </c>
    </row>
    <row r="82" spans="1:9" ht="31.5" customHeight="1">
      <c r="A82" s="30">
        <v>20</v>
      </c>
      <c r="B82" s="14" t="s">
        <v>75</v>
      </c>
      <c r="C82" s="16"/>
      <c r="D82" s="54"/>
      <c r="E82" s="18">
        <f>E81</f>
        <v>5367.6</v>
      </c>
      <c r="F82" s="13">
        <f>E82*12</f>
        <v>64411.200000000004</v>
      </c>
      <c r="G82" s="13">
        <v>1.63</v>
      </c>
      <c r="H82" s="13">
        <f>F82*G82/1000</f>
        <v>104.99025599999999</v>
      </c>
      <c r="I82" s="13">
        <f>F82/12*G82</f>
        <v>8749.1880000000001</v>
      </c>
    </row>
    <row r="83" spans="1:9" ht="15.75" customHeight="1">
      <c r="A83" s="30"/>
      <c r="B83" s="35" t="s">
        <v>77</v>
      </c>
      <c r="C83" s="58"/>
      <c r="D83" s="62"/>
      <c r="E83" s="59"/>
      <c r="F83" s="59"/>
      <c r="G83" s="59"/>
      <c r="H83" s="59">
        <f>H82</f>
        <v>104.99025599999999</v>
      </c>
      <c r="I83" s="59">
        <f>I82+I81+I73+I70+I69+++I68+I67+I66+I60+I33+I31+I30+I27+I24+I21+I20+I18+I17+I16+I64</f>
        <v>138505.38682533332</v>
      </c>
    </row>
    <row r="84" spans="1:9" ht="15.75" customHeight="1">
      <c r="A84" s="146" t="s">
        <v>58</v>
      </c>
      <c r="B84" s="147"/>
      <c r="C84" s="147"/>
      <c r="D84" s="147"/>
      <c r="E84" s="147"/>
      <c r="F84" s="147"/>
      <c r="G84" s="147"/>
      <c r="H84" s="147"/>
      <c r="I84" s="148"/>
    </row>
    <row r="85" spans="1:9" ht="15.75" customHeight="1">
      <c r="A85" s="30">
        <v>21</v>
      </c>
      <c r="B85" s="45" t="s">
        <v>118</v>
      </c>
      <c r="C85" s="46" t="s">
        <v>103</v>
      </c>
      <c r="D85" s="71"/>
      <c r="E85" s="95"/>
      <c r="F85" s="34">
        <v>1</v>
      </c>
      <c r="G85" s="34">
        <v>60.72</v>
      </c>
      <c r="H85" s="13">
        <f t="shared" ref="H85" si="10">G85*F85/1000</f>
        <v>6.0719999999999996E-2</v>
      </c>
      <c r="I85" s="13">
        <f>G85*1</f>
        <v>60.72</v>
      </c>
    </row>
    <row r="86" spans="1:9" ht="15.75" customHeight="1">
      <c r="A86" s="30"/>
      <c r="B86" s="40" t="s">
        <v>50</v>
      </c>
      <c r="C86" s="36"/>
      <c r="D86" s="43"/>
      <c r="E86" s="36">
        <v>1</v>
      </c>
      <c r="F86" s="36"/>
      <c r="G86" s="36"/>
      <c r="H86" s="36"/>
      <c r="I86" s="32">
        <f>SUM(I85:I85)</f>
        <v>60.72</v>
      </c>
    </row>
    <row r="87" spans="1:9" ht="15.75" customHeight="1">
      <c r="A87" s="30"/>
      <c r="B87" s="42" t="s">
        <v>76</v>
      </c>
      <c r="C87" s="15"/>
      <c r="D87" s="15"/>
      <c r="E87" s="37"/>
      <c r="F87" s="37"/>
      <c r="G87" s="38"/>
      <c r="H87" s="38"/>
      <c r="I87" s="17">
        <v>0</v>
      </c>
    </row>
    <row r="88" spans="1:9" ht="15.75" customHeight="1">
      <c r="A88" s="44"/>
      <c r="B88" s="41" t="s">
        <v>149</v>
      </c>
      <c r="C88" s="33"/>
      <c r="D88" s="33"/>
      <c r="E88" s="33"/>
      <c r="F88" s="33"/>
      <c r="G88" s="33"/>
      <c r="H88" s="33"/>
      <c r="I88" s="39">
        <f>I83+I86</f>
        <v>138566.10682533332</v>
      </c>
    </row>
    <row r="89" spans="1:9" ht="15.75" customHeight="1">
      <c r="A89" s="125" t="s">
        <v>222</v>
      </c>
      <c r="B89" s="125"/>
      <c r="C89" s="125"/>
      <c r="D89" s="125"/>
      <c r="E89" s="125"/>
      <c r="F89" s="125"/>
      <c r="G89" s="125"/>
      <c r="H89" s="125"/>
      <c r="I89" s="125"/>
    </row>
    <row r="90" spans="1:9" ht="15.75">
      <c r="A90" s="53"/>
      <c r="B90" s="126" t="s">
        <v>223</v>
      </c>
      <c r="C90" s="126"/>
      <c r="D90" s="126"/>
      <c r="E90" s="126"/>
      <c r="F90" s="126"/>
      <c r="G90" s="126"/>
      <c r="H90" s="57"/>
      <c r="I90" s="3"/>
    </row>
    <row r="91" spans="1:9" ht="15.75" customHeight="1">
      <c r="A91" s="49"/>
      <c r="B91" s="127" t="s">
        <v>6</v>
      </c>
      <c r="C91" s="127"/>
      <c r="D91" s="127"/>
      <c r="E91" s="127"/>
      <c r="F91" s="127"/>
      <c r="G91" s="127"/>
      <c r="H91" s="25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28" t="s">
        <v>7</v>
      </c>
      <c r="B93" s="128"/>
      <c r="C93" s="128"/>
      <c r="D93" s="128"/>
      <c r="E93" s="128"/>
      <c r="F93" s="128"/>
      <c r="G93" s="128"/>
      <c r="H93" s="128"/>
      <c r="I93" s="128"/>
    </row>
    <row r="94" spans="1:9" ht="15.75" customHeight="1">
      <c r="A94" s="128" t="s">
        <v>8</v>
      </c>
      <c r="B94" s="128"/>
      <c r="C94" s="128"/>
      <c r="D94" s="128"/>
      <c r="E94" s="128"/>
      <c r="F94" s="128"/>
      <c r="G94" s="128"/>
      <c r="H94" s="128"/>
      <c r="I94" s="128"/>
    </row>
    <row r="95" spans="1:9" ht="15.75">
      <c r="A95" s="129" t="s">
        <v>59</v>
      </c>
      <c r="B95" s="129"/>
      <c r="C95" s="129"/>
      <c r="D95" s="129"/>
      <c r="E95" s="129"/>
      <c r="F95" s="129"/>
      <c r="G95" s="129"/>
      <c r="H95" s="129"/>
      <c r="I95" s="129"/>
    </row>
    <row r="96" spans="1:9" ht="15.75" customHeight="1">
      <c r="A96" s="11"/>
    </row>
    <row r="97" spans="1:9" ht="15.75" customHeight="1">
      <c r="A97" s="130" t="s">
        <v>9</v>
      </c>
      <c r="B97" s="130"/>
      <c r="C97" s="130"/>
      <c r="D97" s="130"/>
      <c r="E97" s="130"/>
      <c r="F97" s="130"/>
      <c r="G97" s="130"/>
      <c r="H97" s="130"/>
      <c r="I97" s="130"/>
    </row>
    <row r="98" spans="1:9" ht="15.75" customHeight="1">
      <c r="A98" s="4"/>
    </row>
    <row r="99" spans="1:9" ht="15.75">
      <c r="B99" s="50" t="s">
        <v>10</v>
      </c>
      <c r="C99" s="131" t="s">
        <v>127</v>
      </c>
      <c r="D99" s="131"/>
      <c r="E99" s="131"/>
      <c r="F99" s="55"/>
      <c r="I99" s="48"/>
    </row>
    <row r="100" spans="1:9" ht="15.75" customHeight="1">
      <c r="A100" s="49"/>
      <c r="C100" s="127" t="s">
        <v>11</v>
      </c>
      <c r="D100" s="127"/>
      <c r="E100" s="127"/>
      <c r="F100" s="25"/>
      <c r="I100" s="47" t="s">
        <v>12</v>
      </c>
    </row>
    <row r="101" spans="1:9" ht="15.75" customHeight="1">
      <c r="A101" s="26"/>
      <c r="C101" s="12"/>
      <c r="D101" s="12"/>
      <c r="G101" s="12"/>
      <c r="H101" s="12"/>
    </row>
    <row r="102" spans="1:9" ht="15.75" customHeight="1">
      <c r="B102" s="50" t="s">
        <v>13</v>
      </c>
      <c r="C102" s="132"/>
      <c r="D102" s="132"/>
      <c r="E102" s="132"/>
      <c r="F102" s="56"/>
      <c r="I102" s="48"/>
    </row>
    <row r="103" spans="1:9" ht="15.75" customHeight="1">
      <c r="A103" s="49"/>
      <c r="C103" s="121" t="s">
        <v>11</v>
      </c>
      <c r="D103" s="121"/>
      <c r="E103" s="121"/>
      <c r="F103" s="49"/>
      <c r="I103" s="47" t="s">
        <v>12</v>
      </c>
    </row>
    <row r="104" spans="1:9" ht="15.75">
      <c r="A104" s="4" t="s">
        <v>14</v>
      </c>
    </row>
    <row r="105" spans="1:9" ht="15.75" customHeight="1">
      <c r="A105" s="119" t="s">
        <v>15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ht="45" customHeight="1">
      <c r="A106" s="120" t="s">
        <v>16</v>
      </c>
      <c r="B106" s="120"/>
      <c r="C106" s="120"/>
      <c r="D106" s="120"/>
      <c r="E106" s="120"/>
      <c r="F106" s="120"/>
      <c r="G106" s="120"/>
      <c r="H106" s="120"/>
      <c r="I106" s="120"/>
    </row>
    <row r="107" spans="1:9" ht="30" customHeight="1">
      <c r="A107" s="120" t="s">
        <v>17</v>
      </c>
      <c r="B107" s="120"/>
      <c r="C107" s="120"/>
      <c r="D107" s="120"/>
      <c r="E107" s="120"/>
      <c r="F107" s="120"/>
      <c r="G107" s="120"/>
      <c r="H107" s="120"/>
      <c r="I107" s="120"/>
    </row>
    <row r="108" spans="1:9" ht="30" customHeight="1">
      <c r="A108" s="120" t="s">
        <v>21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15" customHeight="1">
      <c r="A109" s="120" t="s">
        <v>20</v>
      </c>
      <c r="B109" s="120"/>
      <c r="C109" s="120"/>
      <c r="D109" s="120"/>
      <c r="E109" s="120"/>
      <c r="F109" s="120"/>
      <c r="G109" s="120"/>
      <c r="H109" s="120"/>
      <c r="I109" s="120"/>
    </row>
  </sheetData>
  <autoFilter ref="I12:I57"/>
  <mergeCells count="29">
    <mergeCell ref="R62:U62"/>
    <mergeCell ref="A80:I80"/>
    <mergeCell ref="A3:I3"/>
    <mergeCell ref="A4:I4"/>
    <mergeCell ref="A5:I5"/>
    <mergeCell ref="A8:I8"/>
    <mergeCell ref="A10:I10"/>
    <mergeCell ref="A14:I14"/>
    <mergeCell ref="A95:I95"/>
    <mergeCell ref="A15:I15"/>
    <mergeCell ref="A28:I28"/>
    <mergeCell ref="A44:I44"/>
    <mergeCell ref="A55:I55"/>
    <mergeCell ref="A89:I89"/>
    <mergeCell ref="B90:G90"/>
    <mergeCell ref="B91:G91"/>
    <mergeCell ref="A93:I93"/>
    <mergeCell ref="A94:I94"/>
    <mergeCell ref="A84:I84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1"/>
  <sheetViews>
    <sheetView topLeftCell="A92" workbookViewId="0">
      <selection activeCell="C116" sqref="C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144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224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44074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158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14" t="s">
        <v>81</v>
      </c>
      <c r="C16" s="16" t="s">
        <v>82</v>
      </c>
      <c r="D16" s="14" t="s">
        <v>164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112</v>
      </c>
      <c r="C17" s="16" t="s">
        <v>82</v>
      </c>
      <c r="D17" s="14" t="s">
        <v>165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113</v>
      </c>
      <c r="C18" s="16" t="s">
        <v>82</v>
      </c>
      <c r="D18" s="14" t="s">
        <v>166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89</v>
      </c>
      <c r="C19" s="16" t="s">
        <v>90</v>
      </c>
      <c r="D19" s="14" t="s">
        <v>91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92</v>
      </c>
      <c r="C20" s="16" t="s">
        <v>82</v>
      </c>
      <c r="D20" s="14" t="s">
        <v>167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93</v>
      </c>
      <c r="C21" s="16" t="s">
        <v>82</v>
      </c>
      <c r="D21" s="14" t="s">
        <v>167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94</v>
      </c>
      <c r="C22" s="16" t="s">
        <v>51</v>
      </c>
      <c r="D22" s="14" t="s">
        <v>91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95</v>
      </c>
      <c r="C23" s="16" t="s">
        <v>51</v>
      </c>
      <c r="D23" s="14" t="s">
        <v>91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96</v>
      </c>
      <c r="C24" s="16" t="s">
        <v>51</v>
      </c>
      <c r="D24" s="14" t="s">
        <v>167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97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119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8</v>
      </c>
      <c r="B30" s="14" t="s">
        <v>101</v>
      </c>
      <c r="C30" s="16" t="s">
        <v>84</v>
      </c>
      <c r="D30" s="14" t="s">
        <v>165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2" si="1">SUM(F30*G30/1000)</f>
        <v>6.063497439999999</v>
      </c>
      <c r="I30" s="13">
        <f t="shared" ref="I30:I33" si="2">F30/6*G30</f>
        <v>1010.5829066666666</v>
      </c>
      <c r="J30" s="23"/>
      <c r="K30" s="8"/>
      <c r="L30" s="8"/>
      <c r="M30" s="8"/>
    </row>
    <row r="31" spans="1:13" ht="31.5" customHeight="1">
      <c r="A31" s="30">
        <v>9</v>
      </c>
      <c r="B31" s="14" t="s">
        <v>115</v>
      </c>
      <c r="C31" s="16" t="s">
        <v>84</v>
      </c>
      <c r="D31" s="14" t="s">
        <v>164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167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customHeight="1">
      <c r="A33" s="30">
        <v>10</v>
      </c>
      <c r="B33" s="14" t="s">
        <v>114</v>
      </c>
      <c r="C33" s="16" t="s">
        <v>39</v>
      </c>
      <c r="D33" s="14" t="s">
        <v>170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ref="H34:H36" si="3">SUM(F34*G34/1000)</f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3"/>
        <v>1.1363299999999998</v>
      </c>
      <c r="I35" s="13">
        <v>0</v>
      </c>
      <c r="J35" s="24"/>
    </row>
    <row r="36" spans="1:14" ht="15.75" hidden="1" customHeight="1">
      <c r="A36" s="30"/>
      <c r="B36" s="14" t="s">
        <v>121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3"/>
        <v>1.216539644</v>
      </c>
      <c r="I36" s="13">
        <v>0</v>
      </c>
      <c r="J36" s="24"/>
    </row>
    <row r="37" spans="1:14" ht="15.75" hidden="1" customHeight="1">
      <c r="A37" s="30"/>
      <c r="B37" s="51" t="s">
        <v>5</v>
      </c>
      <c r="C37" s="16"/>
      <c r="D37" s="14"/>
      <c r="E37" s="18"/>
      <c r="F37" s="13"/>
      <c r="G37" s="13"/>
      <c r="H37" s="13" t="s">
        <v>134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4">SUM(F38*G38/1000)</f>
        <v>9.1633200000000006</v>
      </c>
      <c r="I38" s="13">
        <f t="shared" ref="I38:I43" si="5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102</v>
      </c>
      <c r="C39" s="16" t="s">
        <v>29</v>
      </c>
      <c r="D39" s="14" t="s">
        <v>122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5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83</v>
      </c>
      <c r="E40" s="13">
        <v>160</v>
      </c>
      <c r="F40" s="13">
        <f>SUM(E40*155/1000)</f>
        <v>24.8</v>
      </c>
      <c r="G40" s="13">
        <v>350.75</v>
      </c>
      <c r="H40" s="13">
        <f t="shared" si="4"/>
        <v>8.6986000000000008</v>
      </c>
      <c r="I40" s="13">
        <f t="shared" si="5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79</v>
      </c>
      <c r="C41" s="16" t="s">
        <v>84</v>
      </c>
      <c r="D41" s="14" t="s">
        <v>123</v>
      </c>
      <c r="E41" s="13">
        <v>76</v>
      </c>
      <c r="F41" s="13">
        <f>SUM(E41*50/1000)</f>
        <v>3.8</v>
      </c>
      <c r="G41" s="13">
        <v>5803.28</v>
      </c>
      <c r="H41" s="13">
        <f t="shared" si="4"/>
        <v>22.052463999999997</v>
      </c>
      <c r="I41" s="13">
        <f t="shared" si="5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85</v>
      </c>
      <c r="C42" s="16" t="s">
        <v>84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4"/>
        <v>1.466154</v>
      </c>
      <c r="I42" s="13">
        <f t="shared" si="5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4"/>
        <v>0.71820000000000006</v>
      </c>
      <c r="I43" s="13">
        <f t="shared" si="5"/>
        <v>119.69999999999999</v>
      </c>
      <c r="J43" s="24"/>
      <c r="L43" s="19"/>
      <c r="M43" s="20"/>
      <c r="N43" s="21"/>
    </row>
    <row r="44" spans="1:14" ht="15" hidden="1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6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6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6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6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15</v>
      </c>
      <c r="B50" s="14" t="s">
        <v>54</v>
      </c>
      <c r="C50" s="16" t="s">
        <v>84</v>
      </c>
      <c r="D50" s="14" t="s">
        <v>137</v>
      </c>
      <c r="E50" s="18">
        <v>1914</v>
      </c>
      <c r="F50" s="13">
        <f>SUM(E50*5/1000)</f>
        <v>9.57</v>
      </c>
      <c r="G50" s="13">
        <v>1213.55</v>
      </c>
      <c r="H50" s="13">
        <f t="shared" si="6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6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17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6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hidden="1" customHeight="1">
      <c r="A54" s="30">
        <v>13</v>
      </c>
      <c r="B54" s="14" t="s">
        <v>40</v>
      </c>
      <c r="C54" s="16" t="s">
        <v>103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6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7" t="s">
        <v>128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51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20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51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11</v>
      </c>
      <c r="B60" s="14" t="s">
        <v>117</v>
      </c>
      <c r="C60" s="16" t="s">
        <v>25</v>
      </c>
      <c r="D60" s="14" t="s">
        <v>172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1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7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8.75" hidden="1" customHeight="1">
      <c r="A63" s="30"/>
      <c r="B63" s="51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8.75" hidden="1" customHeight="1">
      <c r="A64" s="30">
        <v>12</v>
      </c>
      <c r="B64" s="14" t="s">
        <v>45</v>
      </c>
      <c r="C64" s="16" t="s">
        <v>103</v>
      </c>
      <c r="D64" s="14" t="s">
        <v>165</v>
      </c>
      <c r="E64" s="18">
        <v>10</v>
      </c>
      <c r="F64" s="13">
        <v>10</v>
      </c>
      <c r="G64" s="13">
        <v>222.4</v>
      </c>
      <c r="H64" s="13">
        <f t="shared" ref="H64:H77" si="8">SUM(F64*G64/1000)</f>
        <v>2.2240000000000002</v>
      </c>
      <c r="I64" s="13">
        <f>G64*8</f>
        <v>1779.2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8"/>
        <v>0.38124999999999998</v>
      </c>
      <c r="I65" s="13">
        <v>0</v>
      </c>
    </row>
    <row r="66" spans="1:9" ht="18.75" hidden="1" customHeight="1">
      <c r="A66" s="30"/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8"/>
        <v>40.601267</v>
      </c>
      <c r="I66" s="13">
        <f>F66*G66</f>
        <v>40601.267</v>
      </c>
    </row>
    <row r="67" spans="1:9" ht="17.25" hidden="1" customHeight="1">
      <c r="A67" s="30"/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8"/>
        <v>3.1617889800000003</v>
      </c>
      <c r="I67" s="13">
        <f t="shared" ref="I67:I71" si="9">F67*G67</f>
        <v>3161.7889800000003</v>
      </c>
    </row>
    <row r="68" spans="1:9" ht="21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8"/>
        <v>56.637399000000002</v>
      </c>
      <c r="I68" s="13">
        <f t="shared" si="9"/>
        <v>56637.399000000005</v>
      </c>
    </row>
    <row r="69" spans="1:9" ht="20.25" hidden="1" customHeight="1">
      <c r="A69" s="30"/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8"/>
        <v>0.58916000000000002</v>
      </c>
      <c r="I69" s="13">
        <f t="shared" si="9"/>
        <v>589.16</v>
      </c>
    </row>
    <row r="70" spans="1:9" ht="21" hidden="1" customHeight="1">
      <c r="A70" s="30"/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8"/>
        <v>0.54964000000000002</v>
      </c>
      <c r="I70" s="13">
        <f t="shared" si="9"/>
        <v>549.64</v>
      </c>
    </row>
    <row r="71" spans="1:9" ht="18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8"/>
        <v>0.39904000000000001</v>
      </c>
      <c r="I71" s="13">
        <f t="shared" si="9"/>
        <v>399.04</v>
      </c>
    </row>
    <row r="72" spans="1:9" ht="17.25" customHeight="1">
      <c r="A72" s="30"/>
      <c r="B72" s="51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31.5" customHeight="1">
      <c r="A73" s="30">
        <v>12</v>
      </c>
      <c r="B73" s="14" t="s">
        <v>70</v>
      </c>
      <c r="C73" s="16" t="s">
        <v>72</v>
      </c>
      <c r="D73" s="14" t="s">
        <v>228</v>
      </c>
      <c r="E73" s="18">
        <v>4</v>
      </c>
      <c r="F73" s="13">
        <v>0.4</v>
      </c>
      <c r="G73" s="13">
        <v>501.62</v>
      </c>
      <c r="H73" s="13">
        <f t="shared" si="8"/>
        <v>0.20064800000000002</v>
      </c>
      <c r="I73" s="13">
        <f>G73*0.1</f>
        <v>50.162000000000006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14.25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14.25" hidden="1" customHeight="1">
      <c r="A76" s="30"/>
      <c r="B76" s="58" t="s">
        <v>73</v>
      </c>
      <c r="C76" s="16"/>
      <c r="D76" s="14"/>
      <c r="E76" s="18"/>
      <c r="F76" s="13"/>
      <c r="G76" s="13" t="s">
        <v>134</v>
      </c>
      <c r="H76" s="13" t="s">
        <v>134</v>
      </c>
      <c r="I76" s="13"/>
    </row>
    <row r="77" spans="1:9" ht="14.25" hidden="1" customHeight="1">
      <c r="A77" s="30"/>
      <c r="B77" s="42" t="s">
        <v>120</v>
      </c>
      <c r="C77" s="16" t="s">
        <v>74</v>
      </c>
      <c r="D77" s="14"/>
      <c r="E77" s="18"/>
      <c r="F77" s="13">
        <v>0.1</v>
      </c>
      <c r="G77" s="13">
        <v>2759.44</v>
      </c>
      <c r="H77" s="13">
        <f t="shared" si="8"/>
        <v>0.27594400000000002</v>
      </c>
      <c r="I77" s="13">
        <v>0</v>
      </c>
    </row>
    <row r="78" spans="1:9" ht="16.5" hidden="1" customHeight="1">
      <c r="A78" s="30"/>
      <c r="B78" s="51" t="s">
        <v>88</v>
      </c>
      <c r="C78" s="64"/>
      <c r="D78" s="64"/>
      <c r="E78" s="64"/>
      <c r="F78" s="64"/>
      <c r="G78" s="59"/>
      <c r="H78" s="59">
        <f>SUM(H57:H77)</f>
        <v>127.67723648</v>
      </c>
      <c r="I78" s="59"/>
    </row>
    <row r="79" spans="1:9" ht="12.75" hidden="1" customHeight="1">
      <c r="A79" s="30"/>
      <c r="B79" s="14" t="s">
        <v>109</v>
      </c>
      <c r="C79" s="16"/>
      <c r="D79" s="14"/>
      <c r="E79" s="18"/>
      <c r="F79" s="13">
        <v>1</v>
      </c>
      <c r="G79" s="13">
        <v>13441.4</v>
      </c>
      <c r="H79" s="13">
        <f>G79*F79/1000</f>
        <v>13.4414</v>
      </c>
      <c r="I79" s="13">
        <v>0</v>
      </c>
    </row>
    <row r="80" spans="1:9" ht="15.75" customHeight="1">
      <c r="A80" s="122" t="s">
        <v>129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30">
        <v>13</v>
      </c>
      <c r="B81" s="14" t="s">
        <v>111</v>
      </c>
      <c r="C81" s="16" t="s">
        <v>53</v>
      </c>
      <c r="D81" s="54"/>
      <c r="E81" s="13">
        <v>5367.6</v>
      </c>
      <c r="F81" s="13">
        <f>SUM(E81*12)</f>
        <v>64411.200000000004</v>
      </c>
      <c r="G81" s="13">
        <v>2.1</v>
      </c>
      <c r="H81" s="13">
        <f>SUM(F81*G81/1000)</f>
        <v>135.26352000000003</v>
      </c>
      <c r="I81" s="13">
        <f>F81/12*G81</f>
        <v>11271.960000000001</v>
      </c>
    </row>
    <row r="82" spans="1:9" ht="31.5" customHeight="1">
      <c r="A82" s="30">
        <v>14</v>
      </c>
      <c r="B82" s="14" t="s">
        <v>75</v>
      </c>
      <c r="C82" s="16"/>
      <c r="D82" s="54"/>
      <c r="E82" s="18">
        <f>E81</f>
        <v>5367.6</v>
      </c>
      <c r="F82" s="13">
        <f>E82*12</f>
        <v>64411.200000000004</v>
      </c>
      <c r="G82" s="13">
        <v>1.63</v>
      </c>
      <c r="H82" s="13">
        <f>F82*G82/1000</f>
        <v>104.99025599999999</v>
      </c>
      <c r="I82" s="13">
        <f>F82/12*G82</f>
        <v>8749.1880000000001</v>
      </c>
    </row>
    <row r="83" spans="1:9" ht="15.75" customHeight="1">
      <c r="A83" s="30"/>
      <c r="B83" s="35" t="s">
        <v>77</v>
      </c>
      <c r="C83" s="58"/>
      <c r="D83" s="62"/>
      <c r="E83" s="59"/>
      <c r="F83" s="59"/>
      <c r="G83" s="59"/>
      <c r="H83" s="59">
        <f>H82</f>
        <v>104.99025599999999</v>
      </c>
      <c r="I83" s="59">
        <f>I82+I81+I73+I60+I33+I31+I30+I27+I24+I21+I20+I18+I17+I16</f>
        <v>36643.407845333342</v>
      </c>
    </row>
    <row r="84" spans="1:9" ht="15.75" customHeight="1">
      <c r="A84" s="133" t="s">
        <v>58</v>
      </c>
      <c r="B84" s="134"/>
      <c r="C84" s="134"/>
      <c r="D84" s="134"/>
      <c r="E84" s="134"/>
      <c r="F84" s="134"/>
      <c r="G84" s="134"/>
      <c r="H84" s="134"/>
      <c r="I84" s="135"/>
    </row>
    <row r="85" spans="1:9" ht="15.75" customHeight="1">
      <c r="A85" s="30">
        <v>15</v>
      </c>
      <c r="B85" s="45" t="s">
        <v>118</v>
      </c>
      <c r="C85" s="46" t="s">
        <v>103</v>
      </c>
      <c r="D85" s="71"/>
      <c r="E85" s="95"/>
      <c r="F85" s="34">
        <v>1</v>
      </c>
      <c r="G85" s="34">
        <v>60.72</v>
      </c>
      <c r="H85" s="63">
        <f t="shared" ref="H85" si="10">G85*F85/1000</f>
        <v>6.0719999999999996E-2</v>
      </c>
      <c r="I85" s="13">
        <f>G85*1</f>
        <v>60.72</v>
      </c>
    </row>
    <row r="86" spans="1:9" ht="15.75" customHeight="1">
      <c r="A86" s="30">
        <v>16</v>
      </c>
      <c r="B86" s="45" t="s">
        <v>213</v>
      </c>
      <c r="C86" s="46" t="s">
        <v>39</v>
      </c>
      <c r="D86" s="71"/>
      <c r="E86" s="95"/>
      <c r="F86" s="34">
        <v>0.03</v>
      </c>
      <c r="G86" s="34">
        <v>27139.18</v>
      </c>
      <c r="H86" s="63"/>
      <c r="I86" s="13">
        <f>G86*0.01</f>
        <v>271.39179999999999</v>
      </c>
    </row>
    <row r="87" spans="1:9" ht="28.5" customHeight="1">
      <c r="A87" s="30">
        <v>17</v>
      </c>
      <c r="B87" s="45" t="s">
        <v>184</v>
      </c>
      <c r="C87" s="46" t="s">
        <v>37</v>
      </c>
      <c r="D87" s="71" t="s">
        <v>172</v>
      </c>
      <c r="E87" s="95"/>
      <c r="F87" s="34">
        <v>0.04</v>
      </c>
      <c r="G87" s="34">
        <v>4070.89</v>
      </c>
      <c r="H87" s="63"/>
      <c r="I87" s="13">
        <v>0</v>
      </c>
    </row>
    <row r="88" spans="1:9" ht="15.75" customHeight="1">
      <c r="A88" s="30">
        <v>18</v>
      </c>
      <c r="B88" s="83" t="s">
        <v>209</v>
      </c>
      <c r="C88" s="46" t="s">
        <v>53</v>
      </c>
      <c r="D88" s="71" t="s">
        <v>227</v>
      </c>
      <c r="E88" s="95"/>
      <c r="F88" s="34">
        <f>0.125+1.04</f>
        <v>1.165</v>
      </c>
      <c r="G88" s="34">
        <v>734.3</v>
      </c>
      <c r="H88" s="63"/>
      <c r="I88" s="13">
        <f>G88*1.04</f>
        <v>763.67200000000003</v>
      </c>
    </row>
    <row r="89" spans="1:9" ht="15" customHeight="1">
      <c r="A89" s="30">
        <v>19</v>
      </c>
      <c r="B89" s="45" t="s">
        <v>225</v>
      </c>
      <c r="C89" s="46" t="s">
        <v>226</v>
      </c>
      <c r="D89" s="71" t="s">
        <v>221</v>
      </c>
      <c r="E89" s="95"/>
      <c r="F89" s="34">
        <v>0.01</v>
      </c>
      <c r="G89" s="34">
        <v>71665.08</v>
      </c>
      <c r="H89" s="63"/>
      <c r="I89" s="13">
        <f>G89*0.01</f>
        <v>716.6508</v>
      </c>
    </row>
    <row r="90" spans="1:9" ht="28.5" customHeight="1">
      <c r="A90" s="30">
        <v>20</v>
      </c>
      <c r="B90" s="87" t="s">
        <v>202</v>
      </c>
      <c r="C90" s="88" t="s">
        <v>30</v>
      </c>
      <c r="D90" s="71" t="s">
        <v>235</v>
      </c>
      <c r="E90" s="95"/>
      <c r="F90" s="34">
        <v>3</v>
      </c>
      <c r="G90" s="34">
        <v>826.05</v>
      </c>
      <c r="H90" s="63"/>
      <c r="I90" s="13">
        <f t="shared" ref="I90:I97" si="11">G90*1</f>
        <v>826.05</v>
      </c>
    </row>
    <row r="91" spans="1:9" ht="30" customHeight="1">
      <c r="A91" s="30">
        <v>21</v>
      </c>
      <c r="B91" s="87" t="s">
        <v>229</v>
      </c>
      <c r="C91" s="88" t="s">
        <v>30</v>
      </c>
      <c r="D91" s="71" t="s">
        <v>235</v>
      </c>
      <c r="E91" s="95"/>
      <c r="F91" s="34">
        <v>1</v>
      </c>
      <c r="G91" s="34">
        <v>764.83</v>
      </c>
      <c r="H91" s="63"/>
      <c r="I91" s="13">
        <f t="shared" si="11"/>
        <v>764.83</v>
      </c>
    </row>
    <row r="92" spans="1:9" ht="15" customHeight="1">
      <c r="A92" s="30">
        <v>22</v>
      </c>
      <c r="B92" s="87" t="s">
        <v>230</v>
      </c>
      <c r="C92" s="88" t="s">
        <v>103</v>
      </c>
      <c r="D92" s="71"/>
      <c r="E92" s="95"/>
      <c r="F92" s="34">
        <v>1</v>
      </c>
      <c r="G92" s="34">
        <v>22</v>
      </c>
      <c r="H92" s="63"/>
      <c r="I92" s="13">
        <f t="shared" si="11"/>
        <v>22</v>
      </c>
    </row>
    <row r="93" spans="1:9" ht="15" customHeight="1">
      <c r="A93" s="30">
        <v>23</v>
      </c>
      <c r="B93" s="87" t="s">
        <v>231</v>
      </c>
      <c r="C93" s="88" t="s">
        <v>103</v>
      </c>
      <c r="D93" s="71"/>
      <c r="E93" s="95"/>
      <c r="F93" s="34">
        <v>1</v>
      </c>
      <c r="G93" s="34">
        <v>21</v>
      </c>
      <c r="H93" s="63"/>
      <c r="I93" s="13">
        <f t="shared" si="11"/>
        <v>21</v>
      </c>
    </row>
    <row r="94" spans="1:9" ht="15" customHeight="1">
      <c r="A94" s="30">
        <v>24</v>
      </c>
      <c r="B94" s="87" t="s">
        <v>232</v>
      </c>
      <c r="C94" s="88" t="s">
        <v>103</v>
      </c>
      <c r="D94" s="71"/>
      <c r="E94" s="95"/>
      <c r="F94" s="34">
        <v>1</v>
      </c>
      <c r="G94" s="34">
        <v>86</v>
      </c>
      <c r="H94" s="63"/>
      <c r="I94" s="13">
        <f t="shared" si="11"/>
        <v>86</v>
      </c>
    </row>
    <row r="95" spans="1:9" ht="15" customHeight="1">
      <c r="A95" s="30">
        <v>25</v>
      </c>
      <c r="B95" s="87" t="s">
        <v>233</v>
      </c>
      <c r="C95" s="88" t="s">
        <v>103</v>
      </c>
      <c r="D95" s="71"/>
      <c r="E95" s="95"/>
      <c r="F95" s="34">
        <v>1</v>
      </c>
      <c r="G95" s="34">
        <v>39</v>
      </c>
      <c r="H95" s="63"/>
      <c r="I95" s="13">
        <f t="shared" si="11"/>
        <v>39</v>
      </c>
    </row>
    <row r="96" spans="1:9" ht="15" customHeight="1">
      <c r="A96" s="30">
        <v>26</v>
      </c>
      <c r="B96" s="87" t="s">
        <v>203</v>
      </c>
      <c r="C96" s="88" t="s">
        <v>103</v>
      </c>
      <c r="D96" s="71"/>
      <c r="E96" s="95"/>
      <c r="F96" s="34">
        <v>2</v>
      </c>
      <c r="G96" s="34">
        <v>43</v>
      </c>
      <c r="H96" s="63"/>
      <c r="I96" s="13">
        <f t="shared" si="11"/>
        <v>43</v>
      </c>
    </row>
    <row r="97" spans="1:9" ht="15" customHeight="1">
      <c r="A97" s="30">
        <v>27</v>
      </c>
      <c r="B97" s="87" t="s">
        <v>234</v>
      </c>
      <c r="C97" s="88" t="s">
        <v>103</v>
      </c>
      <c r="D97" s="71"/>
      <c r="E97" s="95"/>
      <c r="F97" s="34">
        <v>1</v>
      </c>
      <c r="G97" s="34">
        <v>12</v>
      </c>
      <c r="H97" s="63"/>
      <c r="I97" s="13">
        <f t="shared" si="11"/>
        <v>12</v>
      </c>
    </row>
    <row r="98" spans="1:9" ht="15.75" customHeight="1">
      <c r="A98" s="30"/>
      <c r="B98" s="40" t="s">
        <v>50</v>
      </c>
      <c r="C98" s="36"/>
      <c r="D98" s="43"/>
      <c r="E98" s="36">
        <v>1</v>
      </c>
      <c r="F98" s="36"/>
      <c r="G98" s="36"/>
      <c r="H98" s="36"/>
      <c r="I98" s="32">
        <f>SUM(I85:I97)</f>
        <v>3626.3145999999997</v>
      </c>
    </row>
    <row r="99" spans="1:9" ht="15.75" customHeight="1">
      <c r="A99" s="30"/>
      <c r="B99" s="42" t="s">
        <v>76</v>
      </c>
      <c r="C99" s="15"/>
      <c r="D99" s="15"/>
      <c r="E99" s="37"/>
      <c r="F99" s="37"/>
      <c r="G99" s="38"/>
      <c r="H99" s="38"/>
      <c r="I99" s="17">
        <v>0</v>
      </c>
    </row>
    <row r="100" spans="1:9" ht="15.75" customHeight="1">
      <c r="A100" s="44"/>
      <c r="B100" s="41" t="s">
        <v>149</v>
      </c>
      <c r="C100" s="33"/>
      <c r="D100" s="33"/>
      <c r="E100" s="33"/>
      <c r="F100" s="33"/>
      <c r="G100" s="33"/>
      <c r="H100" s="33"/>
      <c r="I100" s="39">
        <f>I83+I98</f>
        <v>40269.72244533334</v>
      </c>
    </row>
    <row r="101" spans="1:9" ht="15.75" customHeight="1">
      <c r="A101" s="125" t="s">
        <v>291</v>
      </c>
      <c r="B101" s="125"/>
      <c r="C101" s="125"/>
      <c r="D101" s="125"/>
      <c r="E101" s="125"/>
      <c r="F101" s="125"/>
      <c r="G101" s="125"/>
      <c r="H101" s="125"/>
      <c r="I101" s="125"/>
    </row>
    <row r="102" spans="1:9" ht="15.75">
      <c r="A102" s="53"/>
      <c r="B102" s="126" t="s">
        <v>292</v>
      </c>
      <c r="C102" s="126"/>
      <c r="D102" s="126"/>
      <c r="E102" s="126"/>
      <c r="F102" s="126"/>
      <c r="G102" s="126"/>
      <c r="H102" s="57"/>
      <c r="I102" s="3"/>
    </row>
    <row r="103" spans="1:9" ht="15.75" customHeight="1">
      <c r="A103" s="49"/>
      <c r="B103" s="127" t="s">
        <v>6</v>
      </c>
      <c r="C103" s="127"/>
      <c r="D103" s="127"/>
      <c r="E103" s="127"/>
      <c r="F103" s="127"/>
      <c r="G103" s="127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28" t="s">
        <v>7</v>
      </c>
      <c r="B105" s="128"/>
      <c r="C105" s="128"/>
      <c r="D105" s="128"/>
      <c r="E105" s="128"/>
      <c r="F105" s="128"/>
      <c r="G105" s="128"/>
      <c r="H105" s="128"/>
      <c r="I105" s="128"/>
    </row>
    <row r="106" spans="1:9" ht="15.75" customHeight="1">
      <c r="A106" s="128" t="s">
        <v>8</v>
      </c>
      <c r="B106" s="128"/>
      <c r="C106" s="128"/>
      <c r="D106" s="128"/>
      <c r="E106" s="128"/>
      <c r="F106" s="128"/>
      <c r="G106" s="128"/>
      <c r="H106" s="128"/>
      <c r="I106" s="128"/>
    </row>
    <row r="107" spans="1:9" ht="15.75">
      <c r="A107" s="129" t="s">
        <v>59</v>
      </c>
      <c r="B107" s="129"/>
      <c r="C107" s="129"/>
      <c r="D107" s="129"/>
      <c r="E107" s="129"/>
      <c r="F107" s="129"/>
      <c r="G107" s="129"/>
      <c r="H107" s="129"/>
      <c r="I107" s="129"/>
    </row>
    <row r="108" spans="1:9" ht="15.75" customHeight="1">
      <c r="A108" s="11"/>
    </row>
    <row r="109" spans="1:9" ht="15.75" customHeight="1">
      <c r="A109" s="130" t="s">
        <v>9</v>
      </c>
      <c r="B109" s="130"/>
      <c r="C109" s="130"/>
      <c r="D109" s="130"/>
      <c r="E109" s="130"/>
      <c r="F109" s="130"/>
      <c r="G109" s="130"/>
      <c r="H109" s="130"/>
      <c r="I109" s="130"/>
    </row>
    <row r="110" spans="1:9" ht="15.75" customHeight="1">
      <c r="A110" s="4"/>
    </row>
    <row r="111" spans="1:9" ht="15.75">
      <c r="B111" s="50" t="s">
        <v>10</v>
      </c>
      <c r="C111" s="131" t="s">
        <v>127</v>
      </c>
      <c r="D111" s="131"/>
      <c r="E111" s="131"/>
      <c r="F111" s="55"/>
      <c r="I111" s="48"/>
    </row>
    <row r="112" spans="1:9" ht="15.75" customHeight="1">
      <c r="A112" s="49"/>
      <c r="C112" s="127" t="s">
        <v>11</v>
      </c>
      <c r="D112" s="127"/>
      <c r="E112" s="127"/>
      <c r="F112" s="25"/>
      <c r="I112" s="47" t="s">
        <v>12</v>
      </c>
    </row>
    <row r="113" spans="1:9" ht="15.75" customHeight="1">
      <c r="A113" s="26"/>
      <c r="C113" s="12"/>
      <c r="D113" s="12"/>
      <c r="G113" s="12"/>
      <c r="H113" s="12"/>
    </row>
    <row r="114" spans="1:9" ht="15.75" customHeight="1">
      <c r="B114" s="50" t="s">
        <v>13</v>
      </c>
      <c r="C114" s="132"/>
      <c r="D114" s="132"/>
      <c r="E114" s="132"/>
      <c r="F114" s="56"/>
      <c r="I114" s="48"/>
    </row>
    <row r="115" spans="1:9" ht="15.75" customHeight="1">
      <c r="A115" s="49"/>
      <c r="C115" s="121" t="s">
        <v>11</v>
      </c>
      <c r="D115" s="121"/>
      <c r="E115" s="121"/>
      <c r="F115" s="49"/>
      <c r="I115" s="47" t="s">
        <v>12</v>
      </c>
    </row>
    <row r="116" spans="1:9" ht="15.75">
      <c r="A116" s="4" t="s">
        <v>14</v>
      </c>
    </row>
    <row r="117" spans="1:9" ht="15.75" customHeight="1">
      <c r="A117" s="119" t="s">
        <v>15</v>
      </c>
      <c r="B117" s="119"/>
      <c r="C117" s="119"/>
      <c r="D117" s="119"/>
      <c r="E117" s="119"/>
      <c r="F117" s="119"/>
      <c r="G117" s="119"/>
      <c r="H117" s="119"/>
      <c r="I117" s="119"/>
    </row>
    <row r="118" spans="1:9" ht="45" customHeight="1">
      <c r="A118" s="120" t="s">
        <v>16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30" customHeight="1">
      <c r="A119" s="120" t="s">
        <v>17</v>
      </c>
      <c r="B119" s="120"/>
      <c r="C119" s="120"/>
      <c r="D119" s="120"/>
      <c r="E119" s="120"/>
      <c r="F119" s="120"/>
      <c r="G119" s="120"/>
      <c r="H119" s="120"/>
      <c r="I119" s="120"/>
    </row>
    <row r="120" spans="1:9" ht="30" customHeight="1">
      <c r="A120" s="120" t="s">
        <v>21</v>
      </c>
      <c r="B120" s="120"/>
      <c r="C120" s="120"/>
      <c r="D120" s="120"/>
      <c r="E120" s="120"/>
      <c r="F120" s="120"/>
      <c r="G120" s="120"/>
      <c r="H120" s="120"/>
      <c r="I120" s="120"/>
    </row>
    <row r="121" spans="1:9" ht="15" customHeight="1">
      <c r="A121" s="120" t="s">
        <v>20</v>
      </c>
      <c r="B121" s="120"/>
      <c r="C121" s="120"/>
      <c r="D121" s="120"/>
      <c r="E121" s="120"/>
      <c r="F121" s="120"/>
      <c r="G121" s="120"/>
      <c r="H121" s="120"/>
      <c r="I121" s="120"/>
    </row>
  </sheetData>
  <autoFilter ref="I12:I57"/>
  <mergeCells count="29">
    <mergeCell ref="R62:U62"/>
    <mergeCell ref="A80:I80"/>
    <mergeCell ref="A3:I3"/>
    <mergeCell ref="A4:I4"/>
    <mergeCell ref="A5:I5"/>
    <mergeCell ref="A8:I8"/>
    <mergeCell ref="A10:I10"/>
    <mergeCell ref="A14:I14"/>
    <mergeCell ref="A107:I107"/>
    <mergeCell ref="A15:I15"/>
    <mergeCell ref="A28:I28"/>
    <mergeCell ref="A44:I44"/>
    <mergeCell ref="A55:I55"/>
    <mergeCell ref="A101:I101"/>
    <mergeCell ref="B102:G102"/>
    <mergeCell ref="B103:G103"/>
    <mergeCell ref="A105:I105"/>
    <mergeCell ref="A106:I106"/>
    <mergeCell ref="A84:I84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76"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145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237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44104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236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81" t="s">
        <v>81</v>
      </c>
      <c r="C16" s="82" t="s">
        <v>82</v>
      </c>
      <c r="D16" s="81" t="s">
        <v>164</v>
      </c>
      <c r="E16" s="99">
        <v>62.28</v>
      </c>
      <c r="F16" s="92">
        <f>SUM(E16*156/100)</f>
        <v>97.156800000000004</v>
      </c>
      <c r="G16" s="92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112</v>
      </c>
      <c r="C17" s="82" t="s">
        <v>82</v>
      </c>
      <c r="D17" s="81" t="s">
        <v>165</v>
      </c>
      <c r="E17" s="99">
        <v>311.42</v>
      </c>
      <c r="F17" s="92">
        <f>SUM(E17*104/100)</f>
        <v>323.8768</v>
      </c>
      <c r="G17" s="92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113</v>
      </c>
      <c r="C18" s="82" t="s">
        <v>82</v>
      </c>
      <c r="D18" s="81" t="s">
        <v>166</v>
      </c>
      <c r="E18" s="99">
        <v>373.7</v>
      </c>
      <c r="F18" s="92">
        <f>SUM(E18*18/100)</f>
        <v>67.265999999999991</v>
      </c>
      <c r="G18" s="92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81" t="s">
        <v>89</v>
      </c>
      <c r="C19" s="82" t="s">
        <v>90</v>
      </c>
      <c r="D19" s="81" t="s">
        <v>91</v>
      </c>
      <c r="E19" s="99">
        <v>38.4</v>
      </c>
      <c r="F19" s="92">
        <f>SUM(E19/10)</f>
        <v>3.84</v>
      </c>
      <c r="G19" s="92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92</v>
      </c>
      <c r="C20" s="82" t="s">
        <v>82</v>
      </c>
      <c r="D20" s="81" t="s">
        <v>172</v>
      </c>
      <c r="E20" s="99">
        <v>35.04</v>
      </c>
      <c r="F20" s="92">
        <f>SUM(E20*12/100)</f>
        <v>4.2048000000000005</v>
      </c>
      <c r="G20" s="92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93</v>
      </c>
      <c r="C21" s="82" t="s">
        <v>82</v>
      </c>
      <c r="D21" s="81" t="s">
        <v>172</v>
      </c>
      <c r="E21" s="99">
        <v>9.08</v>
      </c>
      <c r="F21" s="92">
        <f>SUM(E21*12/100)</f>
        <v>1.0896000000000001</v>
      </c>
      <c r="G21" s="92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1" t="s">
        <v>94</v>
      </c>
      <c r="C22" s="82" t="s">
        <v>51</v>
      </c>
      <c r="D22" s="81" t="s">
        <v>91</v>
      </c>
      <c r="E22" s="99">
        <v>629</v>
      </c>
      <c r="F22" s="92">
        <f>SUM(E22/100)</f>
        <v>6.29</v>
      </c>
      <c r="G22" s="92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95</v>
      </c>
      <c r="C23" s="82" t="s">
        <v>51</v>
      </c>
      <c r="D23" s="81" t="s">
        <v>91</v>
      </c>
      <c r="E23" s="100">
        <v>58</v>
      </c>
      <c r="F23" s="92">
        <f>SUM(E23/100)</f>
        <v>0.57999999999999996</v>
      </c>
      <c r="G23" s="92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1" t="s">
        <v>96</v>
      </c>
      <c r="C24" s="82" t="s">
        <v>51</v>
      </c>
      <c r="D24" s="81" t="s">
        <v>172</v>
      </c>
      <c r="E24" s="99">
        <v>24</v>
      </c>
      <c r="F24" s="92">
        <f>E24*12/100</f>
        <v>2.88</v>
      </c>
      <c r="G24" s="92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1" t="s">
        <v>97</v>
      </c>
      <c r="C25" s="82" t="s">
        <v>51</v>
      </c>
      <c r="D25" s="81" t="s">
        <v>52</v>
      </c>
      <c r="E25" s="99">
        <v>17</v>
      </c>
      <c r="F25" s="92">
        <f>SUM(E25/100)</f>
        <v>0.17</v>
      </c>
      <c r="G25" s="92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119</v>
      </c>
      <c r="C26" s="82" t="s">
        <v>51</v>
      </c>
      <c r="D26" s="81" t="s">
        <v>52</v>
      </c>
      <c r="E26" s="99">
        <v>24</v>
      </c>
      <c r="F26" s="92">
        <v>0.24</v>
      </c>
      <c r="G26" s="92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98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customHeight="1">
      <c r="A30" s="30">
        <v>8</v>
      </c>
      <c r="B30" s="81" t="s">
        <v>115</v>
      </c>
      <c r="C30" s="82" t="s">
        <v>84</v>
      </c>
      <c r="D30" s="81" t="s">
        <v>164</v>
      </c>
      <c r="E30" s="92">
        <v>182</v>
      </c>
      <c r="F30" s="92">
        <f>SUM(E30*78/1000)</f>
        <v>14.196</v>
      </c>
      <c r="G30" s="92">
        <v>385.6</v>
      </c>
      <c r="H30" s="13">
        <f t="shared" ref="H30:H34" si="1">SUM(F30*G30/1000)</f>
        <v>5.4739776000000004</v>
      </c>
      <c r="I30" s="13">
        <f t="shared" ref="I30" si="2">F30/6*G30</f>
        <v>912.32960000000014</v>
      </c>
      <c r="J30" s="23"/>
      <c r="K30" s="8"/>
      <c r="L30" s="8"/>
      <c r="M30" s="8"/>
    </row>
    <row r="31" spans="1:13" ht="15" customHeight="1">
      <c r="A31" s="30">
        <v>9</v>
      </c>
      <c r="B31" s="81" t="s">
        <v>114</v>
      </c>
      <c r="C31" s="82" t="s">
        <v>39</v>
      </c>
      <c r="D31" s="81" t="s">
        <v>170</v>
      </c>
      <c r="E31" s="92">
        <v>8</v>
      </c>
      <c r="F31" s="92">
        <f>E31*155/100</f>
        <v>12.4</v>
      </c>
      <c r="G31" s="92">
        <v>1941.17</v>
      </c>
      <c r="H31" s="13">
        <f t="shared" si="1"/>
        <v>24.070508</v>
      </c>
      <c r="I31" s="13">
        <f>F31*G31/6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62</v>
      </c>
      <c r="C32" s="16" t="s">
        <v>32</v>
      </c>
      <c r="D32" s="14" t="s">
        <v>64</v>
      </c>
      <c r="E32" s="18"/>
      <c r="F32" s="13">
        <v>2</v>
      </c>
      <c r="G32" s="13">
        <v>191.32</v>
      </c>
      <c r="H32" s="13">
        <f t="shared" si="1"/>
        <v>0.38263999999999998</v>
      </c>
      <c r="I32" s="13">
        <v>0</v>
      </c>
      <c r="J32" s="24"/>
    </row>
    <row r="33" spans="1:14" ht="15.75" hidden="1" customHeight="1">
      <c r="A33" s="30"/>
      <c r="B33" s="14" t="s">
        <v>63</v>
      </c>
      <c r="C33" s="16" t="s">
        <v>31</v>
      </c>
      <c r="D33" s="14" t="s">
        <v>64</v>
      </c>
      <c r="E33" s="18"/>
      <c r="F33" s="13">
        <v>1</v>
      </c>
      <c r="G33" s="13">
        <v>1136.33</v>
      </c>
      <c r="H33" s="13">
        <f t="shared" si="1"/>
        <v>1.1363299999999998</v>
      </c>
      <c r="I33" s="13">
        <v>0</v>
      </c>
      <c r="J33" s="24"/>
    </row>
    <row r="34" spans="1:14" ht="15.75" hidden="1" customHeight="1">
      <c r="A34" s="30"/>
      <c r="B34" s="14" t="s">
        <v>121</v>
      </c>
      <c r="C34" s="16" t="s">
        <v>29</v>
      </c>
      <c r="D34" s="14"/>
      <c r="E34" s="18">
        <v>932.2</v>
      </c>
      <c r="F34" s="13">
        <v>0.93220000000000003</v>
      </c>
      <c r="G34" s="13">
        <v>1305.02</v>
      </c>
      <c r="H34" s="13">
        <f t="shared" si="1"/>
        <v>1.216539644</v>
      </c>
      <c r="I34" s="13">
        <v>0</v>
      </c>
      <c r="J34" s="24"/>
    </row>
    <row r="35" spans="1:14" ht="15.75" hidden="1" customHeight="1">
      <c r="A35" s="30"/>
      <c r="B35" s="98" t="s">
        <v>5</v>
      </c>
      <c r="C35" s="16"/>
      <c r="D35" s="14"/>
      <c r="E35" s="18"/>
      <c r="F35" s="13"/>
      <c r="G35" s="13"/>
      <c r="H35" s="13" t="s">
        <v>134</v>
      </c>
      <c r="I35" s="13"/>
      <c r="J35" s="24"/>
      <c r="L35" s="19"/>
      <c r="M35" s="20"/>
      <c r="N35" s="21"/>
    </row>
    <row r="36" spans="1:14" ht="15.75" hidden="1" customHeight="1">
      <c r="A36" s="30">
        <v>9</v>
      </c>
      <c r="B36" s="14" t="s">
        <v>26</v>
      </c>
      <c r="C36" s="16" t="s">
        <v>31</v>
      </c>
      <c r="D36" s="14"/>
      <c r="E36" s="18"/>
      <c r="F36" s="13">
        <v>6</v>
      </c>
      <c r="G36" s="13">
        <v>1527.22</v>
      </c>
      <c r="H36" s="13">
        <f t="shared" ref="H36:H41" si="3">SUM(F36*G36/1000)</f>
        <v>9.1633200000000006</v>
      </c>
      <c r="I36" s="13">
        <f t="shared" ref="I36:I41" si="4">F36/6*G36</f>
        <v>1527.22</v>
      </c>
      <c r="J36" s="24"/>
      <c r="L36" s="19"/>
      <c r="M36" s="20"/>
      <c r="N36" s="21"/>
    </row>
    <row r="37" spans="1:14" ht="15.75" hidden="1" customHeight="1">
      <c r="A37" s="30">
        <v>10</v>
      </c>
      <c r="B37" s="14" t="s">
        <v>102</v>
      </c>
      <c r="C37" s="16" t="s">
        <v>29</v>
      </c>
      <c r="D37" s="14" t="s">
        <v>122</v>
      </c>
      <c r="E37" s="18">
        <v>374</v>
      </c>
      <c r="F37" s="13">
        <f>E37*26/1000</f>
        <v>9.7240000000000002</v>
      </c>
      <c r="G37" s="13">
        <v>2102.71</v>
      </c>
      <c r="H37" s="13">
        <f>G37*F37/1000</f>
        <v>20.44675204</v>
      </c>
      <c r="I37" s="13">
        <f t="shared" si="4"/>
        <v>3407.792006666667</v>
      </c>
      <c r="J37" s="24"/>
      <c r="L37" s="19"/>
      <c r="M37" s="20"/>
      <c r="N37" s="21"/>
    </row>
    <row r="38" spans="1:14" ht="15.75" hidden="1" customHeight="1">
      <c r="A38" s="30">
        <v>11</v>
      </c>
      <c r="B38" s="14" t="s">
        <v>65</v>
      </c>
      <c r="C38" s="16" t="s">
        <v>29</v>
      </c>
      <c r="D38" s="14" t="s">
        <v>83</v>
      </c>
      <c r="E38" s="13">
        <v>160</v>
      </c>
      <c r="F38" s="13">
        <f>SUM(E38*155/1000)</f>
        <v>24.8</v>
      </c>
      <c r="G38" s="13">
        <v>350.75</v>
      </c>
      <c r="H38" s="13">
        <f t="shared" si="3"/>
        <v>8.6986000000000008</v>
      </c>
      <c r="I38" s="13">
        <f t="shared" si="4"/>
        <v>1449.7666666666669</v>
      </c>
      <c r="J38" s="24"/>
      <c r="L38" s="19"/>
      <c r="M38" s="20"/>
      <c r="N38" s="21"/>
    </row>
    <row r="39" spans="1:14" ht="47.25" hidden="1" customHeight="1">
      <c r="A39" s="30">
        <v>12</v>
      </c>
      <c r="B39" s="14" t="s">
        <v>79</v>
      </c>
      <c r="C39" s="16" t="s">
        <v>84</v>
      </c>
      <c r="D39" s="14" t="s">
        <v>123</v>
      </c>
      <c r="E39" s="13">
        <v>76</v>
      </c>
      <c r="F39" s="13">
        <f>SUM(E39*50/1000)</f>
        <v>3.8</v>
      </c>
      <c r="G39" s="13">
        <v>5803.28</v>
      </c>
      <c r="H39" s="13">
        <f t="shared" si="3"/>
        <v>22.052463999999997</v>
      </c>
      <c r="I39" s="13">
        <f t="shared" si="4"/>
        <v>3675.4106666666662</v>
      </c>
      <c r="J39" s="24"/>
      <c r="L39" s="19"/>
      <c r="M39" s="20"/>
      <c r="N39" s="21"/>
    </row>
    <row r="40" spans="1:14" ht="15.75" hidden="1" customHeight="1">
      <c r="A40" s="30">
        <v>13</v>
      </c>
      <c r="B40" s="14" t="s">
        <v>85</v>
      </c>
      <c r="C40" s="16" t="s">
        <v>84</v>
      </c>
      <c r="D40" s="14" t="s">
        <v>66</v>
      </c>
      <c r="E40" s="13">
        <v>76</v>
      </c>
      <c r="F40" s="13">
        <f>SUM(E40*45/1000)</f>
        <v>3.42</v>
      </c>
      <c r="G40" s="13">
        <v>428.7</v>
      </c>
      <c r="H40" s="13">
        <f t="shared" si="3"/>
        <v>1.466154</v>
      </c>
      <c r="I40" s="13">
        <f t="shared" si="4"/>
        <v>244.35899999999998</v>
      </c>
      <c r="J40" s="24"/>
      <c r="L40" s="19"/>
      <c r="M40" s="20"/>
      <c r="N40" s="21"/>
    </row>
    <row r="41" spans="1:14" ht="15.75" hidden="1" customHeight="1">
      <c r="A41" s="30">
        <v>14</v>
      </c>
      <c r="B41" s="14" t="s">
        <v>67</v>
      </c>
      <c r="C41" s="16" t="s">
        <v>32</v>
      </c>
      <c r="D41" s="14"/>
      <c r="E41" s="18"/>
      <c r="F41" s="13">
        <v>0.9</v>
      </c>
      <c r="G41" s="13">
        <v>798</v>
      </c>
      <c r="H41" s="13">
        <f t="shared" si="3"/>
        <v>0.71820000000000006</v>
      </c>
      <c r="I41" s="13">
        <f t="shared" si="4"/>
        <v>119.69999999999999</v>
      </c>
      <c r="J41" s="24"/>
      <c r="L41" s="19"/>
      <c r="M41" s="20"/>
      <c r="N41" s="21"/>
    </row>
    <row r="42" spans="1:14" ht="15" customHeight="1">
      <c r="A42" s="137" t="s">
        <v>130</v>
      </c>
      <c r="B42" s="138"/>
      <c r="C42" s="138"/>
      <c r="D42" s="138"/>
      <c r="E42" s="138"/>
      <c r="F42" s="138"/>
      <c r="G42" s="138"/>
      <c r="H42" s="138"/>
      <c r="I42" s="139"/>
      <c r="J42" s="24"/>
      <c r="L42" s="19"/>
      <c r="M42" s="20"/>
      <c r="N42" s="21"/>
    </row>
    <row r="43" spans="1:14" ht="15.75" customHeight="1">
      <c r="A43" s="30">
        <v>10</v>
      </c>
      <c r="B43" s="81" t="s">
        <v>135</v>
      </c>
      <c r="C43" s="82" t="s">
        <v>84</v>
      </c>
      <c r="D43" s="81" t="s">
        <v>172</v>
      </c>
      <c r="E43" s="99">
        <v>1099.7</v>
      </c>
      <c r="F43" s="92">
        <f>SUM(E43*2/1000)</f>
        <v>2.1994000000000002</v>
      </c>
      <c r="G43" s="34">
        <v>1356.96</v>
      </c>
      <c r="H43" s="13">
        <f t="shared" ref="H43:H52" si="5">SUM(F43*G43/1000)</f>
        <v>2.9844978240000004</v>
      </c>
      <c r="I43" s="13">
        <f t="shared" ref="I43:I46" si="6">F43/2*G43</f>
        <v>1492.2489120000002</v>
      </c>
      <c r="J43" s="24"/>
      <c r="L43" s="19"/>
      <c r="M43" s="20"/>
      <c r="N43" s="21"/>
    </row>
    <row r="44" spans="1:14" ht="15.75" customHeight="1">
      <c r="A44" s="30">
        <v>11</v>
      </c>
      <c r="B44" s="81" t="s">
        <v>238</v>
      </c>
      <c r="C44" s="82" t="s">
        <v>84</v>
      </c>
      <c r="D44" s="81" t="s">
        <v>172</v>
      </c>
      <c r="E44" s="99">
        <v>52</v>
      </c>
      <c r="F44" s="92">
        <f>E44*2/1000</f>
        <v>0.104</v>
      </c>
      <c r="G44" s="34">
        <v>863.92</v>
      </c>
      <c r="H44" s="13">
        <f t="shared" si="5"/>
        <v>8.9847679999999999E-2</v>
      </c>
      <c r="I44" s="13">
        <f t="shared" si="6"/>
        <v>44.923839999999998</v>
      </c>
      <c r="J44" s="24"/>
      <c r="L44" s="19"/>
      <c r="M44" s="20"/>
      <c r="N44" s="21"/>
    </row>
    <row r="45" spans="1:14" ht="15.75" customHeight="1">
      <c r="A45" s="30">
        <v>12</v>
      </c>
      <c r="B45" s="81" t="s">
        <v>35</v>
      </c>
      <c r="C45" s="82" t="s">
        <v>84</v>
      </c>
      <c r="D45" s="81" t="s">
        <v>172</v>
      </c>
      <c r="E45" s="99">
        <v>917.78</v>
      </c>
      <c r="F45" s="92">
        <f>SUM(E45*2/1000)</f>
        <v>1.8355599999999999</v>
      </c>
      <c r="G45" s="34">
        <v>863.92</v>
      </c>
      <c r="H45" s="13">
        <f t="shared" si="5"/>
        <v>1.5857769951999998</v>
      </c>
      <c r="I45" s="13">
        <f t="shared" si="6"/>
        <v>792.88849759999994</v>
      </c>
      <c r="J45" s="24"/>
      <c r="L45" s="19"/>
      <c r="M45" s="20"/>
      <c r="N45" s="21"/>
    </row>
    <row r="46" spans="1:14" ht="15.75" customHeight="1">
      <c r="A46" s="30">
        <v>13</v>
      </c>
      <c r="B46" s="81" t="s">
        <v>36</v>
      </c>
      <c r="C46" s="82" t="s">
        <v>84</v>
      </c>
      <c r="D46" s="81" t="s">
        <v>172</v>
      </c>
      <c r="E46" s="99">
        <v>3930</v>
      </c>
      <c r="F46" s="92">
        <f>SUM(E46*2/1000)</f>
        <v>7.86</v>
      </c>
      <c r="G46" s="34">
        <v>904.65</v>
      </c>
      <c r="H46" s="13">
        <f t="shared" si="5"/>
        <v>7.1105489999999998</v>
      </c>
      <c r="I46" s="13">
        <f t="shared" si="6"/>
        <v>3555.2745</v>
      </c>
      <c r="J46" s="24"/>
      <c r="L46" s="19"/>
      <c r="M46" s="20"/>
      <c r="N46" s="21"/>
    </row>
    <row r="47" spans="1:14" ht="18" customHeight="1">
      <c r="A47" s="30">
        <v>14</v>
      </c>
      <c r="B47" s="81" t="s">
        <v>33</v>
      </c>
      <c r="C47" s="82" t="s">
        <v>51</v>
      </c>
      <c r="D47" s="81" t="s">
        <v>172</v>
      </c>
      <c r="E47" s="99">
        <v>134.52000000000001</v>
      </c>
      <c r="F47" s="92">
        <f>E47*2/100</f>
        <v>2.6904000000000003</v>
      </c>
      <c r="G47" s="34">
        <v>108.55</v>
      </c>
      <c r="H47" s="13">
        <f>F47*G47/1000</f>
        <v>0.29204292000000004</v>
      </c>
      <c r="I47" s="13">
        <f>F47/2*G47</f>
        <v>146.02146000000002</v>
      </c>
      <c r="J47" s="24"/>
      <c r="L47" s="19"/>
      <c r="M47" s="20"/>
      <c r="N47" s="21"/>
    </row>
    <row r="48" spans="1:14" ht="15.75" customHeight="1">
      <c r="A48" s="30">
        <v>15</v>
      </c>
      <c r="B48" s="81" t="s">
        <v>54</v>
      </c>
      <c r="C48" s="82" t="s">
        <v>84</v>
      </c>
      <c r="D48" s="81" t="s">
        <v>172</v>
      </c>
      <c r="E48" s="99">
        <v>5367.6</v>
      </c>
      <c r="F48" s="92">
        <f>SUM(E48*5/1000)</f>
        <v>26.838000000000001</v>
      </c>
      <c r="G48" s="34">
        <v>1809.27</v>
      </c>
      <c r="H48" s="13">
        <f t="shared" si="5"/>
        <v>48.557188260000004</v>
      </c>
      <c r="I48" s="13">
        <f>F48/5*G48</f>
        <v>9711.4376520000005</v>
      </c>
      <c r="J48" s="24"/>
      <c r="L48" s="19"/>
      <c r="M48" s="20"/>
      <c r="N48" s="21"/>
    </row>
    <row r="49" spans="1:22" ht="31.5" customHeight="1">
      <c r="A49" s="30">
        <v>16</v>
      </c>
      <c r="B49" s="81" t="s">
        <v>86</v>
      </c>
      <c r="C49" s="82" t="s">
        <v>84</v>
      </c>
      <c r="D49" s="81" t="s">
        <v>172</v>
      </c>
      <c r="E49" s="99">
        <v>5367.6</v>
      </c>
      <c r="F49" s="92">
        <f>SUM(E49*2/1000)</f>
        <v>10.735200000000001</v>
      </c>
      <c r="G49" s="34">
        <v>1809.27</v>
      </c>
      <c r="H49" s="13">
        <f t="shared" si="5"/>
        <v>19.422875304000002</v>
      </c>
      <c r="I49" s="13">
        <f>F49/2*G49</f>
        <v>9711.4376520000005</v>
      </c>
      <c r="J49" s="24"/>
      <c r="L49" s="19"/>
      <c r="M49" s="20"/>
      <c r="N49" s="21"/>
    </row>
    <row r="50" spans="1:22" ht="31.5" customHeight="1">
      <c r="A50" s="30">
        <v>17</v>
      </c>
      <c r="B50" s="81" t="s">
        <v>87</v>
      </c>
      <c r="C50" s="82" t="s">
        <v>37</v>
      </c>
      <c r="D50" s="81" t="s">
        <v>172</v>
      </c>
      <c r="E50" s="99">
        <v>20</v>
      </c>
      <c r="F50" s="92">
        <f>SUM(E50*2/100)</f>
        <v>0.4</v>
      </c>
      <c r="G50" s="34">
        <v>4070.89</v>
      </c>
      <c r="H50" s="13">
        <f>SUM(F50*G50/1000)</f>
        <v>1.6283559999999999</v>
      </c>
      <c r="I50" s="13">
        <f>F50/2*G50</f>
        <v>814.178</v>
      </c>
      <c r="J50" s="24"/>
      <c r="L50" s="19"/>
      <c r="M50" s="20"/>
      <c r="N50" s="21"/>
    </row>
    <row r="51" spans="1:22" ht="15.75" customHeight="1">
      <c r="A51" s="30">
        <v>18</v>
      </c>
      <c r="B51" s="81" t="s">
        <v>38</v>
      </c>
      <c r="C51" s="82" t="s">
        <v>39</v>
      </c>
      <c r="D51" s="81" t="s">
        <v>172</v>
      </c>
      <c r="E51" s="99">
        <v>1</v>
      </c>
      <c r="F51" s="92">
        <v>0.02</v>
      </c>
      <c r="G51" s="34">
        <v>8426.7199999999993</v>
      </c>
      <c r="H51" s="13">
        <f t="shared" si="5"/>
        <v>0.16853439999999997</v>
      </c>
      <c r="I51" s="13">
        <f>F51/2*G51</f>
        <v>84.267199999999988</v>
      </c>
      <c r="J51" s="24"/>
      <c r="L51" s="19"/>
      <c r="M51" s="20"/>
      <c r="N51" s="21"/>
    </row>
    <row r="52" spans="1:22" ht="15.75" customHeight="1">
      <c r="A52" s="30">
        <v>19</v>
      </c>
      <c r="B52" s="81" t="s">
        <v>40</v>
      </c>
      <c r="C52" s="82" t="s">
        <v>103</v>
      </c>
      <c r="D52" s="101">
        <v>44091</v>
      </c>
      <c r="E52" s="99">
        <v>120</v>
      </c>
      <c r="F52" s="92">
        <f>SUM(E52)*3</f>
        <v>360</v>
      </c>
      <c r="G52" s="102">
        <v>97.93</v>
      </c>
      <c r="H52" s="13">
        <f t="shared" si="5"/>
        <v>35.254800000000003</v>
      </c>
      <c r="I52" s="13">
        <f>E52*G52</f>
        <v>11751.6</v>
      </c>
      <c r="J52" s="24"/>
      <c r="L52" s="19"/>
      <c r="M52" s="20"/>
      <c r="N52" s="21"/>
    </row>
    <row r="53" spans="1:22" ht="15.75" customHeight="1">
      <c r="A53" s="137" t="s">
        <v>131</v>
      </c>
      <c r="B53" s="138"/>
      <c r="C53" s="138"/>
      <c r="D53" s="138"/>
      <c r="E53" s="138"/>
      <c r="F53" s="138"/>
      <c r="G53" s="138"/>
      <c r="H53" s="138"/>
      <c r="I53" s="139"/>
      <c r="J53" s="24"/>
      <c r="L53" s="19"/>
      <c r="M53" s="20"/>
      <c r="N53" s="21"/>
    </row>
    <row r="54" spans="1:22" ht="15.75" hidden="1" customHeight="1">
      <c r="A54" s="30"/>
      <c r="B54" s="98" t="s">
        <v>42</v>
      </c>
      <c r="C54" s="16"/>
      <c r="D54" s="14"/>
      <c r="E54" s="18"/>
      <c r="F54" s="13"/>
      <c r="G54" s="13"/>
      <c r="H54" s="13"/>
      <c r="I54" s="13"/>
      <c r="J54" s="24"/>
      <c r="L54" s="19"/>
    </row>
    <row r="55" spans="1:22" ht="31.5" hidden="1" customHeight="1">
      <c r="A55" s="30">
        <v>20</v>
      </c>
      <c r="B55" s="14" t="s">
        <v>136</v>
      </c>
      <c r="C55" s="16" t="s">
        <v>82</v>
      </c>
      <c r="D55" s="14" t="s">
        <v>104</v>
      </c>
      <c r="E55" s="18">
        <v>66</v>
      </c>
      <c r="F55" s="13">
        <f>SUM(E55*6/100)</f>
        <v>3.96</v>
      </c>
      <c r="G55" s="13">
        <v>1547.28</v>
      </c>
      <c r="H55" s="13">
        <f>SUM(F55*G55/1000)</f>
        <v>6.1272288000000001</v>
      </c>
      <c r="I55" s="13">
        <f>F55/6*G55</f>
        <v>1021.2048</v>
      </c>
    </row>
    <row r="56" spans="1:22" ht="15.75" customHeight="1">
      <c r="A56" s="30"/>
      <c r="B56" s="98" t="s">
        <v>43</v>
      </c>
      <c r="C56" s="16"/>
      <c r="D56" s="14"/>
      <c r="E56" s="18"/>
      <c r="F56" s="13"/>
      <c r="G56" s="13"/>
      <c r="H56" s="13"/>
      <c r="I56" s="13"/>
    </row>
    <row r="57" spans="1:22" ht="18" hidden="1" customHeight="1">
      <c r="A57" s="30">
        <v>19</v>
      </c>
      <c r="B57" s="14" t="s">
        <v>116</v>
      </c>
      <c r="C57" s="16" t="s">
        <v>51</v>
      </c>
      <c r="D57" s="14" t="s">
        <v>52</v>
      </c>
      <c r="E57" s="18">
        <v>1387</v>
      </c>
      <c r="F57" s="13">
        <f>E57/100</f>
        <v>13.87</v>
      </c>
      <c r="G57" s="13">
        <v>793.61</v>
      </c>
      <c r="H57" s="13">
        <f>F57*G57/1000</f>
        <v>11.007370699999999</v>
      </c>
      <c r="I57" s="13">
        <f>F57/4*G57</f>
        <v>2751.8426749999999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>
        <v>20</v>
      </c>
      <c r="B58" s="14" t="s">
        <v>117</v>
      </c>
      <c r="C58" s="16" t="s">
        <v>25</v>
      </c>
      <c r="D58" s="14" t="s">
        <v>167</v>
      </c>
      <c r="E58" s="18">
        <v>286.8</v>
      </c>
      <c r="F58" s="13">
        <v>2400</v>
      </c>
      <c r="G58" s="13">
        <v>1.4</v>
      </c>
      <c r="H58" s="13">
        <f>F58*G58/1000</f>
        <v>3.36</v>
      </c>
      <c r="I58" s="13">
        <f>F58/12*G58</f>
        <v>280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98" t="s">
        <v>124</v>
      </c>
      <c r="C59" s="16"/>
      <c r="D59" s="14"/>
      <c r="E59" s="18"/>
      <c r="F59" s="13"/>
      <c r="G59" s="13"/>
      <c r="H59" s="13"/>
      <c r="I59" s="13"/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hidden="1" customHeight="1">
      <c r="A60" s="30"/>
      <c r="B60" s="14" t="s">
        <v>125</v>
      </c>
      <c r="C60" s="16" t="s">
        <v>103</v>
      </c>
      <c r="D60" s="14" t="s">
        <v>52</v>
      </c>
      <c r="E60" s="18">
        <v>4</v>
      </c>
      <c r="F60" s="13">
        <v>4</v>
      </c>
      <c r="G60" s="13">
        <v>237.75</v>
      </c>
      <c r="H60" s="13">
        <f t="shared" ref="H60" si="7">F60*G60/1000</f>
        <v>0.95099999999999996</v>
      </c>
      <c r="I60" s="13">
        <v>0</v>
      </c>
      <c r="J60" s="5"/>
      <c r="K60" s="5"/>
      <c r="L60" s="5"/>
      <c r="M60" s="5"/>
      <c r="N60" s="5"/>
      <c r="O60" s="5"/>
      <c r="P60" s="5"/>
      <c r="Q60" s="5"/>
      <c r="R60" s="121"/>
      <c r="S60" s="121"/>
      <c r="T60" s="121"/>
      <c r="U60" s="121"/>
    </row>
    <row r="61" spans="1:22" ht="15.75" customHeight="1">
      <c r="A61" s="30"/>
      <c r="B61" s="98" t="s">
        <v>44</v>
      </c>
      <c r="C61" s="16"/>
      <c r="D61" s="14"/>
      <c r="E61" s="18"/>
      <c r="F61" s="13"/>
      <c r="G61" s="13"/>
      <c r="H61" s="13" t="s">
        <v>134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8.75" customHeight="1">
      <c r="A62" s="30">
        <v>21</v>
      </c>
      <c r="B62" s="103" t="s">
        <v>45</v>
      </c>
      <c r="C62" s="94" t="s">
        <v>103</v>
      </c>
      <c r="D62" s="73" t="s">
        <v>169</v>
      </c>
      <c r="E62" s="17">
        <v>24</v>
      </c>
      <c r="F62" s="92">
        <f>E62</f>
        <v>24</v>
      </c>
      <c r="G62" s="34">
        <v>331.57</v>
      </c>
      <c r="H62" s="13">
        <f t="shared" ref="H62:H79" si="8">SUM(F62*G62/1000)</f>
        <v>7.9576799999999999</v>
      </c>
      <c r="I62" s="13">
        <f>G62*4</f>
        <v>1326.28</v>
      </c>
    </row>
    <row r="63" spans="1:22" ht="11.25" hidden="1" customHeight="1">
      <c r="A63" s="30"/>
      <c r="B63" s="103" t="s">
        <v>46</v>
      </c>
      <c r="C63" s="94" t="s">
        <v>103</v>
      </c>
      <c r="D63" s="73" t="s">
        <v>239</v>
      </c>
      <c r="E63" s="17">
        <v>20</v>
      </c>
      <c r="F63" s="92">
        <f>E63</f>
        <v>20</v>
      </c>
      <c r="G63" s="34">
        <v>113.69</v>
      </c>
      <c r="H63" s="13">
        <f t="shared" si="8"/>
        <v>2.2738</v>
      </c>
      <c r="I63" s="13">
        <v>0</v>
      </c>
    </row>
    <row r="64" spans="1:22" ht="15.75" hidden="1" customHeight="1">
      <c r="A64" s="30"/>
      <c r="B64" s="103" t="s">
        <v>47</v>
      </c>
      <c r="C64" s="104" t="s">
        <v>105</v>
      </c>
      <c r="D64" s="73" t="s">
        <v>52</v>
      </c>
      <c r="E64" s="99">
        <v>19138</v>
      </c>
      <c r="F64" s="102">
        <f>SUM(E64/100)</f>
        <v>191.38</v>
      </c>
      <c r="G64" s="34">
        <v>316.3</v>
      </c>
      <c r="H64" s="13">
        <f t="shared" si="8"/>
        <v>60.533493999999997</v>
      </c>
      <c r="I64" s="13">
        <f>F64*G64</f>
        <v>60533.493999999999</v>
      </c>
    </row>
    <row r="65" spans="1:9" ht="16.5" hidden="1" customHeight="1">
      <c r="A65" s="30"/>
      <c r="B65" s="103" t="s">
        <v>48</v>
      </c>
      <c r="C65" s="94" t="s">
        <v>106</v>
      </c>
      <c r="D65" s="73"/>
      <c r="E65" s="99">
        <v>19138</v>
      </c>
      <c r="F65" s="34">
        <f>SUM(E65/1000)</f>
        <v>19.138000000000002</v>
      </c>
      <c r="G65" s="34">
        <v>246.31</v>
      </c>
      <c r="H65" s="13">
        <f t="shared" si="8"/>
        <v>4.7138807800000002</v>
      </c>
      <c r="I65" s="13">
        <f t="shared" ref="I65:I69" si="9">F65*G65</f>
        <v>4713.8807800000004</v>
      </c>
    </row>
    <row r="66" spans="1:9" ht="14.25" hidden="1" customHeight="1">
      <c r="A66" s="30"/>
      <c r="B66" s="103" t="s">
        <v>49</v>
      </c>
      <c r="C66" s="94" t="s">
        <v>74</v>
      </c>
      <c r="D66" s="73" t="s">
        <v>52</v>
      </c>
      <c r="E66" s="99">
        <v>1386.8</v>
      </c>
      <c r="F66" s="34">
        <f>SUM(E66/100)</f>
        <v>13.868</v>
      </c>
      <c r="G66" s="34">
        <v>3093.06</v>
      </c>
      <c r="H66" s="13">
        <f t="shared" si="8"/>
        <v>42.894556080000001</v>
      </c>
      <c r="I66" s="13">
        <f t="shared" si="9"/>
        <v>42894.556080000002</v>
      </c>
    </row>
    <row r="67" spans="1:9" ht="16.5" hidden="1" customHeight="1">
      <c r="A67" s="30"/>
      <c r="B67" s="105" t="s">
        <v>107</v>
      </c>
      <c r="C67" s="94" t="s">
        <v>32</v>
      </c>
      <c r="D67" s="73"/>
      <c r="E67" s="99">
        <v>11.8</v>
      </c>
      <c r="F67" s="34">
        <f>SUM(E67)</f>
        <v>11.8</v>
      </c>
      <c r="G67" s="34">
        <v>52.25</v>
      </c>
      <c r="H67" s="13">
        <f t="shared" si="8"/>
        <v>0.61655000000000004</v>
      </c>
      <c r="I67" s="13">
        <f t="shared" si="9"/>
        <v>616.55000000000007</v>
      </c>
    </row>
    <row r="68" spans="1:9" ht="15" hidden="1" customHeight="1">
      <c r="A68" s="30"/>
      <c r="B68" s="105" t="s">
        <v>108</v>
      </c>
      <c r="C68" s="94" t="s">
        <v>32</v>
      </c>
      <c r="D68" s="73"/>
      <c r="E68" s="99">
        <v>11.8</v>
      </c>
      <c r="F68" s="34">
        <f>SUM(E68)</f>
        <v>11.8</v>
      </c>
      <c r="G68" s="34">
        <v>56.35</v>
      </c>
      <c r="H68" s="13">
        <f t="shared" si="8"/>
        <v>0.66493000000000002</v>
      </c>
      <c r="I68" s="13">
        <f t="shared" si="9"/>
        <v>664.93000000000006</v>
      </c>
    </row>
    <row r="69" spans="1:9" ht="15.75" customHeight="1">
      <c r="A69" s="30">
        <v>22</v>
      </c>
      <c r="B69" s="73" t="s">
        <v>55</v>
      </c>
      <c r="C69" s="94" t="s">
        <v>56</v>
      </c>
      <c r="D69" s="73" t="s">
        <v>167</v>
      </c>
      <c r="E69" s="17">
        <v>5</v>
      </c>
      <c r="F69" s="77">
        <f>E69</f>
        <v>5</v>
      </c>
      <c r="G69" s="34">
        <v>74.37</v>
      </c>
      <c r="H69" s="13">
        <f t="shared" si="8"/>
        <v>0.37185000000000001</v>
      </c>
      <c r="I69" s="13">
        <f t="shared" si="9"/>
        <v>371.85</v>
      </c>
    </row>
    <row r="70" spans="1:9" ht="15.75" customHeight="1">
      <c r="A70" s="30"/>
      <c r="B70" s="106" t="s">
        <v>242</v>
      </c>
      <c r="C70" s="94"/>
      <c r="D70" s="73"/>
      <c r="E70" s="17"/>
      <c r="F70" s="34"/>
      <c r="G70" s="34"/>
      <c r="H70" s="13"/>
      <c r="I70" s="13"/>
    </row>
    <row r="71" spans="1:9" ht="29.25" customHeight="1">
      <c r="A71" s="30">
        <v>23</v>
      </c>
      <c r="B71" s="73" t="s">
        <v>243</v>
      </c>
      <c r="C71" s="89" t="s">
        <v>244</v>
      </c>
      <c r="D71" s="73"/>
      <c r="E71" s="17">
        <v>5367.6</v>
      </c>
      <c r="F71" s="78">
        <f>E71*12</f>
        <v>64411.200000000004</v>
      </c>
      <c r="G71" s="34">
        <v>2.6</v>
      </c>
      <c r="H71" s="13"/>
      <c r="I71" s="13">
        <f>G71*F71/12</f>
        <v>13955.760000000002</v>
      </c>
    </row>
    <row r="72" spans="1:9" ht="18.75" customHeight="1">
      <c r="A72" s="30"/>
      <c r="B72" s="98" t="s">
        <v>69</v>
      </c>
      <c r="C72" s="16"/>
      <c r="D72" s="14"/>
      <c r="E72" s="18"/>
      <c r="F72" s="13"/>
      <c r="G72" s="13"/>
      <c r="H72" s="13" t="s">
        <v>134</v>
      </c>
      <c r="I72" s="13"/>
    </row>
    <row r="73" spans="1:9" ht="17.25" hidden="1" customHeight="1">
      <c r="A73" s="30">
        <v>24</v>
      </c>
      <c r="B73" s="14" t="s">
        <v>70</v>
      </c>
      <c r="C73" s="16" t="s">
        <v>72</v>
      </c>
      <c r="D73" s="14"/>
      <c r="E73" s="18">
        <v>4</v>
      </c>
      <c r="F73" s="13">
        <v>0.4</v>
      </c>
      <c r="G73" s="13">
        <v>501.62</v>
      </c>
      <c r="H73" s="13">
        <f t="shared" si="8"/>
        <v>0.20064800000000002</v>
      </c>
      <c r="I73" s="13">
        <f>G73*0.1</f>
        <v>50.162000000000006</v>
      </c>
    </row>
    <row r="74" spans="1:9" ht="16.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14.25" hidden="1" customHeight="1">
      <c r="A75" s="30"/>
      <c r="B75" s="14" t="s">
        <v>110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14.25" customHeight="1">
      <c r="A76" s="30">
        <v>24</v>
      </c>
      <c r="B76" s="73" t="s">
        <v>240</v>
      </c>
      <c r="C76" s="94" t="s">
        <v>30</v>
      </c>
      <c r="D76" s="73" t="s">
        <v>172</v>
      </c>
      <c r="E76" s="17">
        <v>2</v>
      </c>
      <c r="F76" s="34">
        <f>E76*12</f>
        <v>24</v>
      </c>
      <c r="G76" s="34">
        <v>425</v>
      </c>
      <c r="H76" s="13"/>
      <c r="I76" s="13">
        <f>G76*F76/12</f>
        <v>850</v>
      </c>
    </row>
    <row r="77" spans="1:9" ht="14.25" customHeight="1">
      <c r="A77" s="30">
        <v>25</v>
      </c>
      <c r="B77" s="73" t="s">
        <v>241</v>
      </c>
      <c r="C77" s="94" t="s">
        <v>30</v>
      </c>
      <c r="D77" s="73" t="s">
        <v>172</v>
      </c>
      <c r="E77" s="17">
        <v>1</v>
      </c>
      <c r="F77" s="34">
        <f>E77*12</f>
        <v>12</v>
      </c>
      <c r="G77" s="34">
        <v>1829</v>
      </c>
      <c r="H77" s="13"/>
      <c r="I77" s="13">
        <f>G77*F77/12</f>
        <v>1829</v>
      </c>
    </row>
    <row r="78" spans="1:9" ht="20.25" hidden="1" customHeight="1">
      <c r="A78" s="30"/>
      <c r="B78" s="58" t="s">
        <v>73</v>
      </c>
      <c r="C78" s="16"/>
      <c r="D78" s="14"/>
      <c r="E78" s="18"/>
      <c r="F78" s="13"/>
      <c r="G78" s="13" t="s">
        <v>134</v>
      </c>
      <c r="H78" s="13" t="s">
        <v>134</v>
      </c>
      <c r="I78" s="13"/>
    </row>
    <row r="79" spans="1:9" ht="20.25" hidden="1" customHeight="1">
      <c r="A79" s="30"/>
      <c r="B79" s="42" t="s">
        <v>120</v>
      </c>
      <c r="C79" s="16" t="s">
        <v>74</v>
      </c>
      <c r="D79" s="14"/>
      <c r="E79" s="18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9" ht="14.25" hidden="1" customHeight="1">
      <c r="A80" s="30"/>
      <c r="B80" s="98" t="s">
        <v>88</v>
      </c>
      <c r="C80" s="64"/>
      <c r="D80" s="64"/>
      <c r="E80" s="64"/>
      <c r="F80" s="64"/>
      <c r="G80" s="59"/>
      <c r="H80" s="59">
        <f>SUM(H55:H79)</f>
        <v>143.16043235999999</v>
      </c>
      <c r="I80" s="59"/>
    </row>
    <row r="81" spans="1:9" ht="12.75" hidden="1" customHeight="1">
      <c r="A81" s="30">
        <v>22</v>
      </c>
      <c r="B81" s="14" t="s">
        <v>109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f>G81</f>
        <v>13441.4</v>
      </c>
    </row>
    <row r="82" spans="1:9" ht="15.75" customHeight="1">
      <c r="A82" s="122" t="s">
        <v>132</v>
      </c>
      <c r="B82" s="123"/>
      <c r="C82" s="123"/>
      <c r="D82" s="123"/>
      <c r="E82" s="123"/>
      <c r="F82" s="123"/>
      <c r="G82" s="123"/>
      <c r="H82" s="123"/>
      <c r="I82" s="124"/>
    </row>
    <row r="83" spans="1:9" ht="15.75" customHeight="1">
      <c r="A83" s="30">
        <v>26</v>
      </c>
      <c r="B83" s="73" t="s">
        <v>111</v>
      </c>
      <c r="C83" s="94" t="s">
        <v>53</v>
      </c>
      <c r="D83" s="107"/>
      <c r="E83" s="34">
        <v>5367.6</v>
      </c>
      <c r="F83" s="34">
        <f>SUM(E83*12)</f>
        <v>64411.200000000004</v>
      </c>
      <c r="G83" s="34">
        <v>3.5</v>
      </c>
      <c r="H83" s="13">
        <f>SUM(F83*G83/1000)</f>
        <v>225.4392</v>
      </c>
      <c r="I83" s="13">
        <f>F83/12*G83</f>
        <v>18786.600000000002</v>
      </c>
    </row>
    <row r="84" spans="1:9" ht="31.5" customHeight="1">
      <c r="A84" s="30">
        <v>27</v>
      </c>
      <c r="B84" s="85" t="s">
        <v>245</v>
      </c>
      <c r="C84" s="86" t="s">
        <v>25</v>
      </c>
      <c r="D84" s="108"/>
      <c r="E84" s="109">
        <f>E83</f>
        <v>5367.6</v>
      </c>
      <c r="F84" s="95">
        <f>E84*12</f>
        <v>64411.200000000004</v>
      </c>
      <c r="G84" s="95">
        <v>3.24</v>
      </c>
      <c r="H84" s="13">
        <f>F84*G84/1000</f>
        <v>208.69228800000002</v>
      </c>
      <c r="I84" s="13">
        <f>F84/12*G84</f>
        <v>17391.024000000001</v>
      </c>
    </row>
    <row r="85" spans="1:9" ht="31.5" customHeight="1">
      <c r="A85" s="30">
        <v>28</v>
      </c>
      <c r="B85" s="73" t="s">
        <v>246</v>
      </c>
      <c r="C85" s="94" t="s">
        <v>25</v>
      </c>
      <c r="D85" s="71"/>
      <c r="E85" s="110">
        <v>5367.6</v>
      </c>
      <c r="F85" s="34">
        <f>E85*1</f>
        <v>5367.6</v>
      </c>
      <c r="G85" s="34">
        <v>3.22</v>
      </c>
      <c r="H85" s="13"/>
      <c r="I85" s="13">
        <f>G85*F85/1</f>
        <v>17283.672000000002</v>
      </c>
    </row>
    <row r="86" spans="1:9" ht="15.75" customHeight="1">
      <c r="A86" s="30"/>
      <c r="B86" s="35" t="s">
        <v>77</v>
      </c>
      <c r="C86" s="58"/>
      <c r="D86" s="62"/>
      <c r="E86" s="59"/>
      <c r="F86" s="59"/>
      <c r="G86" s="59"/>
      <c r="H86" s="59">
        <f>H85</f>
        <v>0</v>
      </c>
      <c r="I86" s="59">
        <f>I85+I84+I83+I77+I76+I71+I69+I62+I58+I52+I51+I50+I49+I48+I47+I46+I45+I44+I43+I31+I30+I27+I24+I21+I20+I18+I17+I16</f>
        <v>133898.62345093334</v>
      </c>
    </row>
    <row r="87" spans="1:9" ht="15.75" customHeight="1">
      <c r="A87" s="133" t="s">
        <v>58</v>
      </c>
      <c r="B87" s="134"/>
      <c r="C87" s="134"/>
      <c r="D87" s="134"/>
      <c r="E87" s="134"/>
      <c r="F87" s="134"/>
      <c r="G87" s="134"/>
      <c r="H87" s="134"/>
      <c r="I87" s="135"/>
    </row>
    <row r="88" spans="1:9" ht="15.75" customHeight="1">
      <c r="A88" s="30"/>
      <c r="B88" s="40" t="s">
        <v>50</v>
      </c>
      <c r="C88" s="36"/>
      <c r="D88" s="43"/>
      <c r="E88" s="36">
        <v>1</v>
      </c>
      <c r="F88" s="36"/>
      <c r="G88" s="36"/>
      <c r="H88" s="36"/>
      <c r="I88" s="32">
        <v>0</v>
      </c>
    </row>
    <row r="89" spans="1:9" ht="15.75" customHeight="1">
      <c r="A89" s="30"/>
      <c r="B89" s="42" t="s">
        <v>76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149</v>
      </c>
      <c r="C90" s="33"/>
      <c r="D90" s="33"/>
      <c r="E90" s="33"/>
      <c r="F90" s="33"/>
      <c r="G90" s="33"/>
      <c r="H90" s="33"/>
      <c r="I90" s="39">
        <f>I86+I88</f>
        <v>133898.62345093334</v>
      </c>
    </row>
    <row r="91" spans="1:9" ht="15.75" customHeight="1">
      <c r="A91" s="125" t="s">
        <v>247</v>
      </c>
      <c r="B91" s="125"/>
      <c r="C91" s="125"/>
      <c r="D91" s="125"/>
      <c r="E91" s="125"/>
      <c r="F91" s="125"/>
      <c r="G91" s="125"/>
      <c r="H91" s="125"/>
      <c r="I91" s="125"/>
    </row>
    <row r="92" spans="1:9" ht="15.75">
      <c r="A92" s="53"/>
      <c r="B92" s="126" t="s">
        <v>248</v>
      </c>
      <c r="C92" s="126"/>
      <c r="D92" s="126"/>
      <c r="E92" s="126"/>
      <c r="F92" s="126"/>
      <c r="G92" s="126"/>
      <c r="H92" s="57"/>
      <c r="I92" s="3"/>
    </row>
    <row r="93" spans="1:9" ht="15.75" customHeight="1">
      <c r="A93" s="49"/>
      <c r="B93" s="127" t="s">
        <v>6</v>
      </c>
      <c r="C93" s="127"/>
      <c r="D93" s="127"/>
      <c r="E93" s="127"/>
      <c r="F93" s="127"/>
      <c r="G93" s="127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8" t="s">
        <v>7</v>
      </c>
      <c r="B95" s="128"/>
      <c r="C95" s="128"/>
      <c r="D95" s="128"/>
      <c r="E95" s="128"/>
      <c r="F95" s="128"/>
      <c r="G95" s="128"/>
      <c r="H95" s="128"/>
      <c r="I95" s="128"/>
    </row>
    <row r="96" spans="1:9" ht="15.75" customHeight="1">
      <c r="A96" s="128" t="s">
        <v>8</v>
      </c>
      <c r="B96" s="128"/>
      <c r="C96" s="128"/>
      <c r="D96" s="128"/>
      <c r="E96" s="128"/>
      <c r="F96" s="128"/>
      <c r="G96" s="128"/>
      <c r="H96" s="128"/>
      <c r="I96" s="128"/>
    </row>
    <row r="97" spans="1:9" ht="15.75">
      <c r="A97" s="129" t="s">
        <v>59</v>
      </c>
      <c r="B97" s="129"/>
      <c r="C97" s="129"/>
      <c r="D97" s="129"/>
      <c r="E97" s="129"/>
      <c r="F97" s="129"/>
      <c r="G97" s="129"/>
      <c r="H97" s="129"/>
      <c r="I97" s="129"/>
    </row>
    <row r="98" spans="1:9" ht="15.75" customHeight="1">
      <c r="A98" s="11"/>
    </row>
    <row r="99" spans="1:9" ht="15.75" customHeight="1">
      <c r="A99" s="130" t="s">
        <v>9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4"/>
    </row>
    <row r="101" spans="1:9" ht="15.75">
      <c r="B101" s="50" t="s">
        <v>10</v>
      </c>
      <c r="C101" s="131" t="s">
        <v>127</v>
      </c>
      <c r="D101" s="131"/>
      <c r="E101" s="131"/>
      <c r="F101" s="55"/>
      <c r="I101" s="48"/>
    </row>
    <row r="102" spans="1:9" ht="15.75" customHeight="1">
      <c r="A102" s="49"/>
      <c r="C102" s="127" t="s">
        <v>11</v>
      </c>
      <c r="D102" s="127"/>
      <c r="E102" s="127"/>
      <c r="F102" s="25"/>
      <c r="I102" s="47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50" t="s">
        <v>13</v>
      </c>
      <c r="C104" s="132"/>
      <c r="D104" s="132"/>
      <c r="E104" s="132"/>
      <c r="F104" s="56"/>
      <c r="I104" s="48"/>
    </row>
    <row r="105" spans="1:9" ht="15.75" customHeight="1">
      <c r="A105" s="49"/>
      <c r="C105" s="121" t="s">
        <v>11</v>
      </c>
      <c r="D105" s="121"/>
      <c r="E105" s="121"/>
      <c r="F105" s="49"/>
      <c r="I105" s="47" t="s">
        <v>12</v>
      </c>
    </row>
    <row r="106" spans="1:9" ht="15.75">
      <c r="A106" s="4" t="s">
        <v>14</v>
      </c>
    </row>
    <row r="107" spans="1:9" ht="15.75" customHeight="1">
      <c r="A107" s="119" t="s">
        <v>15</v>
      </c>
      <c r="B107" s="119"/>
      <c r="C107" s="119"/>
      <c r="D107" s="119"/>
      <c r="E107" s="119"/>
      <c r="F107" s="119"/>
      <c r="G107" s="119"/>
      <c r="H107" s="119"/>
      <c r="I107" s="119"/>
    </row>
    <row r="108" spans="1:9" ht="45" customHeight="1">
      <c r="A108" s="120" t="s">
        <v>16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30" customHeight="1">
      <c r="A109" s="120" t="s">
        <v>17</v>
      </c>
      <c r="B109" s="120"/>
      <c r="C109" s="120"/>
      <c r="D109" s="120"/>
      <c r="E109" s="120"/>
      <c r="F109" s="120"/>
      <c r="G109" s="120"/>
      <c r="H109" s="120"/>
      <c r="I109" s="120"/>
    </row>
    <row r="110" spans="1:9" ht="30" customHeight="1">
      <c r="A110" s="120" t="s">
        <v>21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15" customHeight="1">
      <c r="A111" s="120" t="s">
        <v>20</v>
      </c>
      <c r="B111" s="120"/>
      <c r="C111" s="120"/>
      <c r="D111" s="120"/>
      <c r="E111" s="120"/>
      <c r="F111" s="120"/>
      <c r="G111" s="120"/>
      <c r="H111" s="120"/>
      <c r="I111" s="120"/>
    </row>
  </sheetData>
  <autoFilter ref="I12:I55"/>
  <mergeCells count="29">
    <mergeCell ref="R60:U60"/>
    <mergeCell ref="A82:I82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2:I42"/>
    <mergeCell ref="A53:I53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7"/>
  <sheetViews>
    <sheetView topLeftCell="A84"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146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249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44135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250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81" t="s">
        <v>81</v>
      </c>
      <c r="C16" s="82" t="s">
        <v>82</v>
      </c>
      <c r="D16" s="81" t="s">
        <v>164</v>
      </c>
      <c r="E16" s="99">
        <v>62.28</v>
      </c>
      <c r="F16" s="92">
        <f>SUM(E16*156/100)</f>
        <v>97.156800000000004</v>
      </c>
      <c r="G16" s="92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112</v>
      </c>
      <c r="C17" s="82" t="s">
        <v>82</v>
      </c>
      <c r="D17" s="81" t="s">
        <v>165</v>
      </c>
      <c r="E17" s="99">
        <v>311.42</v>
      </c>
      <c r="F17" s="92">
        <f>SUM(E17*104/100)</f>
        <v>323.8768</v>
      </c>
      <c r="G17" s="92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113</v>
      </c>
      <c r="C18" s="82" t="s">
        <v>82</v>
      </c>
      <c r="D18" s="81" t="s">
        <v>166</v>
      </c>
      <c r="E18" s="99">
        <v>373.7</v>
      </c>
      <c r="F18" s="92">
        <f>SUM(E18*18/100)</f>
        <v>67.265999999999991</v>
      </c>
      <c r="G18" s="92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81" t="s">
        <v>89</v>
      </c>
      <c r="C19" s="82" t="s">
        <v>90</v>
      </c>
      <c r="D19" s="81" t="s">
        <v>91</v>
      </c>
      <c r="E19" s="99">
        <v>38.4</v>
      </c>
      <c r="F19" s="92">
        <f>SUM(E19/10)</f>
        <v>3.84</v>
      </c>
      <c r="G19" s="92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92</v>
      </c>
      <c r="C20" s="82" t="s">
        <v>82</v>
      </c>
      <c r="D20" s="81" t="s">
        <v>172</v>
      </c>
      <c r="E20" s="99">
        <v>35.04</v>
      </c>
      <c r="F20" s="92">
        <f>SUM(E20*12/100)</f>
        <v>4.2048000000000005</v>
      </c>
      <c r="G20" s="92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93</v>
      </c>
      <c r="C21" s="82" t="s">
        <v>82</v>
      </c>
      <c r="D21" s="81" t="s">
        <v>172</v>
      </c>
      <c r="E21" s="99">
        <v>9.08</v>
      </c>
      <c r="F21" s="92">
        <f>SUM(E21*12/100)</f>
        <v>1.0896000000000001</v>
      </c>
      <c r="G21" s="92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1" t="s">
        <v>94</v>
      </c>
      <c r="C22" s="82" t="s">
        <v>51</v>
      </c>
      <c r="D22" s="81" t="s">
        <v>91</v>
      </c>
      <c r="E22" s="99">
        <v>629</v>
      </c>
      <c r="F22" s="92">
        <f>SUM(E22/100)</f>
        <v>6.29</v>
      </c>
      <c r="G22" s="92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95</v>
      </c>
      <c r="C23" s="82" t="s">
        <v>51</v>
      </c>
      <c r="D23" s="81" t="s">
        <v>91</v>
      </c>
      <c r="E23" s="100">
        <v>58</v>
      </c>
      <c r="F23" s="92">
        <f>SUM(E23/100)</f>
        <v>0.57999999999999996</v>
      </c>
      <c r="G23" s="92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1" t="s">
        <v>96</v>
      </c>
      <c r="C24" s="82" t="s">
        <v>51</v>
      </c>
      <c r="D24" s="81" t="s">
        <v>172</v>
      </c>
      <c r="E24" s="99">
        <v>24</v>
      </c>
      <c r="F24" s="92">
        <f>E24*12/100</f>
        <v>2.88</v>
      </c>
      <c r="G24" s="92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1" t="s">
        <v>97</v>
      </c>
      <c r="C25" s="82" t="s">
        <v>51</v>
      </c>
      <c r="D25" s="81" t="s">
        <v>52</v>
      </c>
      <c r="E25" s="99">
        <v>17</v>
      </c>
      <c r="F25" s="92">
        <f>SUM(E25/100)</f>
        <v>0.17</v>
      </c>
      <c r="G25" s="92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119</v>
      </c>
      <c r="C26" s="82" t="s">
        <v>51</v>
      </c>
      <c r="D26" s="81" t="s">
        <v>52</v>
      </c>
      <c r="E26" s="99">
        <v>24</v>
      </c>
      <c r="F26" s="92">
        <v>0.24</v>
      </c>
      <c r="G26" s="92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customHeight="1">
      <c r="A28" s="136" t="s">
        <v>80</v>
      </c>
      <c r="B28" s="136"/>
      <c r="C28" s="136"/>
      <c r="D28" s="136"/>
      <c r="E28" s="136"/>
      <c r="F28" s="136"/>
      <c r="G28" s="136"/>
      <c r="H28" s="136"/>
      <c r="I28" s="136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8</v>
      </c>
      <c r="B30" s="81" t="s">
        <v>115</v>
      </c>
      <c r="C30" s="82" t="s">
        <v>84</v>
      </c>
      <c r="D30" s="81" t="s">
        <v>164</v>
      </c>
      <c r="E30" s="92">
        <v>182</v>
      </c>
      <c r="F30" s="92">
        <f>SUM(E30*78/1000)</f>
        <v>14.196</v>
      </c>
      <c r="G30" s="92">
        <v>385.6</v>
      </c>
      <c r="H30" s="13">
        <f t="shared" ref="H30:H31" si="1">SUM(F30*G30/1000)</f>
        <v>5.4739776000000004</v>
      </c>
      <c r="I30" s="13">
        <f t="shared" ref="I30" si="2">F30/6*G30</f>
        <v>912.32960000000014</v>
      </c>
      <c r="J30" s="23"/>
      <c r="K30" s="8"/>
      <c r="L30" s="8"/>
      <c r="M30" s="8"/>
    </row>
    <row r="31" spans="1:13" ht="20.25" customHeight="1">
      <c r="A31" s="30">
        <v>9</v>
      </c>
      <c r="B31" s="81" t="s">
        <v>114</v>
      </c>
      <c r="C31" s="82" t="s">
        <v>39</v>
      </c>
      <c r="D31" s="81" t="s">
        <v>170</v>
      </c>
      <c r="E31" s="92">
        <v>8</v>
      </c>
      <c r="F31" s="92">
        <f>E31*155/100</f>
        <v>12.4</v>
      </c>
      <c r="G31" s="92">
        <v>1941.17</v>
      </c>
      <c r="H31" s="13">
        <f t="shared" si="1"/>
        <v>24.070508</v>
      </c>
      <c r="I31" s="13">
        <f>F31*G31/6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84</v>
      </c>
      <c r="D32" s="14" t="s">
        <v>167</v>
      </c>
      <c r="E32" s="13">
        <v>748</v>
      </c>
      <c r="F32" s="13">
        <f>SUM(E32/1000)</f>
        <v>0.748</v>
      </c>
      <c r="G32" s="13">
        <v>3020.33</v>
      </c>
      <c r="H32" s="13">
        <f t="shared" ref="H32" si="3">SUM(F32*G32/1000)</f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10</v>
      </c>
      <c r="B33" s="14" t="s">
        <v>114</v>
      </c>
      <c r="C33" s="16" t="s">
        <v>39</v>
      </c>
      <c r="D33" s="14" t="s">
        <v>170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ref="I33" si="4">F33/6*G33</f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ref="H34:H36" si="5">SUM(F34*G34/1000)</f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5"/>
        <v>1.1363299999999998</v>
      </c>
      <c r="I35" s="13">
        <v>0</v>
      </c>
      <c r="J35" s="24"/>
    </row>
    <row r="36" spans="1:14" ht="15.75" hidden="1" customHeight="1">
      <c r="A36" s="30"/>
      <c r="B36" s="14" t="s">
        <v>121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5"/>
        <v>1.216539644</v>
      </c>
      <c r="I36" s="13">
        <v>0</v>
      </c>
      <c r="J36" s="24"/>
    </row>
    <row r="37" spans="1:14" ht="15.75" hidden="1" customHeight="1">
      <c r="A37" s="30"/>
      <c r="B37" s="51" t="s">
        <v>5</v>
      </c>
      <c r="C37" s="16"/>
      <c r="D37" s="14"/>
      <c r="E37" s="18"/>
      <c r="F37" s="13"/>
      <c r="G37" s="13"/>
      <c r="H37" s="13" t="s">
        <v>134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6">SUM(F38*G38/1000)</f>
        <v>9.1633200000000006</v>
      </c>
      <c r="I38" s="13">
        <f t="shared" ref="I38:I43" si="7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102</v>
      </c>
      <c r="C39" s="16" t="s">
        <v>29</v>
      </c>
      <c r="D39" s="14" t="s">
        <v>122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7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83</v>
      </c>
      <c r="E40" s="13">
        <v>160</v>
      </c>
      <c r="F40" s="13">
        <f>SUM(E40*155/1000)</f>
        <v>24.8</v>
      </c>
      <c r="G40" s="13">
        <v>350.75</v>
      </c>
      <c r="H40" s="13">
        <f t="shared" si="6"/>
        <v>8.6986000000000008</v>
      </c>
      <c r="I40" s="13">
        <f t="shared" si="7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79</v>
      </c>
      <c r="C41" s="16" t="s">
        <v>84</v>
      </c>
      <c r="D41" s="14" t="s">
        <v>123</v>
      </c>
      <c r="E41" s="13">
        <v>76</v>
      </c>
      <c r="F41" s="13">
        <f>SUM(E41*50/1000)</f>
        <v>3.8</v>
      </c>
      <c r="G41" s="13">
        <v>5803.28</v>
      </c>
      <c r="H41" s="13">
        <f t="shared" si="6"/>
        <v>22.052463999999997</v>
      </c>
      <c r="I41" s="13">
        <f t="shared" si="7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85</v>
      </c>
      <c r="C42" s="16" t="s">
        <v>84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6"/>
        <v>1.466154</v>
      </c>
      <c r="I42" s="13">
        <f t="shared" si="7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6"/>
        <v>0.71820000000000006</v>
      </c>
      <c r="I43" s="13">
        <f t="shared" si="7"/>
        <v>119.69999999999999</v>
      </c>
      <c r="J43" s="24"/>
      <c r="L43" s="19"/>
      <c r="M43" s="20"/>
      <c r="N43" s="21"/>
    </row>
    <row r="44" spans="1:14" ht="23.25" hidden="1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24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8">SUM(F45*G45/1000)</f>
        <v>1.7809421560000003</v>
      </c>
      <c r="I45" s="13">
        <v>0</v>
      </c>
      <c r="J45" s="24"/>
      <c r="L45" s="19"/>
      <c r="M45" s="20"/>
      <c r="N45" s="21"/>
    </row>
    <row r="46" spans="1:14" ht="30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8"/>
        <v>6.0265920000000001E-2</v>
      </c>
      <c r="I46" s="13">
        <v>0</v>
      </c>
      <c r="J46" s="24"/>
      <c r="L46" s="19"/>
      <c r="M46" s="20"/>
      <c r="N46" s="21"/>
    </row>
    <row r="47" spans="1:14" ht="30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8"/>
        <v>1.0636703087999999</v>
      </c>
      <c r="I47" s="13">
        <v>0</v>
      </c>
      <c r="J47" s="24"/>
      <c r="L47" s="19"/>
      <c r="M47" s="20"/>
      <c r="N47" s="21"/>
    </row>
    <row r="48" spans="1:14" ht="23.2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8"/>
        <v>4.7692122000000001</v>
      </c>
      <c r="I48" s="13">
        <v>0</v>
      </c>
      <c r="J48" s="24"/>
      <c r="L48" s="19"/>
      <c r="M48" s="20"/>
      <c r="N48" s="21"/>
    </row>
    <row r="49" spans="1:22" ht="29.2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27" hidden="1" customHeight="1">
      <c r="A50" s="30">
        <v>15</v>
      </c>
      <c r="B50" s="14" t="s">
        <v>54</v>
      </c>
      <c r="C50" s="16" t="s">
        <v>84</v>
      </c>
      <c r="D50" s="14" t="s">
        <v>137</v>
      </c>
      <c r="E50" s="18">
        <v>1914</v>
      </c>
      <c r="F50" s="13">
        <f>SUM(E50*5/1000)</f>
        <v>9.57</v>
      </c>
      <c r="G50" s="13">
        <v>1213.55</v>
      </c>
      <c r="H50" s="13">
        <f t="shared" si="8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25.5" hidden="1" customHeight="1">
      <c r="A51" s="30">
        <v>16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8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24" hidden="1" customHeight="1">
      <c r="A52" s="30">
        <v>17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22.5" hidden="1" customHeight="1">
      <c r="A53" s="30">
        <v>13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8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23.25" hidden="1" customHeight="1">
      <c r="A54" s="30">
        <v>19</v>
      </c>
      <c r="B54" s="14" t="s">
        <v>40</v>
      </c>
      <c r="C54" s="16" t="s">
        <v>103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8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7" t="s">
        <v>128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51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20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51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10</v>
      </c>
      <c r="B60" s="14" t="s">
        <v>117</v>
      </c>
      <c r="C60" s="16" t="s">
        <v>25</v>
      </c>
      <c r="D60" s="14" t="s">
        <v>167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1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9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5.75" customHeight="1">
      <c r="A63" s="30"/>
      <c r="B63" s="51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11</v>
      </c>
      <c r="B64" s="14" t="s">
        <v>45</v>
      </c>
      <c r="C64" s="16" t="s">
        <v>103</v>
      </c>
      <c r="D64" s="14" t="s">
        <v>171</v>
      </c>
      <c r="E64" s="18">
        <v>10</v>
      </c>
      <c r="F64" s="13">
        <v>10</v>
      </c>
      <c r="G64" s="34">
        <v>331.57</v>
      </c>
      <c r="H64" s="13">
        <f t="shared" ref="H64:H81" si="10">SUM(F64*G64/1000)</f>
        <v>3.3156999999999996</v>
      </c>
      <c r="I64" s="13">
        <f>G64*7</f>
        <v>2320.9899999999998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10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10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10"/>
        <v>3.1617889800000003</v>
      </c>
      <c r="I67" s="13">
        <f t="shared" ref="I67:I71" si="11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10"/>
        <v>56.637399000000002</v>
      </c>
      <c r="I68" s="13">
        <f t="shared" si="11"/>
        <v>56637.399000000005</v>
      </c>
    </row>
    <row r="69" spans="1:9" ht="15.75" hidden="1" customHeight="1">
      <c r="A69" s="30"/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10"/>
        <v>0.58916000000000002</v>
      </c>
      <c r="I69" s="13">
        <f t="shared" si="11"/>
        <v>589.16</v>
      </c>
    </row>
    <row r="70" spans="1:9" ht="15.75" hidden="1" customHeight="1">
      <c r="A70" s="30"/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10"/>
        <v>0.54964000000000002</v>
      </c>
      <c r="I70" s="13">
        <f t="shared" si="11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10"/>
        <v>0.39904000000000001</v>
      </c>
      <c r="I71" s="13">
        <f t="shared" si="11"/>
        <v>399.04</v>
      </c>
    </row>
    <row r="72" spans="1:9" ht="15.75" customHeight="1">
      <c r="A72" s="30"/>
      <c r="B72" s="106" t="s">
        <v>242</v>
      </c>
      <c r="C72" s="94"/>
      <c r="D72" s="73"/>
      <c r="E72" s="17"/>
      <c r="F72" s="34"/>
      <c r="G72" s="34"/>
      <c r="H72" s="13"/>
      <c r="I72" s="13"/>
    </row>
    <row r="73" spans="1:9" ht="33" customHeight="1">
      <c r="A73" s="30">
        <v>12</v>
      </c>
      <c r="B73" s="73" t="s">
        <v>243</v>
      </c>
      <c r="C73" s="89" t="s">
        <v>244</v>
      </c>
      <c r="D73" s="73"/>
      <c r="E73" s="17">
        <v>5367.6</v>
      </c>
      <c r="F73" s="78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5.75" customHeight="1">
      <c r="A74" s="30"/>
      <c r="B74" s="51" t="s">
        <v>69</v>
      </c>
      <c r="C74" s="16"/>
      <c r="D74" s="14"/>
      <c r="E74" s="18"/>
      <c r="F74" s="13"/>
      <c r="G74" s="13"/>
      <c r="H74" s="13" t="s">
        <v>134</v>
      </c>
      <c r="I74" s="13"/>
    </row>
    <row r="75" spans="1:9" ht="15.75" hidden="1" customHeight="1">
      <c r="A75" s="30">
        <v>15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13">
        <v>501.62</v>
      </c>
      <c r="H75" s="13">
        <f t="shared" si="10"/>
        <v>0.20064800000000002</v>
      </c>
      <c r="I75" s="13">
        <f>G75*0.1</f>
        <v>50.162000000000006</v>
      </c>
    </row>
    <row r="76" spans="1:9" ht="15.7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5.75" hidden="1" customHeight="1">
      <c r="A77" s="30"/>
      <c r="B77" s="14" t="s">
        <v>110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15.75" customHeight="1">
      <c r="A78" s="30">
        <v>13</v>
      </c>
      <c r="B78" s="73" t="s">
        <v>240</v>
      </c>
      <c r="C78" s="94" t="s">
        <v>30</v>
      </c>
      <c r="D78" s="73" t="s">
        <v>172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5.75" customHeight="1">
      <c r="A79" s="30">
        <v>14</v>
      </c>
      <c r="B79" s="73" t="s">
        <v>241</v>
      </c>
      <c r="C79" s="94" t="s">
        <v>30</v>
      </c>
      <c r="D79" s="73" t="s">
        <v>172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15.75" hidden="1" customHeight="1">
      <c r="A80" s="30"/>
      <c r="B80" s="58" t="s">
        <v>73</v>
      </c>
      <c r="C80" s="16"/>
      <c r="D80" s="14"/>
      <c r="E80" s="18"/>
      <c r="F80" s="13"/>
      <c r="G80" s="13" t="s">
        <v>134</v>
      </c>
      <c r="H80" s="13" t="s">
        <v>134</v>
      </c>
      <c r="I80" s="13"/>
    </row>
    <row r="81" spans="1:9" ht="15.75" hidden="1" customHeight="1">
      <c r="A81" s="30"/>
      <c r="B81" s="42" t="s">
        <v>120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10"/>
        <v>0.27594400000000002</v>
      </c>
      <c r="I81" s="13">
        <v>0</v>
      </c>
    </row>
    <row r="82" spans="1:9" ht="15.75" hidden="1" customHeight="1">
      <c r="A82" s="30"/>
      <c r="B82" s="51" t="s">
        <v>88</v>
      </c>
      <c r="C82" s="64"/>
      <c r="D82" s="64"/>
      <c r="E82" s="64"/>
      <c r="F82" s="64"/>
      <c r="G82" s="59"/>
      <c r="H82" s="59">
        <f>SUM(H57:H81)</f>
        <v>128.76893648000001</v>
      </c>
      <c r="I82" s="59"/>
    </row>
    <row r="83" spans="1:9" ht="15.75" hidden="1" customHeight="1">
      <c r="A83" s="30">
        <v>13</v>
      </c>
      <c r="B83" s="14" t="s">
        <v>109</v>
      </c>
      <c r="C83" s="16"/>
      <c r="D83" s="14"/>
      <c r="E83" s="18"/>
      <c r="F83" s="13">
        <v>1</v>
      </c>
      <c r="G83" s="90">
        <v>2917.2</v>
      </c>
      <c r="H83" s="13">
        <f>G83*F83/1000</f>
        <v>2.9171999999999998</v>
      </c>
      <c r="I83" s="13">
        <f>G83*1</f>
        <v>2917.2</v>
      </c>
    </row>
    <row r="84" spans="1:9" ht="15.75" customHeight="1">
      <c r="A84" s="122" t="s">
        <v>129</v>
      </c>
      <c r="B84" s="123"/>
      <c r="C84" s="123"/>
      <c r="D84" s="123"/>
      <c r="E84" s="123"/>
      <c r="F84" s="123"/>
      <c r="G84" s="123"/>
      <c r="H84" s="123"/>
      <c r="I84" s="124"/>
    </row>
    <row r="85" spans="1:9" ht="15.75" customHeight="1">
      <c r="A85" s="30">
        <v>15</v>
      </c>
      <c r="B85" s="73" t="s">
        <v>111</v>
      </c>
      <c r="C85" s="94" t="s">
        <v>53</v>
      </c>
      <c r="D85" s="107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16</v>
      </c>
      <c r="B86" s="85" t="s">
        <v>245</v>
      </c>
      <c r="C86" s="86" t="s">
        <v>25</v>
      </c>
      <c r="D86" s="108"/>
      <c r="E86" s="109">
        <f>E85</f>
        <v>5367.6</v>
      </c>
      <c r="F86" s="95">
        <f>E86*12</f>
        <v>64411.200000000004</v>
      </c>
      <c r="G86" s="95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77</v>
      </c>
      <c r="C87" s="58"/>
      <c r="D87" s="62"/>
      <c r="E87" s="59"/>
      <c r="F87" s="59"/>
      <c r="G87" s="59"/>
      <c r="H87" s="59">
        <f>H86</f>
        <v>208.69228800000002</v>
      </c>
      <c r="I87" s="59">
        <f>I86+I85+I79+I78+I73+I64+I60+I31+I30+I27+I24+I21+I20+I18+I17+I16</f>
        <v>79133.533737333331</v>
      </c>
    </row>
    <row r="88" spans="1:9" ht="15.75" customHeight="1">
      <c r="A88" s="133" t="s">
        <v>58</v>
      </c>
      <c r="B88" s="134"/>
      <c r="C88" s="134"/>
      <c r="D88" s="134"/>
      <c r="E88" s="134"/>
      <c r="F88" s="134"/>
      <c r="G88" s="134"/>
      <c r="H88" s="134"/>
      <c r="I88" s="135"/>
    </row>
    <row r="89" spans="1:9" ht="31.5" customHeight="1">
      <c r="A89" s="30">
        <v>17</v>
      </c>
      <c r="B89" s="45" t="s">
        <v>184</v>
      </c>
      <c r="C89" s="46" t="s">
        <v>37</v>
      </c>
      <c r="D89" s="71" t="s">
        <v>172</v>
      </c>
      <c r="E89" s="95"/>
      <c r="F89" s="34">
        <v>0.01</v>
      </c>
      <c r="G89" s="34">
        <v>4070.89</v>
      </c>
      <c r="H89" s="13">
        <f t="shared" ref="H89" si="12">G89*F89/1000</f>
        <v>4.0708899999999999E-2</v>
      </c>
      <c r="I89" s="13">
        <v>0</v>
      </c>
    </row>
    <row r="90" spans="1:9" ht="31.5" customHeight="1">
      <c r="A90" s="30">
        <v>18</v>
      </c>
      <c r="B90" s="45" t="s">
        <v>251</v>
      </c>
      <c r="C90" s="46" t="s">
        <v>103</v>
      </c>
      <c r="D90" s="71" t="s">
        <v>253</v>
      </c>
      <c r="E90" s="95"/>
      <c r="F90" s="34">
        <v>1</v>
      </c>
      <c r="G90" s="34">
        <v>945.36</v>
      </c>
      <c r="H90" s="13"/>
      <c r="I90" s="13">
        <f>G90*1</f>
        <v>945.36</v>
      </c>
    </row>
    <row r="91" spans="1:9" ht="15.75" customHeight="1">
      <c r="A91" s="30">
        <v>19</v>
      </c>
      <c r="B91" s="45" t="s">
        <v>161</v>
      </c>
      <c r="C91" s="46" t="s">
        <v>103</v>
      </c>
      <c r="D91" s="71"/>
      <c r="E91" s="95"/>
      <c r="F91" s="34">
        <v>1</v>
      </c>
      <c r="G91" s="34">
        <v>98</v>
      </c>
      <c r="H91" s="13"/>
      <c r="I91" s="13">
        <f>G91*1</f>
        <v>98</v>
      </c>
    </row>
    <row r="92" spans="1:9" ht="15.75" customHeight="1">
      <c r="A92" s="30">
        <v>20</v>
      </c>
      <c r="B92" s="45" t="s">
        <v>176</v>
      </c>
      <c r="C92" s="46" t="s">
        <v>103</v>
      </c>
      <c r="D92" s="71"/>
      <c r="E92" s="95"/>
      <c r="F92" s="34">
        <v>1</v>
      </c>
      <c r="G92" s="34">
        <v>125</v>
      </c>
      <c r="H92" s="13"/>
      <c r="I92" s="13">
        <f>G92*1</f>
        <v>125</v>
      </c>
    </row>
    <row r="93" spans="1:9" ht="15.75" customHeight="1">
      <c r="A93" s="30">
        <v>21</v>
      </c>
      <c r="B93" s="45" t="s">
        <v>252</v>
      </c>
      <c r="C93" s="46" t="s">
        <v>103</v>
      </c>
      <c r="D93" s="71"/>
      <c r="E93" s="95"/>
      <c r="F93" s="34">
        <v>1</v>
      </c>
      <c r="G93" s="34">
        <v>1332.01</v>
      </c>
      <c r="H93" s="13"/>
      <c r="I93" s="13">
        <f>G93*1</f>
        <v>1332.01</v>
      </c>
    </row>
    <row r="94" spans="1:9" ht="15.75" customHeight="1">
      <c r="A94" s="30"/>
      <c r="B94" s="40" t="s">
        <v>50</v>
      </c>
      <c r="C94" s="36"/>
      <c r="D94" s="43"/>
      <c r="E94" s="36">
        <v>1</v>
      </c>
      <c r="F94" s="36"/>
      <c r="G94" s="36"/>
      <c r="H94" s="36"/>
      <c r="I94" s="32">
        <f>SUM(I89:I93)</f>
        <v>2500.37</v>
      </c>
    </row>
    <row r="95" spans="1:9" ht="15.75" customHeight="1">
      <c r="A95" s="30"/>
      <c r="B95" s="42" t="s">
        <v>76</v>
      </c>
      <c r="C95" s="15"/>
      <c r="D95" s="15"/>
      <c r="E95" s="37"/>
      <c r="F95" s="37"/>
      <c r="G95" s="38"/>
      <c r="H95" s="38"/>
      <c r="I95" s="17">
        <v>0</v>
      </c>
    </row>
    <row r="96" spans="1:9" ht="15.75" customHeight="1">
      <c r="A96" s="44"/>
      <c r="B96" s="41" t="s">
        <v>149</v>
      </c>
      <c r="C96" s="33"/>
      <c r="D96" s="33"/>
      <c r="E96" s="33"/>
      <c r="F96" s="33"/>
      <c r="G96" s="33"/>
      <c r="H96" s="33"/>
      <c r="I96" s="39">
        <f>I87+I94</f>
        <v>81633.903737333327</v>
      </c>
    </row>
    <row r="97" spans="1:9" ht="15.75" customHeight="1">
      <c r="A97" s="125" t="s">
        <v>293</v>
      </c>
      <c r="B97" s="125"/>
      <c r="C97" s="125"/>
      <c r="D97" s="125"/>
      <c r="E97" s="125"/>
      <c r="F97" s="125"/>
      <c r="G97" s="125"/>
      <c r="H97" s="125"/>
      <c r="I97" s="125"/>
    </row>
    <row r="98" spans="1:9" ht="15.75">
      <c r="A98" s="53"/>
      <c r="B98" s="126" t="s">
        <v>294</v>
      </c>
      <c r="C98" s="126"/>
      <c r="D98" s="126"/>
      <c r="E98" s="126"/>
      <c r="F98" s="126"/>
      <c r="G98" s="126"/>
      <c r="H98" s="57"/>
      <c r="I98" s="3"/>
    </row>
    <row r="99" spans="1:9" ht="15.75" customHeight="1">
      <c r="A99" s="49"/>
      <c r="B99" s="127" t="s">
        <v>6</v>
      </c>
      <c r="C99" s="127"/>
      <c r="D99" s="127"/>
      <c r="E99" s="127"/>
      <c r="F99" s="127"/>
      <c r="G99" s="127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8" t="s">
        <v>7</v>
      </c>
      <c r="B101" s="128"/>
      <c r="C101" s="128"/>
      <c r="D101" s="128"/>
      <c r="E101" s="128"/>
      <c r="F101" s="128"/>
      <c r="G101" s="128"/>
      <c r="H101" s="128"/>
      <c r="I101" s="128"/>
    </row>
    <row r="102" spans="1:9" ht="15.75" customHeight="1">
      <c r="A102" s="128" t="s">
        <v>8</v>
      </c>
      <c r="B102" s="128"/>
      <c r="C102" s="128"/>
      <c r="D102" s="128"/>
      <c r="E102" s="128"/>
      <c r="F102" s="128"/>
      <c r="G102" s="128"/>
      <c r="H102" s="128"/>
      <c r="I102" s="128"/>
    </row>
    <row r="103" spans="1:9" ht="15.75">
      <c r="A103" s="129" t="s">
        <v>59</v>
      </c>
      <c r="B103" s="129"/>
      <c r="C103" s="129"/>
      <c r="D103" s="129"/>
      <c r="E103" s="129"/>
      <c r="F103" s="129"/>
      <c r="G103" s="129"/>
      <c r="H103" s="129"/>
      <c r="I103" s="129"/>
    </row>
    <row r="104" spans="1:9" ht="15.75" customHeight="1">
      <c r="A104" s="11"/>
    </row>
    <row r="105" spans="1:9" ht="15.75" customHeight="1">
      <c r="A105" s="130" t="s">
        <v>9</v>
      </c>
      <c r="B105" s="130"/>
      <c r="C105" s="130"/>
      <c r="D105" s="130"/>
      <c r="E105" s="130"/>
      <c r="F105" s="130"/>
      <c r="G105" s="130"/>
      <c r="H105" s="130"/>
      <c r="I105" s="130"/>
    </row>
    <row r="106" spans="1:9" ht="15.75" customHeight="1">
      <c r="A106" s="4"/>
    </row>
    <row r="107" spans="1:9" ht="15.75">
      <c r="B107" s="50" t="s">
        <v>10</v>
      </c>
      <c r="C107" s="131" t="s">
        <v>254</v>
      </c>
      <c r="D107" s="131"/>
      <c r="E107" s="131"/>
      <c r="F107" s="55"/>
      <c r="I107" s="48"/>
    </row>
    <row r="108" spans="1:9" ht="15.75" customHeight="1">
      <c r="A108" s="49"/>
      <c r="C108" s="127" t="s">
        <v>11</v>
      </c>
      <c r="D108" s="127"/>
      <c r="E108" s="127"/>
      <c r="F108" s="25"/>
      <c r="I108" s="47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50" t="s">
        <v>13</v>
      </c>
      <c r="C110" s="132"/>
      <c r="D110" s="132"/>
      <c r="E110" s="132"/>
      <c r="F110" s="56"/>
      <c r="I110" s="48"/>
    </row>
    <row r="111" spans="1:9" ht="15.75" customHeight="1">
      <c r="A111" s="49"/>
      <c r="C111" s="121" t="s">
        <v>11</v>
      </c>
      <c r="D111" s="121"/>
      <c r="E111" s="121"/>
      <c r="F111" s="49"/>
      <c r="I111" s="47" t="s">
        <v>12</v>
      </c>
    </row>
    <row r="112" spans="1:9" ht="15.75">
      <c r="A112" s="4" t="s">
        <v>14</v>
      </c>
    </row>
    <row r="113" spans="1:9" ht="15.75" customHeight="1">
      <c r="A113" s="119" t="s">
        <v>15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ht="45" customHeight="1">
      <c r="A114" s="120" t="s">
        <v>16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30" customHeight="1">
      <c r="A115" s="120" t="s">
        <v>17</v>
      </c>
      <c r="B115" s="120"/>
      <c r="C115" s="120"/>
      <c r="D115" s="120"/>
      <c r="E115" s="120"/>
      <c r="F115" s="120"/>
      <c r="G115" s="120"/>
      <c r="H115" s="120"/>
      <c r="I115" s="120"/>
    </row>
    <row r="116" spans="1:9" ht="30" customHeight="1">
      <c r="A116" s="120" t="s">
        <v>21</v>
      </c>
      <c r="B116" s="120"/>
      <c r="C116" s="120"/>
      <c r="D116" s="120"/>
      <c r="E116" s="120"/>
      <c r="F116" s="120"/>
      <c r="G116" s="120"/>
      <c r="H116" s="120"/>
      <c r="I116" s="120"/>
    </row>
    <row r="117" spans="1:9" ht="15" customHeight="1">
      <c r="A117" s="120" t="s">
        <v>20</v>
      </c>
      <c r="B117" s="120"/>
      <c r="C117" s="120"/>
      <c r="D117" s="120"/>
      <c r="E117" s="120"/>
      <c r="F117" s="120"/>
      <c r="G117" s="120"/>
      <c r="H117" s="120"/>
      <c r="I117" s="120"/>
    </row>
  </sheetData>
  <autoFilter ref="I12:I57"/>
  <mergeCells count="29">
    <mergeCell ref="R62:U62"/>
    <mergeCell ref="A84:I84"/>
    <mergeCell ref="A3:I3"/>
    <mergeCell ref="A4:I4"/>
    <mergeCell ref="A5:I5"/>
    <mergeCell ref="A8:I8"/>
    <mergeCell ref="A10:I10"/>
    <mergeCell ref="A14:I14"/>
    <mergeCell ref="A103:I103"/>
    <mergeCell ref="A15:I15"/>
    <mergeCell ref="A28:I28"/>
    <mergeCell ref="A44:I44"/>
    <mergeCell ref="A55:I55"/>
    <mergeCell ref="A97:I97"/>
    <mergeCell ref="B98:G98"/>
    <mergeCell ref="B99:G99"/>
    <mergeCell ref="A101:I101"/>
    <mergeCell ref="A102:I102"/>
    <mergeCell ref="A88:I88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84" workbookViewId="0">
      <selection activeCell="G102" sqref="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152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255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1">
        <v>44165</v>
      </c>
      <c r="J6" s="2"/>
      <c r="K6" s="2"/>
      <c r="L6" s="2"/>
      <c r="M6" s="2"/>
    </row>
    <row r="7" spans="1:13" ht="15.75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256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81" t="s">
        <v>81</v>
      </c>
      <c r="C16" s="82" t="s">
        <v>82</v>
      </c>
      <c r="D16" s="81" t="s">
        <v>164</v>
      </c>
      <c r="E16" s="99">
        <v>62.28</v>
      </c>
      <c r="F16" s="92">
        <f>SUM(E16*156/100)</f>
        <v>97.156800000000004</v>
      </c>
      <c r="G16" s="92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112</v>
      </c>
      <c r="C17" s="82" t="s">
        <v>82</v>
      </c>
      <c r="D17" s="81" t="s">
        <v>165</v>
      </c>
      <c r="E17" s="99">
        <v>311.42</v>
      </c>
      <c r="F17" s="92">
        <f>SUM(E17*104/100)</f>
        <v>323.8768</v>
      </c>
      <c r="G17" s="92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113</v>
      </c>
      <c r="C18" s="82" t="s">
        <v>82</v>
      </c>
      <c r="D18" s="81" t="s">
        <v>172</v>
      </c>
      <c r="E18" s="99">
        <v>373.7</v>
      </c>
      <c r="F18" s="92">
        <f>SUM(E18*18/100)</f>
        <v>67.265999999999991</v>
      </c>
      <c r="G18" s="92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1" t="s">
        <v>89</v>
      </c>
      <c r="C19" s="82" t="s">
        <v>90</v>
      </c>
      <c r="D19" s="81" t="s">
        <v>91</v>
      </c>
      <c r="E19" s="99">
        <v>38.4</v>
      </c>
      <c r="F19" s="92">
        <f>SUM(E19/10)</f>
        <v>3.84</v>
      </c>
      <c r="G19" s="92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92</v>
      </c>
      <c r="C20" s="82" t="s">
        <v>82</v>
      </c>
      <c r="D20" s="81" t="s">
        <v>172</v>
      </c>
      <c r="E20" s="99">
        <v>35.04</v>
      </c>
      <c r="F20" s="92">
        <f>SUM(E20*12/100)</f>
        <v>4.2048000000000005</v>
      </c>
      <c r="G20" s="92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93</v>
      </c>
      <c r="C21" s="82" t="s">
        <v>82</v>
      </c>
      <c r="D21" s="81" t="s">
        <v>172</v>
      </c>
      <c r="E21" s="99">
        <v>9.08</v>
      </c>
      <c r="F21" s="92">
        <f>SUM(E21*12/100)</f>
        <v>1.0896000000000001</v>
      </c>
      <c r="G21" s="92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1" t="s">
        <v>94</v>
      </c>
      <c r="C22" s="82" t="s">
        <v>51</v>
      </c>
      <c r="D22" s="81" t="s">
        <v>91</v>
      </c>
      <c r="E22" s="99">
        <v>629</v>
      </c>
      <c r="F22" s="92">
        <f>SUM(E22/100)</f>
        <v>6.29</v>
      </c>
      <c r="G22" s="92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95</v>
      </c>
      <c r="C23" s="82" t="s">
        <v>51</v>
      </c>
      <c r="D23" s="81" t="s">
        <v>91</v>
      </c>
      <c r="E23" s="100">
        <v>58</v>
      </c>
      <c r="F23" s="92">
        <f>SUM(E23/100)</f>
        <v>0.57999999999999996</v>
      </c>
      <c r="G23" s="92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1" t="s">
        <v>96</v>
      </c>
      <c r="C24" s="82" t="s">
        <v>51</v>
      </c>
      <c r="D24" s="81" t="s">
        <v>172</v>
      </c>
      <c r="E24" s="99">
        <v>24</v>
      </c>
      <c r="F24" s="92">
        <f>E24*12/100</f>
        <v>2.88</v>
      </c>
      <c r="G24" s="92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1" t="s">
        <v>97</v>
      </c>
      <c r="C25" s="82" t="s">
        <v>51</v>
      </c>
      <c r="D25" s="81" t="s">
        <v>52</v>
      </c>
      <c r="E25" s="99">
        <v>17</v>
      </c>
      <c r="F25" s="92">
        <f>SUM(E25/100)</f>
        <v>0.17</v>
      </c>
      <c r="G25" s="92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119</v>
      </c>
      <c r="C26" s="82" t="s">
        <v>51</v>
      </c>
      <c r="D26" s="81" t="s">
        <v>52</v>
      </c>
      <c r="E26" s="99">
        <v>24</v>
      </c>
      <c r="F26" s="92">
        <v>0.24</v>
      </c>
      <c r="G26" s="92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148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36" t="s">
        <v>80</v>
      </c>
      <c r="B29" s="136"/>
      <c r="C29" s="136"/>
      <c r="D29" s="136"/>
      <c r="E29" s="136"/>
      <c r="F29" s="136"/>
      <c r="G29" s="136"/>
      <c r="H29" s="136"/>
      <c r="I29" s="136"/>
      <c r="J29" s="23"/>
      <c r="K29" s="8"/>
      <c r="L29" s="8"/>
      <c r="M29" s="8"/>
    </row>
    <row r="30" spans="1:13" ht="15.75" hidden="1" customHeight="1">
      <c r="A30" s="30"/>
      <c r="B30" s="65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101</v>
      </c>
      <c r="C31" s="16" t="s">
        <v>84</v>
      </c>
      <c r="D31" s="14" t="s">
        <v>150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115</v>
      </c>
      <c r="C32" s="16" t="s">
        <v>84</v>
      </c>
      <c r="D32" s="14" t="s">
        <v>151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84</v>
      </c>
      <c r="D33" s="14" t="s">
        <v>52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114</v>
      </c>
      <c r="C34" s="16" t="s">
        <v>39</v>
      </c>
      <c r="D34" s="14" t="s">
        <v>61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100</v>
      </c>
      <c r="C35" s="16" t="s">
        <v>30</v>
      </c>
      <c r="D35" s="14" t="s">
        <v>61</v>
      </c>
      <c r="E35" s="60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62</v>
      </c>
      <c r="C36" s="16" t="s">
        <v>32</v>
      </c>
      <c r="D36" s="14" t="s">
        <v>64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63</v>
      </c>
      <c r="C37" s="16" t="s">
        <v>31</v>
      </c>
      <c r="D37" s="14" t="s">
        <v>64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121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65" t="s">
        <v>5</v>
      </c>
      <c r="C39" s="16"/>
      <c r="D39" s="14"/>
      <c r="E39" s="18"/>
      <c r="F39" s="13"/>
      <c r="G39" s="13"/>
      <c r="H39" s="13" t="s">
        <v>134</v>
      </c>
      <c r="I39" s="13"/>
      <c r="J39" s="24"/>
      <c r="L39" s="19"/>
      <c r="M39" s="20"/>
      <c r="N39" s="21"/>
    </row>
    <row r="40" spans="1:14" ht="15.75" hidden="1" customHeight="1">
      <c r="A40" s="30">
        <v>8</v>
      </c>
      <c r="B40" s="111" t="s">
        <v>26</v>
      </c>
      <c r="C40" s="82" t="s">
        <v>31</v>
      </c>
      <c r="D40" s="81"/>
      <c r="E40" s="99"/>
      <c r="F40" s="92">
        <v>8</v>
      </c>
      <c r="G40" s="92">
        <v>1930</v>
      </c>
      <c r="H40" s="13">
        <f t="shared" ref="H40:H43" si="3">SUM(F40*G40/1000)</f>
        <v>15.44</v>
      </c>
      <c r="I40" s="13">
        <f>G40*1</f>
        <v>1930</v>
      </c>
      <c r="J40" s="24"/>
      <c r="L40" s="19"/>
      <c r="M40" s="20"/>
      <c r="N40" s="21"/>
    </row>
    <row r="41" spans="1:14" ht="15.75" customHeight="1">
      <c r="A41" s="30">
        <v>8</v>
      </c>
      <c r="B41" s="111" t="s">
        <v>102</v>
      </c>
      <c r="C41" s="112" t="s">
        <v>29</v>
      </c>
      <c r="D41" s="81" t="s">
        <v>273</v>
      </c>
      <c r="E41" s="99">
        <v>182</v>
      </c>
      <c r="F41" s="113">
        <f>E41*35/1000</f>
        <v>6.37</v>
      </c>
      <c r="G41" s="92">
        <v>3134.93</v>
      </c>
      <c r="H41" s="13">
        <f>G41*F41/1000</f>
        <v>19.969504099999998</v>
      </c>
      <c r="I41" s="13">
        <f t="shared" ref="I41:I43" si="4">F41/6*G41</f>
        <v>3328.2506833333337</v>
      </c>
      <c r="J41" s="24"/>
      <c r="L41" s="19"/>
      <c r="M41" s="20"/>
      <c r="N41" s="21"/>
    </row>
    <row r="42" spans="1:14" ht="15.75" hidden="1" customHeight="1">
      <c r="A42" s="30">
        <v>10</v>
      </c>
      <c r="B42" s="111" t="s">
        <v>258</v>
      </c>
      <c r="C42" s="112" t="s">
        <v>259</v>
      </c>
      <c r="D42" s="81"/>
      <c r="E42" s="99"/>
      <c r="F42" s="113">
        <v>65</v>
      </c>
      <c r="G42" s="92">
        <v>343</v>
      </c>
      <c r="H42" s="13">
        <f t="shared" si="3"/>
        <v>22.295000000000002</v>
      </c>
      <c r="I42" s="13">
        <f t="shared" si="4"/>
        <v>3715.8333333333335</v>
      </c>
      <c r="J42" s="24"/>
      <c r="L42" s="19"/>
      <c r="M42" s="20"/>
      <c r="N42" s="21"/>
    </row>
    <row r="43" spans="1:14" ht="34.5" customHeight="1">
      <c r="A43" s="30">
        <v>9</v>
      </c>
      <c r="B43" s="111" t="s">
        <v>260</v>
      </c>
      <c r="C43" s="112" t="s">
        <v>29</v>
      </c>
      <c r="D43" s="81" t="s">
        <v>274</v>
      </c>
      <c r="E43" s="99">
        <v>3</v>
      </c>
      <c r="F43" s="113">
        <f>E43*12/1000</f>
        <v>3.5999999999999997E-2</v>
      </c>
      <c r="G43" s="92">
        <v>20547.34</v>
      </c>
      <c r="H43" s="13">
        <f t="shared" si="3"/>
        <v>0.7397042399999999</v>
      </c>
      <c r="I43" s="13">
        <f t="shared" si="4"/>
        <v>123.28403999999999</v>
      </c>
      <c r="J43" s="24"/>
      <c r="L43" s="19"/>
      <c r="M43" s="20"/>
      <c r="N43" s="21"/>
    </row>
    <row r="44" spans="1:14" ht="15" hidden="1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15</v>
      </c>
      <c r="B50" s="14" t="s">
        <v>54</v>
      </c>
      <c r="C50" s="16" t="s">
        <v>84</v>
      </c>
      <c r="D50" s="14" t="s">
        <v>137</v>
      </c>
      <c r="E50" s="18">
        <v>1914</v>
      </c>
      <c r="F50" s="13">
        <f>SUM(E50*5/1000)</f>
        <v>9.57</v>
      </c>
      <c r="G50" s="13">
        <v>1213.55</v>
      </c>
      <c r="H50" s="13">
        <f t="shared" si="5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17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hidden="1" customHeight="1">
      <c r="A54" s="30">
        <v>19</v>
      </c>
      <c r="B54" s="14" t="s">
        <v>40</v>
      </c>
      <c r="C54" s="16" t="s">
        <v>103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5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7" t="s">
        <v>128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65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15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65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10</v>
      </c>
      <c r="B60" s="14" t="s">
        <v>117</v>
      </c>
      <c r="C60" s="16" t="s">
        <v>25</v>
      </c>
      <c r="D60" s="14" t="s">
        <v>172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5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>
        <v>17</v>
      </c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f>G62</f>
        <v>237.75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5.75" hidden="1" customHeight="1">
      <c r="A63" s="30"/>
      <c r="B63" s="65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15</v>
      </c>
      <c r="B64" s="14" t="s">
        <v>45</v>
      </c>
      <c r="C64" s="16" t="s">
        <v>103</v>
      </c>
      <c r="D64" s="14"/>
      <c r="E64" s="18">
        <v>10</v>
      </c>
      <c r="F64" s="13">
        <v>10</v>
      </c>
      <c r="G64" s="13">
        <v>222.4</v>
      </c>
      <c r="H64" s="13">
        <f t="shared" ref="H64:H81" si="7">SUM(F64*G64/1000)</f>
        <v>2.2240000000000002</v>
      </c>
      <c r="I64" s="13">
        <f>G64*4</f>
        <v>889.6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5.75" hidden="1" customHeight="1">
      <c r="A69" s="30"/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15.75" hidden="1" customHeight="1">
      <c r="A70" s="30"/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15.75" customHeight="1">
      <c r="A72" s="30"/>
      <c r="B72" s="106" t="s">
        <v>242</v>
      </c>
      <c r="C72" s="94"/>
      <c r="D72" s="73"/>
      <c r="E72" s="17"/>
      <c r="F72" s="34"/>
      <c r="G72" s="34"/>
      <c r="H72" s="13"/>
      <c r="I72" s="13"/>
    </row>
    <row r="73" spans="1:9" ht="29.25" customHeight="1">
      <c r="A73" s="30">
        <v>11</v>
      </c>
      <c r="B73" s="73" t="s">
        <v>243</v>
      </c>
      <c r="C73" s="89" t="s">
        <v>244</v>
      </c>
      <c r="D73" s="73"/>
      <c r="E73" s="17">
        <v>5367.6</v>
      </c>
      <c r="F73" s="78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5.75" customHeight="1">
      <c r="A74" s="30"/>
      <c r="B74" s="65" t="s">
        <v>69</v>
      </c>
      <c r="C74" s="16"/>
      <c r="D74" s="14"/>
      <c r="E74" s="18"/>
      <c r="F74" s="13"/>
      <c r="G74" s="13"/>
      <c r="H74" s="13" t="s">
        <v>134</v>
      </c>
      <c r="I74" s="13"/>
    </row>
    <row r="75" spans="1:9" ht="15.75" customHeight="1">
      <c r="A75" s="30">
        <v>12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90">
        <v>747.85</v>
      </c>
      <c r="H75" s="13">
        <f t="shared" si="7"/>
        <v>0.29914000000000002</v>
      </c>
      <c r="I75" s="13">
        <f>G75*0.2</f>
        <v>149.57000000000002</v>
      </c>
    </row>
    <row r="76" spans="1:9" ht="15.7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5.75" hidden="1" customHeight="1">
      <c r="A77" s="30"/>
      <c r="B77" s="14" t="s">
        <v>110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15.75" customHeight="1">
      <c r="A78" s="30">
        <v>13</v>
      </c>
      <c r="B78" s="73" t="s">
        <v>240</v>
      </c>
      <c r="C78" s="94" t="s">
        <v>30</v>
      </c>
      <c r="D78" s="73" t="s">
        <v>172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5.75" customHeight="1">
      <c r="A79" s="30">
        <v>14</v>
      </c>
      <c r="B79" s="73" t="s">
        <v>241</v>
      </c>
      <c r="C79" s="94" t="s">
        <v>30</v>
      </c>
      <c r="D79" s="73" t="s">
        <v>172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15.75" hidden="1" customHeight="1">
      <c r="A80" s="30"/>
      <c r="B80" s="58" t="s">
        <v>73</v>
      </c>
      <c r="C80" s="16"/>
      <c r="D80" s="14"/>
      <c r="E80" s="18"/>
      <c r="F80" s="13"/>
      <c r="G80" s="13" t="s">
        <v>134</v>
      </c>
      <c r="H80" s="13" t="s">
        <v>134</v>
      </c>
      <c r="I80" s="13"/>
    </row>
    <row r="81" spans="1:9" ht="15.75" hidden="1" customHeight="1">
      <c r="A81" s="30"/>
      <c r="B81" s="42" t="s">
        <v>120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7"/>
        <v>0.27594400000000002</v>
      </c>
      <c r="I81" s="13">
        <v>0</v>
      </c>
    </row>
    <row r="82" spans="1:9" ht="15.75" hidden="1" customHeight="1">
      <c r="A82" s="30"/>
      <c r="B82" s="65" t="s">
        <v>88</v>
      </c>
      <c r="C82" s="64"/>
      <c r="D82" s="64"/>
      <c r="E82" s="64"/>
      <c r="F82" s="64"/>
      <c r="G82" s="59"/>
      <c r="H82" s="59">
        <f>SUM(H57:H81)</f>
        <v>127.77572848</v>
      </c>
      <c r="I82" s="59"/>
    </row>
    <row r="83" spans="1:9" ht="15.75" hidden="1" customHeight="1">
      <c r="A83" s="30">
        <v>15</v>
      </c>
      <c r="B83" s="14" t="s">
        <v>109</v>
      </c>
      <c r="C83" s="16"/>
      <c r="D83" s="14"/>
      <c r="E83" s="18"/>
      <c r="F83" s="13">
        <v>1</v>
      </c>
      <c r="G83" s="13">
        <v>14584.4</v>
      </c>
      <c r="H83" s="13">
        <f>G83*F83/1000</f>
        <v>14.5844</v>
      </c>
      <c r="I83" s="13">
        <v>2083.4</v>
      </c>
    </row>
    <row r="84" spans="1:9" ht="15.75" customHeight="1">
      <c r="A84" s="122" t="s">
        <v>129</v>
      </c>
      <c r="B84" s="123"/>
      <c r="C84" s="123"/>
      <c r="D84" s="123"/>
      <c r="E84" s="123"/>
      <c r="F84" s="123"/>
      <c r="G84" s="123"/>
      <c r="H84" s="123"/>
      <c r="I84" s="124"/>
    </row>
    <row r="85" spans="1:9" ht="15.75" customHeight="1">
      <c r="A85" s="30">
        <v>15</v>
      </c>
      <c r="B85" s="73" t="s">
        <v>111</v>
      </c>
      <c r="C85" s="94" t="s">
        <v>53</v>
      </c>
      <c r="D85" s="107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16</v>
      </c>
      <c r="B86" s="85" t="s">
        <v>245</v>
      </c>
      <c r="C86" s="86" t="s">
        <v>25</v>
      </c>
      <c r="D86" s="108"/>
      <c r="E86" s="109">
        <f>E85</f>
        <v>5367.6</v>
      </c>
      <c r="F86" s="95">
        <f>E86*12</f>
        <v>64411.200000000004</v>
      </c>
      <c r="G86" s="95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77</v>
      </c>
      <c r="C87" s="58"/>
      <c r="D87" s="62"/>
      <c r="E87" s="59"/>
      <c r="F87" s="59"/>
      <c r="G87" s="59"/>
      <c r="H87" s="59">
        <f>H86</f>
        <v>208.69228800000002</v>
      </c>
      <c r="I87" s="59">
        <f>I86+I85+I79+I78+I75+I73+I60+I43+I41+I27+I24+I21+I20+I18+I17+I16</f>
        <v>72678.745607333345</v>
      </c>
    </row>
    <row r="88" spans="1:9" ht="15.75" customHeight="1">
      <c r="A88" s="133" t="s">
        <v>58</v>
      </c>
      <c r="B88" s="134"/>
      <c r="C88" s="134"/>
      <c r="D88" s="134"/>
      <c r="E88" s="134"/>
      <c r="F88" s="134"/>
      <c r="G88" s="134"/>
      <c r="H88" s="134"/>
      <c r="I88" s="135"/>
    </row>
    <row r="89" spans="1:9" ht="15.75" customHeight="1">
      <c r="A89" s="30">
        <v>17</v>
      </c>
      <c r="B89" s="45" t="s">
        <v>262</v>
      </c>
      <c r="C89" s="46" t="s">
        <v>103</v>
      </c>
      <c r="D89" s="71" t="s">
        <v>267</v>
      </c>
      <c r="E89" s="95"/>
      <c r="F89" s="34">
        <v>1</v>
      </c>
      <c r="G89" s="34">
        <v>90</v>
      </c>
      <c r="H89" s="13"/>
      <c r="I89" s="13">
        <v>0</v>
      </c>
    </row>
    <row r="90" spans="1:9" ht="15.75" customHeight="1">
      <c r="A90" s="30">
        <v>18</v>
      </c>
      <c r="B90" s="45" t="s">
        <v>156</v>
      </c>
      <c r="C90" s="46" t="s">
        <v>160</v>
      </c>
      <c r="D90" s="71" t="s">
        <v>295</v>
      </c>
      <c r="E90" s="95"/>
      <c r="F90" s="34">
        <v>3</v>
      </c>
      <c r="G90" s="34">
        <v>284</v>
      </c>
      <c r="H90" s="72"/>
      <c r="I90" s="13">
        <v>0</v>
      </c>
    </row>
    <row r="91" spans="1:9" ht="14.25" customHeight="1">
      <c r="A91" s="30">
        <v>19</v>
      </c>
      <c r="B91" s="74" t="s">
        <v>263</v>
      </c>
      <c r="C91" s="75" t="s">
        <v>84</v>
      </c>
      <c r="D91" s="74"/>
      <c r="E91" s="77"/>
      <c r="F91" s="114">
        <v>7.0860000000000006E-2</v>
      </c>
      <c r="G91" s="92">
        <v>639.14</v>
      </c>
      <c r="H91" s="72"/>
      <c r="I91" s="13">
        <f>G91*0.07086</f>
        <v>45.289460400000003</v>
      </c>
    </row>
    <row r="92" spans="1:9" ht="33" customHeight="1">
      <c r="A92" s="30">
        <v>20</v>
      </c>
      <c r="B92" s="115" t="s">
        <v>264</v>
      </c>
      <c r="C92" s="89" t="s">
        <v>265</v>
      </c>
      <c r="D92" s="73" t="s">
        <v>266</v>
      </c>
      <c r="E92" s="34"/>
      <c r="F92" s="102">
        <v>1</v>
      </c>
      <c r="G92" s="78">
        <v>458.9</v>
      </c>
      <c r="H92" s="72"/>
      <c r="I92" s="13">
        <f>G92*1</f>
        <v>458.9</v>
      </c>
    </row>
    <row r="93" spans="1:9" ht="33.75" customHeight="1">
      <c r="A93" s="30">
        <v>21</v>
      </c>
      <c r="B93" s="45" t="s">
        <v>78</v>
      </c>
      <c r="C93" s="46" t="s">
        <v>103</v>
      </c>
      <c r="D93" s="85"/>
      <c r="E93" s="95"/>
      <c r="F93" s="116">
        <v>1</v>
      </c>
      <c r="G93" s="34">
        <v>215.85</v>
      </c>
      <c r="H93" s="72"/>
      <c r="I93" s="13">
        <f>G93*1</f>
        <v>215.85</v>
      </c>
    </row>
    <row r="94" spans="1:9" ht="18" customHeight="1">
      <c r="A94" s="30">
        <v>22</v>
      </c>
      <c r="B94" s="45" t="s">
        <v>268</v>
      </c>
      <c r="C94" s="84" t="s">
        <v>162</v>
      </c>
      <c r="D94" s="85" t="s">
        <v>271</v>
      </c>
      <c r="E94" s="95"/>
      <c r="F94" s="116">
        <v>1</v>
      </c>
      <c r="G94" s="34">
        <v>517.77</v>
      </c>
      <c r="H94" s="72"/>
      <c r="I94" s="13">
        <v>0</v>
      </c>
    </row>
    <row r="95" spans="1:9" ht="18" customHeight="1">
      <c r="A95" s="30">
        <v>23</v>
      </c>
      <c r="B95" s="83" t="s">
        <v>269</v>
      </c>
      <c r="C95" s="46" t="s">
        <v>270</v>
      </c>
      <c r="D95" s="85"/>
      <c r="E95" s="95"/>
      <c r="F95" s="116">
        <v>1</v>
      </c>
      <c r="G95" s="34">
        <v>277.29000000000002</v>
      </c>
      <c r="H95" s="72"/>
      <c r="I95" s="13">
        <f>G95*1</f>
        <v>277.29000000000002</v>
      </c>
    </row>
    <row r="96" spans="1:9" ht="15.75" customHeight="1">
      <c r="A96" s="30"/>
      <c r="B96" s="40" t="s">
        <v>50</v>
      </c>
      <c r="C96" s="36"/>
      <c r="D96" s="43"/>
      <c r="E96" s="36">
        <v>1</v>
      </c>
      <c r="F96" s="36"/>
      <c r="G96" s="36"/>
      <c r="H96" s="36"/>
      <c r="I96" s="32">
        <f>SUM(I89:I95)</f>
        <v>997.32946040000002</v>
      </c>
    </row>
    <row r="97" spans="1:9" ht="15.75" customHeight="1">
      <c r="A97" s="30"/>
      <c r="B97" s="42" t="s">
        <v>76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4"/>
      <c r="B98" s="41" t="s">
        <v>149</v>
      </c>
      <c r="C98" s="33"/>
      <c r="D98" s="33"/>
      <c r="E98" s="33"/>
      <c r="F98" s="33"/>
      <c r="G98" s="33"/>
      <c r="H98" s="33"/>
      <c r="I98" s="39">
        <f>I87+I96</f>
        <v>73676.075067733342</v>
      </c>
    </row>
    <row r="99" spans="1:9" ht="15.75" customHeight="1">
      <c r="A99" s="125" t="s">
        <v>296</v>
      </c>
      <c r="B99" s="125"/>
      <c r="C99" s="125"/>
      <c r="D99" s="125"/>
      <c r="E99" s="125"/>
      <c r="F99" s="125"/>
      <c r="G99" s="125"/>
      <c r="H99" s="125"/>
      <c r="I99" s="125"/>
    </row>
    <row r="100" spans="1:9" ht="15.75">
      <c r="A100" s="53"/>
      <c r="B100" s="126" t="s">
        <v>297</v>
      </c>
      <c r="C100" s="126"/>
      <c r="D100" s="126"/>
      <c r="E100" s="126"/>
      <c r="F100" s="126"/>
      <c r="G100" s="126"/>
      <c r="H100" s="57"/>
      <c r="I100" s="3"/>
    </row>
    <row r="101" spans="1:9" ht="15.75" customHeight="1">
      <c r="A101" s="67"/>
      <c r="B101" s="127" t="s">
        <v>6</v>
      </c>
      <c r="C101" s="127"/>
      <c r="D101" s="127"/>
      <c r="E101" s="127"/>
      <c r="F101" s="127"/>
      <c r="G101" s="127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28" t="s">
        <v>7</v>
      </c>
      <c r="B103" s="128"/>
      <c r="C103" s="128"/>
      <c r="D103" s="128"/>
      <c r="E103" s="128"/>
      <c r="F103" s="128"/>
      <c r="G103" s="128"/>
      <c r="H103" s="128"/>
      <c r="I103" s="128"/>
    </row>
    <row r="104" spans="1:9" ht="15.75" customHeight="1">
      <c r="A104" s="128" t="s">
        <v>8</v>
      </c>
      <c r="B104" s="128"/>
      <c r="C104" s="128"/>
      <c r="D104" s="128"/>
      <c r="E104" s="128"/>
      <c r="F104" s="128"/>
      <c r="G104" s="128"/>
      <c r="H104" s="128"/>
      <c r="I104" s="128"/>
    </row>
    <row r="105" spans="1:9" ht="15.75">
      <c r="A105" s="129" t="s">
        <v>59</v>
      </c>
      <c r="B105" s="129"/>
      <c r="C105" s="129"/>
      <c r="D105" s="129"/>
      <c r="E105" s="129"/>
      <c r="F105" s="129"/>
      <c r="G105" s="129"/>
      <c r="H105" s="129"/>
      <c r="I105" s="129"/>
    </row>
    <row r="106" spans="1:9" ht="15.75" customHeight="1">
      <c r="A106" s="11"/>
    </row>
    <row r="107" spans="1:9" ht="15.75" customHeight="1">
      <c r="A107" s="130" t="s">
        <v>9</v>
      </c>
      <c r="B107" s="130"/>
      <c r="C107" s="130"/>
      <c r="D107" s="130"/>
      <c r="E107" s="130"/>
      <c r="F107" s="130"/>
      <c r="G107" s="130"/>
      <c r="H107" s="130"/>
      <c r="I107" s="130"/>
    </row>
    <row r="108" spans="1:9" ht="15.75" customHeight="1">
      <c r="A108" s="4"/>
    </row>
    <row r="109" spans="1:9" ht="15.75">
      <c r="B109" s="69" t="s">
        <v>10</v>
      </c>
      <c r="C109" s="131" t="s">
        <v>254</v>
      </c>
      <c r="D109" s="131"/>
      <c r="E109" s="131"/>
      <c r="F109" s="55"/>
      <c r="I109" s="70"/>
    </row>
    <row r="110" spans="1:9" ht="15.75" customHeight="1">
      <c r="A110" s="67"/>
      <c r="C110" s="127" t="s">
        <v>11</v>
      </c>
      <c r="D110" s="127"/>
      <c r="E110" s="127"/>
      <c r="F110" s="25"/>
      <c r="I110" s="68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69" t="s">
        <v>13</v>
      </c>
      <c r="C112" s="132"/>
      <c r="D112" s="132"/>
      <c r="E112" s="132"/>
      <c r="F112" s="56"/>
      <c r="I112" s="70"/>
    </row>
    <row r="113" spans="1:9" ht="15.75" customHeight="1">
      <c r="A113" s="67"/>
      <c r="C113" s="121" t="s">
        <v>11</v>
      </c>
      <c r="D113" s="121"/>
      <c r="E113" s="121"/>
      <c r="F113" s="67"/>
      <c r="I113" s="68" t="s">
        <v>12</v>
      </c>
    </row>
    <row r="114" spans="1:9" ht="15.75">
      <c r="A114" s="4" t="s">
        <v>14</v>
      </c>
    </row>
    <row r="115" spans="1:9" ht="15.75" customHeight="1">
      <c r="A115" s="119" t="s">
        <v>15</v>
      </c>
      <c r="B115" s="119"/>
      <c r="C115" s="119"/>
      <c r="D115" s="119"/>
      <c r="E115" s="119"/>
      <c r="F115" s="119"/>
      <c r="G115" s="119"/>
      <c r="H115" s="119"/>
      <c r="I115" s="119"/>
    </row>
    <row r="116" spans="1:9" ht="45" customHeight="1">
      <c r="A116" s="120" t="s">
        <v>16</v>
      </c>
      <c r="B116" s="120"/>
      <c r="C116" s="120"/>
      <c r="D116" s="120"/>
      <c r="E116" s="120"/>
      <c r="F116" s="120"/>
      <c r="G116" s="120"/>
      <c r="H116" s="120"/>
      <c r="I116" s="120"/>
    </row>
    <row r="117" spans="1:9" ht="30" customHeight="1">
      <c r="A117" s="120" t="s">
        <v>17</v>
      </c>
      <c r="B117" s="120"/>
      <c r="C117" s="120"/>
      <c r="D117" s="120"/>
      <c r="E117" s="120"/>
      <c r="F117" s="120"/>
      <c r="G117" s="120"/>
      <c r="H117" s="120"/>
      <c r="I117" s="120"/>
    </row>
    <row r="118" spans="1:9" ht="30" customHeight="1">
      <c r="A118" s="120" t="s">
        <v>21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15" customHeight="1">
      <c r="A119" s="120" t="s">
        <v>20</v>
      </c>
      <c r="B119" s="120"/>
      <c r="C119" s="120"/>
      <c r="D119" s="120"/>
      <c r="E119" s="120"/>
      <c r="F119" s="120"/>
      <c r="G119" s="120"/>
      <c r="H119" s="120"/>
      <c r="I119" s="120"/>
    </row>
  </sheetData>
  <autoFilter ref="I12:I57"/>
  <mergeCells count="29">
    <mergeCell ref="A115:I115"/>
    <mergeCell ref="A116:I116"/>
    <mergeCell ref="A117:I117"/>
    <mergeCell ref="A118:I118"/>
    <mergeCell ref="A119:I119"/>
    <mergeCell ref="R62:U62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4"/>
  <sheetViews>
    <sheetView tabSelected="1" topLeftCell="A91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3"/>
      <c r="K3" s="3"/>
      <c r="L3" s="3"/>
    </row>
    <row r="4" spans="1:13" ht="31.5" customHeight="1">
      <c r="A4" s="142" t="s">
        <v>155</v>
      </c>
      <c r="B4" s="142"/>
      <c r="C4" s="142"/>
      <c r="D4" s="142"/>
      <c r="E4" s="142"/>
      <c r="F4" s="142"/>
      <c r="G4" s="142"/>
      <c r="H4" s="142"/>
      <c r="I4" s="142"/>
    </row>
    <row r="5" spans="1:13" ht="15.75">
      <c r="A5" s="141" t="s">
        <v>272</v>
      </c>
      <c r="B5" s="143"/>
      <c r="C5" s="143"/>
      <c r="D5" s="143"/>
      <c r="E5" s="143"/>
      <c r="F5" s="143"/>
      <c r="G5" s="143"/>
      <c r="H5" s="143"/>
      <c r="I5" s="143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31">
        <v>44196</v>
      </c>
      <c r="J6" s="2"/>
      <c r="K6" s="2"/>
      <c r="L6" s="2"/>
      <c r="M6" s="2"/>
    </row>
    <row r="7" spans="1:13" ht="15.75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4" t="s">
        <v>256</v>
      </c>
      <c r="B8" s="144"/>
      <c r="C8" s="144"/>
      <c r="D8" s="144"/>
      <c r="E8" s="144"/>
      <c r="F8" s="144"/>
      <c r="G8" s="144"/>
      <c r="H8" s="144"/>
      <c r="I8" s="1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5" t="s">
        <v>147</v>
      </c>
      <c r="B10" s="145"/>
      <c r="C10" s="145"/>
      <c r="D10" s="145"/>
      <c r="E10" s="145"/>
      <c r="F10" s="145"/>
      <c r="G10" s="145"/>
      <c r="H10" s="145"/>
      <c r="I10" s="14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0" t="s">
        <v>57</v>
      </c>
      <c r="B14" s="140"/>
      <c r="C14" s="140"/>
      <c r="D14" s="140"/>
      <c r="E14" s="140"/>
      <c r="F14" s="140"/>
      <c r="G14" s="140"/>
      <c r="H14" s="140"/>
      <c r="I14" s="140"/>
      <c r="J14" s="8"/>
      <c r="K14" s="8"/>
      <c r="L14" s="8"/>
      <c r="M14" s="8"/>
    </row>
    <row r="15" spans="1:13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  <c r="J15" s="8"/>
      <c r="K15" s="8"/>
      <c r="L15" s="8"/>
      <c r="M15" s="8"/>
    </row>
    <row r="16" spans="1:13" ht="15.75" customHeight="1">
      <c r="A16" s="30">
        <v>1</v>
      </c>
      <c r="B16" s="81" t="s">
        <v>81</v>
      </c>
      <c r="C16" s="82" t="s">
        <v>82</v>
      </c>
      <c r="D16" s="81" t="s">
        <v>164</v>
      </c>
      <c r="E16" s="99">
        <v>62.28</v>
      </c>
      <c r="F16" s="92">
        <f>SUM(E16*156/100)</f>
        <v>97.156800000000004</v>
      </c>
      <c r="G16" s="92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112</v>
      </c>
      <c r="C17" s="82" t="s">
        <v>82</v>
      </c>
      <c r="D17" s="81" t="s">
        <v>165</v>
      </c>
      <c r="E17" s="99">
        <v>311.42</v>
      </c>
      <c r="F17" s="92">
        <f>SUM(E17*104/100)</f>
        <v>323.8768</v>
      </c>
      <c r="G17" s="92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113</v>
      </c>
      <c r="C18" s="82" t="s">
        <v>82</v>
      </c>
      <c r="D18" s="81" t="s">
        <v>172</v>
      </c>
      <c r="E18" s="99">
        <v>373.7</v>
      </c>
      <c r="F18" s="92">
        <f>SUM(E18*18/100)</f>
        <v>67.265999999999991</v>
      </c>
      <c r="G18" s="92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1" t="s">
        <v>89</v>
      </c>
      <c r="C19" s="82" t="s">
        <v>90</v>
      </c>
      <c r="D19" s="81" t="s">
        <v>91</v>
      </c>
      <c r="E19" s="99">
        <v>38.4</v>
      </c>
      <c r="F19" s="92">
        <f>SUM(E19/10)</f>
        <v>3.84</v>
      </c>
      <c r="G19" s="92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92</v>
      </c>
      <c r="C20" s="82" t="s">
        <v>82</v>
      </c>
      <c r="D20" s="81" t="s">
        <v>172</v>
      </c>
      <c r="E20" s="99">
        <v>35.04</v>
      </c>
      <c r="F20" s="92">
        <f>SUM(E20*12/100)</f>
        <v>4.2048000000000005</v>
      </c>
      <c r="G20" s="92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93</v>
      </c>
      <c r="C21" s="82" t="s">
        <v>82</v>
      </c>
      <c r="D21" s="81" t="s">
        <v>172</v>
      </c>
      <c r="E21" s="99">
        <v>9.08</v>
      </c>
      <c r="F21" s="92">
        <f>SUM(E21*12/100)</f>
        <v>1.0896000000000001</v>
      </c>
      <c r="G21" s="92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1" t="s">
        <v>94</v>
      </c>
      <c r="C22" s="82" t="s">
        <v>51</v>
      </c>
      <c r="D22" s="81" t="s">
        <v>91</v>
      </c>
      <c r="E22" s="99">
        <v>629</v>
      </c>
      <c r="F22" s="92">
        <f>SUM(E22/100)</f>
        <v>6.29</v>
      </c>
      <c r="G22" s="92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95</v>
      </c>
      <c r="C23" s="82" t="s">
        <v>51</v>
      </c>
      <c r="D23" s="81" t="s">
        <v>91</v>
      </c>
      <c r="E23" s="100">
        <v>58</v>
      </c>
      <c r="F23" s="92">
        <f>SUM(E23/100)</f>
        <v>0.57999999999999996</v>
      </c>
      <c r="G23" s="92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1" t="s">
        <v>96</v>
      </c>
      <c r="C24" s="82" t="s">
        <v>51</v>
      </c>
      <c r="D24" s="81" t="s">
        <v>172</v>
      </c>
      <c r="E24" s="99">
        <v>24</v>
      </c>
      <c r="F24" s="92">
        <f>E24*12/100</f>
        <v>2.88</v>
      </c>
      <c r="G24" s="92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1" t="s">
        <v>97</v>
      </c>
      <c r="C25" s="82" t="s">
        <v>51</v>
      </c>
      <c r="D25" s="81" t="s">
        <v>52</v>
      </c>
      <c r="E25" s="99">
        <v>17</v>
      </c>
      <c r="F25" s="92">
        <f>SUM(E25/100)</f>
        <v>0.17</v>
      </c>
      <c r="G25" s="92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119</v>
      </c>
      <c r="C26" s="82" t="s">
        <v>51</v>
      </c>
      <c r="D26" s="81" t="s">
        <v>52</v>
      </c>
      <c r="E26" s="99">
        <v>24</v>
      </c>
      <c r="F26" s="92">
        <v>0.24</v>
      </c>
      <c r="G26" s="92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1" t="s">
        <v>163</v>
      </c>
      <c r="C27" s="82" t="s">
        <v>25</v>
      </c>
      <c r="D27" s="81" t="s">
        <v>168</v>
      </c>
      <c r="E27" s="91">
        <v>16</v>
      </c>
      <c r="F27" s="92">
        <f>E27*258</f>
        <v>4128</v>
      </c>
      <c r="G27" s="92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148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36" t="s">
        <v>80</v>
      </c>
      <c r="B29" s="136"/>
      <c r="C29" s="136"/>
      <c r="D29" s="136"/>
      <c r="E29" s="136"/>
      <c r="F29" s="136"/>
      <c r="G29" s="136"/>
      <c r="H29" s="136"/>
      <c r="I29" s="136"/>
      <c r="J29" s="23"/>
      <c r="K29" s="8"/>
      <c r="L29" s="8"/>
      <c r="M29" s="8"/>
    </row>
    <row r="30" spans="1:13" ht="15.75" hidden="1" customHeight="1">
      <c r="A30" s="30"/>
      <c r="B30" s="65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101</v>
      </c>
      <c r="C31" s="16" t="s">
        <v>84</v>
      </c>
      <c r="D31" s="14" t="s">
        <v>150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115</v>
      </c>
      <c r="C32" s="16" t="s">
        <v>84</v>
      </c>
      <c r="D32" s="14" t="s">
        <v>151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84</v>
      </c>
      <c r="D33" s="14" t="s">
        <v>52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114</v>
      </c>
      <c r="C34" s="16" t="s">
        <v>39</v>
      </c>
      <c r="D34" s="14" t="s">
        <v>61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100</v>
      </c>
      <c r="C35" s="16" t="s">
        <v>30</v>
      </c>
      <c r="D35" s="14" t="s">
        <v>61</v>
      </c>
      <c r="E35" s="60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62</v>
      </c>
      <c r="C36" s="16" t="s">
        <v>32</v>
      </c>
      <c r="D36" s="14" t="s">
        <v>64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63</v>
      </c>
      <c r="C37" s="16" t="s">
        <v>31</v>
      </c>
      <c r="D37" s="14" t="s">
        <v>64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121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117" t="s">
        <v>5</v>
      </c>
      <c r="C39" s="16"/>
      <c r="D39" s="14"/>
      <c r="E39" s="18"/>
      <c r="F39" s="13"/>
      <c r="G39" s="13"/>
      <c r="H39" s="13" t="s">
        <v>134</v>
      </c>
      <c r="I39" s="13"/>
      <c r="J39" s="24"/>
      <c r="L39" s="19"/>
      <c r="M39" s="20"/>
      <c r="N39" s="21"/>
    </row>
    <row r="40" spans="1:14" ht="15.75" hidden="1" customHeight="1">
      <c r="A40" s="30">
        <v>8</v>
      </c>
      <c r="B40" s="111" t="s">
        <v>26</v>
      </c>
      <c r="C40" s="82" t="s">
        <v>31</v>
      </c>
      <c r="D40" s="81"/>
      <c r="E40" s="99"/>
      <c r="F40" s="92">
        <v>8</v>
      </c>
      <c r="G40" s="92">
        <v>1930</v>
      </c>
      <c r="H40" s="13">
        <f t="shared" ref="H40:H43" si="3">SUM(F40*G40/1000)</f>
        <v>15.44</v>
      </c>
      <c r="I40" s="13">
        <f>G40*1</f>
        <v>1930</v>
      </c>
      <c r="J40" s="24"/>
      <c r="L40" s="19"/>
      <c r="M40" s="20"/>
      <c r="N40" s="21"/>
    </row>
    <row r="41" spans="1:14" ht="15.75" customHeight="1">
      <c r="A41" s="30">
        <v>8</v>
      </c>
      <c r="B41" s="111" t="s">
        <v>102</v>
      </c>
      <c r="C41" s="112" t="s">
        <v>29</v>
      </c>
      <c r="D41" s="81" t="s">
        <v>257</v>
      </c>
      <c r="E41" s="99">
        <v>182</v>
      </c>
      <c r="F41" s="113">
        <f>E41*35/1000</f>
        <v>6.37</v>
      </c>
      <c r="G41" s="92">
        <v>3134.93</v>
      </c>
      <c r="H41" s="13">
        <f>G41*F41/1000</f>
        <v>19.969504099999998</v>
      </c>
      <c r="I41" s="13">
        <f t="shared" ref="I41:I43" si="4">F41/6*G41</f>
        <v>3328.2506833333337</v>
      </c>
      <c r="J41" s="24"/>
      <c r="L41" s="19"/>
      <c r="M41" s="20"/>
      <c r="N41" s="21"/>
    </row>
    <row r="42" spans="1:14" ht="15.75" hidden="1" customHeight="1">
      <c r="A42" s="30">
        <v>9</v>
      </c>
      <c r="B42" s="111" t="s">
        <v>258</v>
      </c>
      <c r="C42" s="112" t="s">
        <v>259</v>
      </c>
      <c r="D42" s="81"/>
      <c r="E42" s="99"/>
      <c r="F42" s="113">
        <v>65</v>
      </c>
      <c r="G42" s="92">
        <v>343</v>
      </c>
      <c r="H42" s="13">
        <f t="shared" si="3"/>
        <v>22.295000000000002</v>
      </c>
      <c r="I42" s="13">
        <f t="shared" si="4"/>
        <v>3715.8333333333335</v>
      </c>
      <c r="J42" s="24"/>
      <c r="L42" s="19"/>
      <c r="M42" s="20"/>
      <c r="N42" s="21"/>
    </row>
    <row r="43" spans="1:14" ht="47.25" customHeight="1">
      <c r="A43" s="30">
        <v>9</v>
      </c>
      <c r="B43" s="111" t="s">
        <v>260</v>
      </c>
      <c r="C43" s="112" t="s">
        <v>29</v>
      </c>
      <c r="D43" s="81" t="s">
        <v>261</v>
      </c>
      <c r="E43" s="99">
        <v>3</v>
      </c>
      <c r="F43" s="113">
        <f>E43*12/1000</f>
        <v>3.5999999999999997E-2</v>
      </c>
      <c r="G43" s="92">
        <v>20547.34</v>
      </c>
      <c r="H43" s="13">
        <f t="shared" si="3"/>
        <v>0.7397042399999999</v>
      </c>
      <c r="I43" s="13">
        <f t="shared" si="4"/>
        <v>123.28403999999999</v>
      </c>
      <c r="J43" s="24"/>
      <c r="L43" s="19"/>
      <c r="M43" s="20"/>
      <c r="N43" s="21"/>
    </row>
    <row r="44" spans="1:14" ht="15" customHeight="1">
      <c r="A44" s="137" t="s">
        <v>130</v>
      </c>
      <c r="B44" s="138"/>
      <c r="C44" s="138"/>
      <c r="D44" s="138"/>
      <c r="E44" s="138"/>
      <c r="F44" s="138"/>
      <c r="G44" s="138"/>
      <c r="H44" s="138"/>
      <c r="I44" s="139"/>
      <c r="J44" s="24"/>
      <c r="L44" s="19"/>
      <c r="M44" s="20"/>
      <c r="N44" s="21"/>
    </row>
    <row r="45" spans="1:14" ht="15.75" hidden="1" customHeight="1">
      <c r="A45" s="30"/>
      <c r="B45" s="14" t="s">
        <v>135</v>
      </c>
      <c r="C45" s="16" t="s">
        <v>84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84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84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84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customHeight="1">
      <c r="A50" s="30">
        <v>10</v>
      </c>
      <c r="B50" s="81" t="s">
        <v>54</v>
      </c>
      <c r="C50" s="82" t="s">
        <v>84</v>
      </c>
      <c r="D50" s="81" t="s">
        <v>167</v>
      </c>
      <c r="E50" s="99">
        <v>5367.6</v>
      </c>
      <c r="F50" s="92">
        <f>SUM(E50*5/1000)</f>
        <v>26.838000000000001</v>
      </c>
      <c r="G50" s="34">
        <v>1809.27</v>
      </c>
      <c r="H50" s="13">
        <f t="shared" si="5"/>
        <v>48.557188260000004</v>
      </c>
      <c r="I50" s="13">
        <f>F50/5*G50</f>
        <v>9711.4376520000005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86</v>
      </c>
      <c r="C51" s="16" t="s">
        <v>84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17</v>
      </c>
      <c r="B52" s="14" t="s">
        <v>87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customHeight="1">
      <c r="A54" s="30">
        <v>11</v>
      </c>
      <c r="B54" s="81" t="s">
        <v>40</v>
      </c>
      <c r="C54" s="82" t="s">
        <v>103</v>
      </c>
      <c r="D54" s="81" t="s">
        <v>275</v>
      </c>
      <c r="E54" s="99">
        <v>120</v>
      </c>
      <c r="F54" s="92">
        <f>SUM(E54)*3</f>
        <v>360</v>
      </c>
      <c r="G54" s="102">
        <v>97.93</v>
      </c>
      <c r="H54" s="13">
        <f t="shared" si="5"/>
        <v>35.254800000000003</v>
      </c>
      <c r="I54" s="13">
        <f>E54*G54</f>
        <v>11751.6</v>
      </c>
      <c r="J54" s="24"/>
      <c r="L54" s="19"/>
      <c r="M54" s="20"/>
      <c r="N54" s="21"/>
    </row>
    <row r="55" spans="1:22" ht="15.75" customHeight="1">
      <c r="A55" s="137" t="s">
        <v>131</v>
      </c>
      <c r="B55" s="138"/>
      <c r="C55" s="138"/>
      <c r="D55" s="138"/>
      <c r="E55" s="138"/>
      <c r="F55" s="138"/>
      <c r="G55" s="138"/>
      <c r="H55" s="138"/>
      <c r="I55" s="139"/>
      <c r="J55" s="24"/>
      <c r="L55" s="19"/>
      <c r="M55" s="20"/>
      <c r="N55" s="21"/>
    </row>
    <row r="56" spans="1:22" ht="15.75" hidden="1" customHeight="1">
      <c r="A56" s="30"/>
      <c r="B56" s="65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17</v>
      </c>
      <c r="B57" s="14" t="s">
        <v>136</v>
      </c>
      <c r="C57" s="16" t="s">
        <v>82</v>
      </c>
      <c r="D57" s="14" t="s">
        <v>104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65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116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12</v>
      </c>
      <c r="B60" s="14" t="s">
        <v>117</v>
      </c>
      <c r="C60" s="16" t="s">
        <v>25</v>
      </c>
      <c r="D60" s="14" t="s">
        <v>172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customHeight="1">
      <c r="A61" s="30"/>
      <c r="B61" s="65" t="s">
        <v>124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13</v>
      </c>
      <c r="B62" s="14" t="s">
        <v>125</v>
      </c>
      <c r="C62" s="16" t="s">
        <v>103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f>G62</f>
        <v>237.75</v>
      </c>
      <c r="J62" s="5"/>
      <c r="K62" s="5"/>
      <c r="L62" s="5"/>
      <c r="M62" s="5"/>
      <c r="N62" s="5"/>
      <c r="O62" s="5"/>
      <c r="P62" s="5"/>
      <c r="Q62" s="5"/>
      <c r="R62" s="121"/>
      <c r="S62" s="121"/>
      <c r="T62" s="121"/>
      <c r="U62" s="121"/>
    </row>
    <row r="63" spans="1:22" ht="15.75" customHeight="1">
      <c r="A63" s="30"/>
      <c r="B63" s="65" t="s">
        <v>44</v>
      </c>
      <c r="C63" s="16"/>
      <c r="D63" s="14"/>
      <c r="E63" s="18"/>
      <c r="F63" s="13"/>
      <c r="G63" s="13"/>
      <c r="H63" s="13" t="s">
        <v>134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14</v>
      </c>
      <c r="B64" s="14" t="s">
        <v>45</v>
      </c>
      <c r="C64" s="16" t="s">
        <v>103</v>
      </c>
      <c r="D64" s="14" t="s">
        <v>172</v>
      </c>
      <c r="E64" s="18">
        <v>10</v>
      </c>
      <c r="F64" s="13">
        <v>10</v>
      </c>
      <c r="G64" s="90">
        <v>331.57</v>
      </c>
      <c r="H64" s="13">
        <f t="shared" ref="H64:H81" si="7">SUM(F64*G64/1000)</f>
        <v>3.3156999999999996</v>
      </c>
      <c r="I64" s="13">
        <f>G64*1</f>
        <v>331.57</v>
      </c>
    </row>
    <row r="65" spans="1:9" ht="15.75" hidden="1" customHeight="1">
      <c r="A65" s="30"/>
      <c r="B65" s="14" t="s">
        <v>46</v>
      </c>
      <c r="C65" s="16" t="s">
        <v>103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105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106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5.75" hidden="1" customHeight="1">
      <c r="A69" s="30"/>
      <c r="B69" s="61" t="s">
        <v>107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15.75" hidden="1" customHeight="1">
      <c r="A70" s="30"/>
      <c r="B70" s="61" t="s">
        <v>108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15.75" customHeight="1">
      <c r="A72" s="30"/>
      <c r="B72" s="106" t="s">
        <v>242</v>
      </c>
      <c r="C72" s="94"/>
      <c r="D72" s="73"/>
      <c r="E72" s="17"/>
      <c r="F72" s="34"/>
      <c r="G72" s="34"/>
      <c r="H72" s="13"/>
      <c r="I72" s="13"/>
    </row>
    <row r="73" spans="1:9" ht="27.75" customHeight="1">
      <c r="A73" s="30">
        <v>15</v>
      </c>
      <c r="B73" s="73" t="s">
        <v>243</v>
      </c>
      <c r="C73" s="89" t="s">
        <v>244</v>
      </c>
      <c r="D73" s="73"/>
      <c r="E73" s="17">
        <v>5367.6</v>
      </c>
      <c r="F73" s="78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8" customHeight="1">
      <c r="A74" s="30"/>
      <c r="B74" s="65" t="s">
        <v>69</v>
      </c>
      <c r="C74" s="16"/>
      <c r="D74" s="14"/>
      <c r="E74" s="18"/>
      <c r="F74" s="13"/>
      <c r="G74" s="13"/>
      <c r="H74" s="13" t="s">
        <v>134</v>
      </c>
      <c r="I74" s="13"/>
    </row>
    <row r="75" spans="1:9" ht="15.75" customHeight="1">
      <c r="A75" s="30">
        <v>16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90">
        <v>747.85</v>
      </c>
      <c r="H75" s="13">
        <f t="shared" si="7"/>
        <v>0.29914000000000002</v>
      </c>
      <c r="I75" s="13">
        <f>G75*0.2</f>
        <v>149.57000000000002</v>
      </c>
    </row>
    <row r="76" spans="1:9" ht="17.2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8" hidden="1" customHeight="1">
      <c r="A77" s="30"/>
      <c r="B77" s="14" t="s">
        <v>110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36.75" customHeight="1">
      <c r="A78" s="30">
        <v>17</v>
      </c>
      <c r="B78" s="73" t="s">
        <v>240</v>
      </c>
      <c r="C78" s="94" t="s">
        <v>30</v>
      </c>
      <c r="D78" s="73" t="s">
        <v>172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8" customHeight="1">
      <c r="A79" s="30">
        <v>18</v>
      </c>
      <c r="B79" s="73" t="s">
        <v>241</v>
      </c>
      <c r="C79" s="94" t="s">
        <v>30</v>
      </c>
      <c r="D79" s="73" t="s">
        <v>172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20.25" hidden="1" customHeight="1">
      <c r="A80" s="30"/>
      <c r="B80" s="58" t="s">
        <v>73</v>
      </c>
      <c r="C80" s="16"/>
      <c r="D80" s="14"/>
      <c r="E80" s="18"/>
      <c r="F80" s="13"/>
      <c r="G80" s="13" t="s">
        <v>134</v>
      </c>
      <c r="H80" s="13" t="s">
        <v>134</v>
      </c>
      <c r="I80" s="13"/>
    </row>
    <row r="81" spans="1:9" ht="18.75" hidden="1" customHeight="1">
      <c r="A81" s="30"/>
      <c r="B81" s="42" t="s">
        <v>120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7"/>
        <v>0.27594400000000002</v>
      </c>
      <c r="I81" s="13">
        <v>0</v>
      </c>
    </row>
    <row r="82" spans="1:9" ht="15" customHeight="1">
      <c r="A82" s="30"/>
      <c r="B82" s="65" t="s">
        <v>88</v>
      </c>
      <c r="C82" s="64"/>
      <c r="D82" s="64"/>
      <c r="E82" s="64"/>
      <c r="F82" s="64"/>
      <c r="G82" s="59"/>
      <c r="H82" s="59">
        <f>SUM(H57:H81)</f>
        <v>128.86742848</v>
      </c>
      <c r="I82" s="59"/>
    </row>
    <row r="83" spans="1:9" ht="16.5" customHeight="1">
      <c r="A83" s="30">
        <v>19</v>
      </c>
      <c r="B83" s="14" t="s">
        <v>109</v>
      </c>
      <c r="C83" s="16"/>
      <c r="D83" s="14"/>
      <c r="E83" s="18"/>
      <c r="F83" s="13">
        <v>1</v>
      </c>
      <c r="G83" s="13">
        <v>3137.8</v>
      </c>
      <c r="H83" s="13">
        <f>G83*F83/1000</f>
        <v>3.1378000000000004</v>
      </c>
      <c r="I83" s="13">
        <f>G83*1</f>
        <v>3137.8</v>
      </c>
    </row>
    <row r="84" spans="1:9" ht="15.75" customHeight="1">
      <c r="A84" s="122" t="s">
        <v>132</v>
      </c>
      <c r="B84" s="123"/>
      <c r="C84" s="123"/>
      <c r="D84" s="123"/>
      <c r="E84" s="123"/>
      <c r="F84" s="123"/>
      <c r="G84" s="123"/>
      <c r="H84" s="123"/>
      <c r="I84" s="124"/>
    </row>
    <row r="85" spans="1:9" ht="15.75" customHeight="1">
      <c r="A85" s="30">
        <v>20</v>
      </c>
      <c r="B85" s="73" t="s">
        <v>111</v>
      </c>
      <c r="C85" s="94" t="s">
        <v>53</v>
      </c>
      <c r="D85" s="107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21</v>
      </c>
      <c r="B86" s="85" t="s">
        <v>245</v>
      </c>
      <c r="C86" s="86" t="s">
        <v>25</v>
      </c>
      <c r="D86" s="108"/>
      <c r="E86" s="109">
        <f>E85</f>
        <v>5367.6</v>
      </c>
      <c r="F86" s="95">
        <f>E86*12</f>
        <v>64411.200000000004</v>
      </c>
      <c r="G86" s="95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77</v>
      </c>
      <c r="C87" s="58"/>
      <c r="D87" s="62"/>
      <c r="E87" s="59"/>
      <c r="F87" s="59"/>
      <c r="G87" s="59"/>
      <c r="H87" s="59">
        <f>H86</f>
        <v>208.69228800000002</v>
      </c>
      <c r="I87" s="59">
        <f>I86+I85+I83+I79+I78+I75+I73+I60+I54+I50+I43+I41+I27+I24+I21+I20+I18+I17+I16+I64</f>
        <v>97611.153259333354</v>
      </c>
    </row>
    <row r="88" spans="1:9" ht="15.75" customHeight="1">
      <c r="A88" s="133" t="s">
        <v>58</v>
      </c>
      <c r="B88" s="134"/>
      <c r="C88" s="134"/>
      <c r="D88" s="134"/>
      <c r="E88" s="134"/>
      <c r="F88" s="134"/>
      <c r="G88" s="134"/>
      <c r="H88" s="134"/>
      <c r="I88" s="135"/>
    </row>
    <row r="89" spans="1:9" ht="36" customHeight="1">
      <c r="A89" s="30">
        <v>22</v>
      </c>
      <c r="B89" s="45" t="s">
        <v>184</v>
      </c>
      <c r="C89" s="46" t="s">
        <v>37</v>
      </c>
      <c r="D89" s="71" t="s">
        <v>172</v>
      </c>
      <c r="E89" s="95"/>
      <c r="F89" s="34">
        <v>0.02</v>
      </c>
      <c r="G89" s="34">
        <v>4070.89</v>
      </c>
      <c r="H89" s="13"/>
      <c r="I89" s="13">
        <v>0</v>
      </c>
    </row>
    <row r="90" spans="1:9" ht="33" customHeight="1">
      <c r="A90" s="30">
        <v>23</v>
      </c>
      <c r="B90" s="45" t="s">
        <v>251</v>
      </c>
      <c r="C90" s="46" t="s">
        <v>103</v>
      </c>
      <c r="D90" s="73" t="s">
        <v>282</v>
      </c>
      <c r="E90" s="95"/>
      <c r="F90" s="34">
        <v>2</v>
      </c>
      <c r="G90" s="34">
        <v>945.36</v>
      </c>
      <c r="H90" s="72"/>
      <c r="I90" s="13">
        <f>G90*1</f>
        <v>945.36</v>
      </c>
    </row>
    <row r="91" spans="1:9" ht="19.5" customHeight="1">
      <c r="A91" s="30">
        <v>24</v>
      </c>
      <c r="B91" s="45" t="s">
        <v>161</v>
      </c>
      <c r="C91" s="46" t="s">
        <v>103</v>
      </c>
      <c r="D91" s="71"/>
      <c r="E91" s="95"/>
      <c r="F91" s="34">
        <v>2</v>
      </c>
      <c r="G91" s="34">
        <v>98</v>
      </c>
      <c r="H91" s="72"/>
      <c r="I91" s="13">
        <f>G91*1</f>
        <v>98</v>
      </c>
    </row>
    <row r="92" spans="1:9" ht="15.75" customHeight="1">
      <c r="A92" s="30">
        <v>25</v>
      </c>
      <c r="B92" s="45" t="s">
        <v>179</v>
      </c>
      <c r="C92" s="46" t="s">
        <v>103</v>
      </c>
      <c r="D92" s="71"/>
      <c r="E92" s="95"/>
      <c r="F92" s="34">
        <v>1</v>
      </c>
      <c r="G92" s="34">
        <v>46.75</v>
      </c>
      <c r="H92" s="72"/>
      <c r="I92" s="13">
        <f>G92*1</f>
        <v>46.75</v>
      </c>
    </row>
    <row r="93" spans="1:9" ht="15.75" customHeight="1">
      <c r="A93" s="30">
        <v>26</v>
      </c>
      <c r="B93" s="45" t="s">
        <v>276</v>
      </c>
      <c r="C93" s="46" t="s">
        <v>103</v>
      </c>
      <c r="D93" s="71"/>
      <c r="E93" s="95"/>
      <c r="F93" s="34">
        <v>1</v>
      </c>
      <c r="G93" s="34">
        <v>48.69</v>
      </c>
      <c r="H93" s="72"/>
      <c r="I93" s="13">
        <f>G93*1</f>
        <v>48.69</v>
      </c>
    </row>
    <row r="94" spans="1:9" ht="15.75" customHeight="1">
      <c r="A94" s="30">
        <v>27</v>
      </c>
      <c r="B94" s="45" t="s">
        <v>277</v>
      </c>
      <c r="C94" s="46" t="s">
        <v>30</v>
      </c>
      <c r="D94" s="71"/>
      <c r="E94" s="95"/>
      <c r="F94" s="34">
        <v>2</v>
      </c>
      <c r="G94" s="34">
        <v>28.36</v>
      </c>
      <c r="H94" s="72"/>
      <c r="I94" s="13">
        <f>G94*2</f>
        <v>56.72</v>
      </c>
    </row>
    <row r="95" spans="1:9" ht="15.75" customHeight="1">
      <c r="A95" s="30">
        <v>28</v>
      </c>
      <c r="B95" s="45" t="s">
        <v>177</v>
      </c>
      <c r="C95" s="46" t="s">
        <v>103</v>
      </c>
      <c r="D95" s="71"/>
      <c r="E95" s="95"/>
      <c r="F95" s="34">
        <v>1</v>
      </c>
      <c r="G95" s="34">
        <v>109.73</v>
      </c>
      <c r="H95" s="72"/>
      <c r="I95" s="13">
        <f>G95*1</f>
        <v>109.73</v>
      </c>
    </row>
    <row r="96" spans="1:9" ht="19.5" customHeight="1">
      <c r="A96" s="30">
        <v>29</v>
      </c>
      <c r="B96" s="45" t="s">
        <v>156</v>
      </c>
      <c r="C96" s="46" t="s">
        <v>160</v>
      </c>
      <c r="D96" s="71" t="s">
        <v>298</v>
      </c>
      <c r="E96" s="95"/>
      <c r="F96" s="34">
        <v>9</v>
      </c>
      <c r="G96" s="34">
        <v>284</v>
      </c>
      <c r="H96" s="72"/>
      <c r="I96" s="13">
        <v>0</v>
      </c>
    </row>
    <row r="97" spans="1:9" ht="17.25" customHeight="1">
      <c r="A97" s="30">
        <v>30</v>
      </c>
      <c r="B97" s="45" t="s">
        <v>278</v>
      </c>
      <c r="C97" s="46" t="s">
        <v>279</v>
      </c>
      <c r="D97" s="71"/>
      <c r="E97" s="78"/>
      <c r="F97" s="78">
        <v>1</v>
      </c>
      <c r="G97" s="78">
        <v>227</v>
      </c>
      <c r="H97" s="72"/>
      <c r="I97" s="13">
        <f>G97*1</f>
        <v>227</v>
      </c>
    </row>
    <row r="98" spans="1:9" ht="19.5" customHeight="1">
      <c r="A98" s="30">
        <v>31</v>
      </c>
      <c r="B98" s="45" t="s">
        <v>78</v>
      </c>
      <c r="C98" s="46" t="s">
        <v>103</v>
      </c>
      <c r="D98" s="85"/>
      <c r="E98" s="95"/>
      <c r="F98" s="116">
        <v>2</v>
      </c>
      <c r="G98" s="34">
        <v>215.85</v>
      </c>
      <c r="H98" s="72"/>
      <c r="I98" s="13">
        <f>G98*1</f>
        <v>215.85</v>
      </c>
    </row>
    <row r="99" spans="1:9" ht="19.5" customHeight="1">
      <c r="A99" s="30">
        <v>32</v>
      </c>
      <c r="B99" s="118" t="s">
        <v>280</v>
      </c>
      <c r="C99" s="89" t="s">
        <v>281</v>
      </c>
      <c r="D99" s="85" t="s">
        <v>283</v>
      </c>
      <c r="E99" s="95"/>
      <c r="F99" s="116">
        <v>0.14000000000000001</v>
      </c>
      <c r="G99" s="34">
        <v>433.19</v>
      </c>
      <c r="H99" s="72"/>
      <c r="I99" s="13">
        <f>G99*0.14</f>
        <v>60.646600000000007</v>
      </c>
    </row>
    <row r="100" spans="1:9" ht="19.5" customHeight="1">
      <c r="A100" s="30">
        <v>33</v>
      </c>
      <c r="B100" s="45" t="s">
        <v>213</v>
      </c>
      <c r="C100" s="46" t="s">
        <v>39</v>
      </c>
      <c r="D100" s="85" t="s">
        <v>172</v>
      </c>
      <c r="E100" s="95"/>
      <c r="F100" s="116">
        <v>0.01</v>
      </c>
      <c r="G100" s="34">
        <v>27139.18</v>
      </c>
      <c r="H100" s="72"/>
      <c r="I100" s="13">
        <v>0</v>
      </c>
    </row>
    <row r="101" spans="1:9" ht="15.75" customHeight="1">
      <c r="A101" s="30"/>
      <c r="B101" s="40" t="s">
        <v>50</v>
      </c>
      <c r="C101" s="36"/>
      <c r="D101" s="43"/>
      <c r="E101" s="36">
        <v>1</v>
      </c>
      <c r="F101" s="36"/>
      <c r="G101" s="36"/>
      <c r="H101" s="36"/>
      <c r="I101" s="32">
        <f>SUM(I89:I100)</f>
        <v>1808.7466000000002</v>
      </c>
    </row>
    <row r="102" spans="1:9" ht="15.75" customHeight="1">
      <c r="A102" s="30"/>
      <c r="B102" s="42" t="s">
        <v>76</v>
      </c>
      <c r="C102" s="15"/>
      <c r="D102" s="15"/>
      <c r="E102" s="37"/>
      <c r="F102" s="37"/>
      <c r="G102" s="38"/>
      <c r="H102" s="38"/>
      <c r="I102" s="17">
        <v>0</v>
      </c>
    </row>
    <row r="103" spans="1:9" ht="15.75" customHeight="1">
      <c r="A103" s="44"/>
      <c r="B103" s="41" t="s">
        <v>149</v>
      </c>
      <c r="C103" s="33"/>
      <c r="D103" s="33"/>
      <c r="E103" s="33"/>
      <c r="F103" s="33"/>
      <c r="G103" s="33"/>
      <c r="H103" s="33"/>
      <c r="I103" s="39">
        <f>I87+I101</f>
        <v>99419.899859333353</v>
      </c>
    </row>
    <row r="104" spans="1:9" ht="15.75" customHeight="1">
      <c r="A104" s="125" t="s">
        <v>299</v>
      </c>
      <c r="B104" s="125"/>
      <c r="C104" s="125"/>
      <c r="D104" s="125"/>
      <c r="E104" s="125"/>
      <c r="F104" s="125"/>
      <c r="G104" s="125"/>
      <c r="H104" s="125"/>
      <c r="I104" s="125"/>
    </row>
    <row r="105" spans="1:9" ht="15.75">
      <c r="A105" s="53"/>
      <c r="B105" s="126" t="s">
        <v>300</v>
      </c>
      <c r="C105" s="126"/>
      <c r="D105" s="126"/>
      <c r="E105" s="126"/>
      <c r="F105" s="126"/>
      <c r="G105" s="126"/>
      <c r="H105" s="57"/>
      <c r="I105" s="3"/>
    </row>
    <row r="106" spans="1:9" ht="15.75" customHeight="1">
      <c r="A106" s="67"/>
      <c r="B106" s="127" t="s">
        <v>6</v>
      </c>
      <c r="C106" s="127"/>
      <c r="D106" s="127"/>
      <c r="E106" s="127"/>
      <c r="F106" s="127"/>
      <c r="G106" s="127"/>
      <c r="H106" s="25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28" t="s">
        <v>7</v>
      </c>
      <c r="B108" s="128"/>
      <c r="C108" s="128"/>
      <c r="D108" s="128"/>
      <c r="E108" s="128"/>
      <c r="F108" s="128"/>
      <c r="G108" s="128"/>
      <c r="H108" s="128"/>
      <c r="I108" s="128"/>
    </row>
    <row r="109" spans="1:9" ht="15.75" customHeight="1">
      <c r="A109" s="128" t="s">
        <v>8</v>
      </c>
      <c r="B109" s="128"/>
      <c r="C109" s="128"/>
      <c r="D109" s="128"/>
      <c r="E109" s="128"/>
      <c r="F109" s="128"/>
      <c r="G109" s="128"/>
      <c r="H109" s="128"/>
      <c r="I109" s="128"/>
    </row>
    <row r="110" spans="1:9" ht="15.75">
      <c r="A110" s="129" t="s">
        <v>59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15.75" customHeight="1">
      <c r="A111" s="11"/>
    </row>
    <row r="112" spans="1:9" ht="15.75" customHeight="1">
      <c r="A112" s="130" t="s">
        <v>9</v>
      </c>
      <c r="B112" s="130"/>
      <c r="C112" s="130"/>
      <c r="D112" s="130"/>
      <c r="E112" s="130"/>
      <c r="F112" s="130"/>
      <c r="G112" s="130"/>
      <c r="H112" s="130"/>
      <c r="I112" s="130"/>
    </row>
    <row r="113" spans="1:9" ht="15.75" customHeight="1">
      <c r="A113" s="4"/>
    </row>
    <row r="114" spans="1:9" ht="15.75">
      <c r="B114" s="69" t="s">
        <v>10</v>
      </c>
      <c r="C114" s="131" t="s">
        <v>254</v>
      </c>
      <c r="D114" s="131"/>
      <c r="E114" s="131"/>
      <c r="F114" s="55"/>
      <c r="I114" s="70"/>
    </row>
    <row r="115" spans="1:9" ht="15.75" customHeight="1">
      <c r="A115" s="67"/>
      <c r="C115" s="127" t="s">
        <v>11</v>
      </c>
      <c r="D115" s="127"/>
      <c r="E115" s="127"/>
      <c r="F115" s="25"/>
      <c r="I115" s="68" t="s">
        <v>12</v>
      </c>
    </row>
    <row r="116" spans="1:9" ht="15.75" customHeight="1">
      <c r="A116" s="26"/>
      <c r="C116" s="12"/>
      <c r="D116" s="12"/>
      <c r="G116" s="12"/>
      <c r="H116" s="12"/>
    </row>
    <row r="117" spans="1:9" ht="15.75" customHeight="1">
      <c r="B117" s="69" t="s">
        <v>13</v>
      </c>
      <c r="C117" s="132"/>
      <c r="D117" s="132"/>
      <c r="E117" s="132"/>
      <c r="F117" s="56"/>
      <c r="I117" s="70"/>
    </row>
    <row r="118" spans="1:9" ht="15.75" customHeight="1">
      <c r="A118" s="67"/>
      <c r="C118" s="121" t="s">
        <v>11</v>
      </c>
      <c r="D118" s="121"/>
      <c r="E118" s="121"/>
      <c r="F118" s="67"/>
      <c r="I118" s="68" t="s">
        <v>12</v>
      </c>
    </row>
    <row r="119" spans="1:9" ht="15.75">
      <c r="A119" s="4" t="s">
        <v>14</v>
      </c>
    </row>
    <row r="120" spans="1:9" ht="15.75" customHeight="1">
      <c r="A120" s="119" t="s">
        <v>15</v>
      </c>
      <c r="B120" s="119"/>
      <c r="C120" s="119"/>
      <c r="D120" s="119"/>
      <c r="E120" s="119"/>
      <c r="F120" s="119"/>
      <c r="G120" s="119"/>
      <c r="H120" s="119"/>
      <c r="I120" s="119"/>
    </row>
    <row r="121" spans="1:9" ht="45" customHeight="1">
      <c r="A121" s="120" t="s">
        <v>16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30" customHeight="1">
      <c r="A122" s="120" t="s">
        <v>17</v>
      </c>
      <c r="B122" s="120"/>
      <c r="C122" s="120"/>
      <c r="D122" s="120"/>
      <c r="E122" s="120"/>
      <c r="F122" s="120"/>
      <c r="G122" s="120"/>
      <c r="H122" s="120"/>
      <c r="I122" s="120"/>
    </row>
    <row r="123" spans="1:9" ht="30" customHeight="1">
      <c r="A123" s="120" t="s">
        <v>21</v>
      </c>
      <c r="B123" s="120"/>
      <c r="C123" s="120"/>
      <c r="D123" s="120"/>
      <c r="E123" s="120"/>
      <c r="F123" s="120"/>
      <c r="G123" s="120"/>
      <c r="H123" s="120"/>
      <c r="I123" s="120"/>
    </row>
    <row r="124" spans="1:9" ht="15" customHeight="1">
      <c r="A124" s="120" t="s">
        <v>20</v>
      </c>
      <c r="B124" s="120"/>
      <c r="C124" s="120"/>
      <c r="D124" s="120"/>
      <c r="E124" s="120"/>
      <c r="F124" s="120"/>
      <c r="G124" s="120"/>
      <c r="H124" s="120"/>
      <c r="I124" s="120"/>
    </row>
  </sheetData>
  <autoFilter ref="I12:I57"/>
  <mergeCells count="29">
    <mergeCell ref="A120:I120"/>
    <mergeCell ref="A121:I121"/>
    <mergeCell ref="A122:I122"/>
    <mergeCell ref="A123:I123"/>
    <mergeCell ref="A124:I124"/>
    <mergeCell ref="R62:U62"/>
    <mergeCell ref="C118:E118"/>
    <mergeCell ref="A88:I8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2021-02-11T05:35:43Z</cp:lastPrinted>
  <dcterms:created xsi:type="dcterms:W3CDTF">2016-03-25T08:33:47Z</dcterms:created>
  <dcterms:modified xsi:type="dcterms:W3CDTF">2021-02-11T05:37:26Z</dcterms:modified>
</cp:coreProperties>
</file>