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строит.8" sheetId="1" r:id="rId1"/>
    <sheet name="Лист1" sheetId="2" r:id="rId2"/>
  </sheets>
  <definedNames>
    <definedName name="_xlnm.Print_Area" localSheetId="0">строит.8!$A$1:$U$108</definedName>
  </definedNames>
  <calcPr calcId="124519"/>
</workbook>
</file>

<file path=xl/calcChain.xml><?xml version="1.0" encoding="utf-8"?>
<calcChain xmlns="http://schemas.openxmlformats.org/spreadsheetml/2006/main">
  <c r="U53" i="1"/>
  <c r="H42"/>
  <c r="U42"/>
  <c r="H33"/>
  <c r="U33"/>
  <c r="H96"/>
  <c r="U96"/>
  <c r="U95"/>
  <c r="P95"/>
  <c r="H95"/>
  <c r="U94"/>
  <c r="P94"/>
  <c r="H94"/>
  <c r="T91"/>
  <c r="S91"/>
  <c r="Q91"/>
  <c r="U93"/>
  <c r="R93"/>
  <c r="H93"/>
  <c r="N63"/>
  <c r="R63"/>
  <c r="P63"/>
  <c r="Q64"/>
  <c r="S63"/>
  <c r="U92"/>
  <c r="R92"/>
  <c r="N92"/>
  <c r="H92"/>
  <c r="S88"/>
  <c r="P88"/>
  <c r="N88"/>
  <c r="U91"/>
  <c r="H91"/>
  <c r="U90"/>
  <c r="O90"/>
  <c r="H90"/>
  <c r="K36"/>
  <c r="T99"/>
  <c r="S99"/>
  <c r="T81"/>
  <c r="S81"/>
  <c r="T79"/>
  <c r="S79"/>
  <c r="T61"/>
  <c r="S61"/>
  <c r="T55"/>
  <c r="S55"/>
  <c r="T52"/>
  <c r="T48"/>
  <c r="T41"/>
  <c r="S41"/>
  <c r="T40"/>
  <c r="S40"/>
  <c r="T39"/>
  <c r="S39"/>
  <c r="T38"/>
  <c r="S38"/>
  <c r="T37"/>
  <c r="S37"/>
  <c r="T35"/>
  <c r="S35"/>
  <c r="T32"/>
  <c r="T31"/>
  <c r="S31"/>
  <c r="T28"/>
  <c r="S28"/>
  <c r="S16"/>
  <c r="T15"/>
  <c r="S15"/>
  <c r="T13"/>
  <c r="S13"/>
  <c r="T12"/>
  <c r="S12"/>
  <c r="T11"/>
  <c r="S11"/>
  <c r="R99"/>
  <c r="Q99"/>
  <c r="P99"/>
  <c r="O99"/>
  <c r="N99"/>
  <c r="R81"/>
  <c r="Q81"/>
  <c r="P81"/>
  <c r="O81"/>
  <c r="N81"/>
  <c r="R79"/>
  <c r="Q79"/>
  <c r="P79"/>
  <c r="O79"/>
  <c r="N79"/>
  <c r="N78"/>
  <c r="Q70"/>
  <c r="R61"/>
  <c r="Q61"/>
  <c r="P61"/>
  <c r="O61"/>
  <c r="N61"/>
  <c r="Q52"/>
  <c r="Q51"/>
  <c r="Q50"/>
  <c r="Q49"/>
  <c r="Q48"/>
  <c r="R47"/>
  <c r="R46"/>
  <c r="R45"/>
  <c r="R44"/>
  <c r="Q32"/>
  <c r="N32"/>
  <c r="K32"/>
  <c r="R31"/>
  <c r="Q31"/>
  <c r="P31"/>
  <c r="O31"/>
  <c r="N31"/>
  <c r="R28"/>
  <c r="Q28"/>
  <c r="P28"/>
  <c r="O28"/>
  <c r="N28"/>
  <c r="R27"/>
  <c r="Q27"/>
  <c r="P27"/>
  <c r="O27"/>
  <c r="N27"/>
  <c r="M26"/>
  <c r="R25"/>
  <c r="Q25"/>
  <c r="P25"/>
  <c r="O25"/>
  <c r="N25"/>
  <c r="R24"/>
  <c r="Q24"/>
  <c r="P24"/>
  <c r="O24"/>
  <c r="N24"/>
  <c r="N21"/>
  <c r="N20"/>
  <c r="N19"/>
  <c r="N18"/>
  <c r="N17"/>
  <c r="Q16"/>
  <c r="O16"/>
  <c r="R15"/>
  <c r="Q15"/>
  <c r="P15"/>
  <c r="O15"/>
  <c r="N15"/>
  <c r="M14"/>
  <c r="R13"/>
  <c r="Q13"/>
  <c r="P13"/>
  <c r="O13"/>
  <c r="N13"/>
  <c r="R12"/>
  <c r="Q12"/>
  <c r="P12"/>
  <c r="O12"/>
  <c r="N12"/>
  <c r="R11"/>
  <c r="Q11"/>
  <c r="P11"/>
  <c r="O11"/>
  <c r="N11"/>
  <c r="M81"/>
  <c r="M79"/>
  <c r="M69"/>
  <c r="M68"/>
  <c r="M67"/>
  <c r="M66"/>
  <c r="M65" l="1"/>
  <c r="M61"/>
  <c r="M52"/>
  <c r="M48"/>
  <c r="M31"/>
  <c r="M28"/>
  <c r="M27"/>
  <c r="F27"/>
  <c r="M25"/>
  <c r="M24"/>
  <c r="M16"/>
  <c r="M15"/>
  <c r="U15" s="1"/>
  <c r="M13"/>
  <c r="M12"/>
  <c r="M11"/>
  <c r="L99"/>
  <c r="L81"/>
  <c r="L79"/>
  <c r="L61"/>
  <c r="L55"/>
  <c r="L47"/>
  <c r="L46"/>
  <c r="L45"/>
  <c r="L44"/>
  <c r="L41"/>
  <c r="L40"/>
  <c r="L39"/>
  <c r="L38"/>
  <c r="L37"/>
  <c r="L35"/>
  <c r="L31"/>
  <c r="L28"/>
  <c r="L15"/>
  <c r="L13"/>
  <c r="L12"/>
  <c r="L11"/>
  <c r="U32"/>
  <c r="F32"/>
  <c r="H32" s="1"/>
  <c r="K99"/>
  <c r="K81"/>
  <c r="K79"/>
  <c r="K61"/>
  <c r="K55"/>
  <c r="I48"/>
  <c r="K41"/>
  <c r="K40"/>
  <c r="K39"/>
  <c r="K38"/>
  <c r="K37"/>
  <c r="K35"/>
  <c r="K31"/>
  <c r="K28"/>
  <c r="K16"/>
  <c r="I16"/>
  <c r="K15"/>
  <c r="K13"/>
  <c r="K12"/>
  <c r="K11"/>
  <c r="F78"/>
  <c r="U78"/>
  <c r="H78"/>
  <c r="U89"/>
  <c r="J89"/>
  <c r="H89"/>
  <c r="U88"/>
  <c r="J88"/>
  <c r="H88"/>
  <c r="J99"/>
  <c r="J81"/>
  <c r="J79"/>
  <c r="U79" s="1"/>
  <c r="J61"/>
  <c r="U61" s="1"/>
  <c r="J57"/>
  <c r="J55"/>
  <c r="J51"/>
  <c r="J50"/>
  <c r="J49"/>
  <c r="J48"/>
  <c r="J41"/>
  <c r="J40"/>
  <c r="J39"/>
  <c r="J38"/>
  <c r="J37"/>
  <c r="J35"/>
  <c r="J31"/>
  <c r="J28"/>
  <c r="J15"/>
  <c r="J13"/>
  <c r="J12"/>
  <c r="J11"/>
  <c r="U81"/>
  <c r="U76"/>
  <c r="U31"/>
  <c r="U11"/>
  <c r="I81"/>
  <c r="I79"/>
  <c r="I31"/>
  <c r="I11"/>
  <c r="U74"/>
  <c r="U73"/>
  <c r="U72"/>
  <c r="U70"/>
  <c r="U69"/>
  <c r="U68"/>
  <c r="U67"/>
  <c r="U66"/>
  <c r="U65"/>
  <c r="U64"/>
  <c r="U63"/>
  <c r="U60"/>
  <c r="U58"/>
  <c r="U57"/>
  <c r="U56"/>
  <c r="U55"/>
  <c r="U52"/>
  <c r="U51"/>
  <c r="U50"/>
  <c r="U49"/>
  <c r="U48"/>
  <c r="U47"/>
  <c r="U46"/>
  <c r="U45"/>
  <c r="U44"/>
  <c r="U41"/>
  <c r="U40"/>
  <c r="U39"/>
  <c r="U38"/>
  <c r="U37"/>
  <c r="U36"/>
  <c r="U35"/>
  <c r="U30"/>
  <c r="U29"/>
  <c r="U28"/>
  <c r="U27"/>
  <c r="U26"/>
  <c r="U25"/>
  <c r="U24"/>
  <c r="U21"/>
  <c r="U19"/>
  <c r="U20"/>
  <c r="U18"/>
  <c r="U17"/>
  <c r="U16"/>
  <c r="U14"/>
  <c r="U13"/>
  <c r="U12"/>
  <c r="I61"/>
  <c r="I55"/>
  <c r="F52"/>
  <c r="I41"/>
  <c r="I40"/>
  <c r="I39"/>
  <c r="I38"/>
  <c r="I37"/>
  <c r="I35"/>
  <c r="I28"/>
  <c r="I15"/>
  <c r="I13"/>
  <c r="I12"/>
  <c r="M99" l="1"/>
  <c r="F60"/>
  <c r="H60" s="1"/>
  <c r="H58"/>
  <c r="F57"/>
  <c r="H57" s="1"/>
  <c r="H36"/>
  <c r="F39" l="1"/>
  <c r="F19"/>
  <c r="F16"/>
  <c r="F37" l="1"/>
  <c r="F56"/>
  <c r="H56" s="1"/>
  <c r="H21"/>
  <c r="F20"/>
  <c r="F61"/>
  <c r="H61" s="1"/>
  <c r="F55"/>
  <c r="F50"/>
  <c r="H50" s="1"/>
  <c r="F45" l="1"/>
  <c r="F15" l="1"/>
  <c r="H37"/>
  <c r="H74"/>
  <c r="H73" l="1"/>
  <c r="F14" l="1"/>
  <c r="F17"/>
  <c r="F18"/>
  <c r="F99" l="1"/>
  <c r="H98"/>
  <c r="E81"/>
  <c r="H84" s="1"/>
  <c r="F79"/>
  <c r="H76"/>
  <c r="U77"/>
  <c r="H72"/>
  <c r="H70"/>
  <c r="F69"/>
  <c r="H69" s="1"/>
  <c r="F68"/>
  <c r="H68" s="1"/>
  <c r="F67"/>
  <c r="H67" s="1"/>
  <c r="F66"/>
  <c r="H66" s="1"/>
  <c r="F65"/>
  <c r="H65" s="1"/>
  <c r="H64"/>
  <c r="H63"/>
  <c r="H55"/>
  <c r="H52"/>
  <c r="H51"/>
  <c r="F49"/>
  <c r="H49" s="1"/>
  <c r="F48"/>
  <c r="F47"/>
  <c r="H47" s="1"/>
  <c r="F46"/>
  <c r="H46" s="1"/>
  <c r="H45"/>
  <c r="F44"/>
  <c r="H44" s="1"/>
  <c r="H41"/>
  <c r="F40"/>
  <c r="H40" s="1"/>
  <c r="H39"/>
  <c r="F38"/>
  <c r="H38" s="1"/>
  <c r="H35"/>
  <c r="F31"/>
  <c r="H31" s="1"/>
  <c r="H30"/>
  <c r="H29"/>
  <c r="F28"/>
  <c r="H27"/>
  <c r="F26"/>
  <c r="H26" s="1"/>
  <c r="F25"/>
  <c r="H25" s="1"/>
  <c r="F24"/>
  <c r="H24" s="1"/>
  <c r="H20"/>
  <c r="H18"/>
  <c r="H17"/>
  <c r="H14"/>
  <c r="F13"/>
  <c r="F12"/>
  <c r="F11"/>
  <c r="H79" l="1"/>
  <c r="H80" s="1"/>
  <c r="H28"/>
  <c r="H48"/>
  <c r="H53" s="1"/>
  <c r="H11"/>
  <c r="H12"/>
  <c r="H16"/>
  <c r="H13"/>
  <c r="H15"/>
  <c r="F81"/>
  <c r="H19"/>
  <c r="H77"/>
  <c r="U80"/>
  <c r="H22" l="1"/>
  <c r="U22"/>
  <c r="H81"/>
  <c r="H82" s="1"/>
  <c r="U82"/>
  <c r="C105"/>
  <c r="I99" l="1"/>
  <c r="U83"/>
  <c r="U99" s="1"/>
  <c r="H83"/>
  <c r="H85" s="1"/>
  <c r="G99" s="1"/>
  <c r="H99" s="1"/>
  <c r="C104" l="1"/>
  <c r="C108"/>
</calcChain>
</file>

<file path=xl/sharedStrings.xml><?xml version="1.0" encoding="utf-8"?>
<sst xmlns="http://schemas.openxmlformats.org/spreadsheetml/2006/main" count="306" uniqueCount="230">
  <si>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</si>
  <si>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</si>
  <si>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</si>
  <si>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</si>
  <si>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</si>
  <si>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</si>
  <si>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</si>
  <si>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</si>
  <si>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</si>
  <si>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</si>
  <si>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</si>
  <si>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</si>
  <si>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</si>
  <si>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</si>
  <si>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</si>
  <si>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</si>
  <si>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</si>
  <si>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</si>
  <si>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</si>
  <si>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</si>
  <si>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</si>
  <si>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</si>
  <si>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</si>
  <si>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</si>
  <si>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</si>
  <si>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</si>
  <si>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</si>
  <si>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</si>
  <si>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</si>
  <si>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</si>
  <si>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</si>
  <si>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</si>
  <si>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</si>
  <si>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</si>
  <si>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</si>
  <si>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</si>
  <si>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</si>
  <si>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</si>
  <si>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</si>
  <si>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</si>
  <si>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</si>
  <si>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</si>
  <si>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</si>
  <si>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</si>
  <si>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</si>
  <si>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</si>
  <si>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</si>
  <si>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</si>
  <si>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</si>
  <si>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</si>
  <si>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</si>
  <si>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</si>
  <si>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</si>
  <si>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</si>
  <si>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</si>
  <si>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</si>
  <si>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</si>
  <si>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</si>
  <si>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</si>
  <si>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</si>
  <si>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</si>
  <si>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</si>
  <si>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</si>
  <si>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</si>
  <si>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</si>
  <si>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</si>
  <si>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</si>
  <si>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</si>
  <si>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</si>
  <si>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</si>
  <si>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</si>
  <si>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</si>
  <si>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</si>
  <si>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</si>
  <si>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</si>
  <si>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</si>
  <si>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</si>
  <si>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</si>
  <si>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</si>
  <si>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</si>
  <si>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</si>
  <si>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</si>
  <si>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</si>
  <si>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</si>
  <si>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</si>
  <si>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</si>
  <si>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</si>
  <si>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</si>
  <si>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</si>
  <si>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</si>
  <si>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</si>
  <si>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</si>
  <si>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</si>
  <si>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</si>
  <si>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</si>
  <si>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</si>
  <si>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</si>
  <si>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</si>
  <si>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</si>
  <si>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</si>
  <si>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</si>
  <si>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</si>
  <si>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</si>
  <si>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</si>
  <si>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</si>
  <si>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</si>
  <si>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</si>
  <si>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м2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</si>
  <si>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</si>
  <si>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</si>
  <si>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</si>
  <si>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</si>
  <si>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</si>
  <si>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</si>
  <si>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</si>
  <si>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</si>
  <si>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</si>
  <si>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</si>
  <si>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</si>
  <si>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</si>
  <si>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</si>
  <si>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</si>
  <si>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</si>
  <si>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</si>
  <si>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</si>
  <si>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</si>
  <si>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</si>
  <si>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</si>
  <si>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</si>
  <si>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</si>
  <si>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33-049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</si>
  <si>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</si>
  <si>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</si>
  <si>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</si>
  <si>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</si>
  <si>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</si>
  <si>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</si>
  <si>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</si>
  <si>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</si>
  <si>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</si>
  <si>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</si>
  <si>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</si>
  <si>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</si>
  <si>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</si>
  <si>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</si>
  <si>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</si>
  <si>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</si>
  <si>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Сдвигание снега в дни снегопада ( крыльца, тротуары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</si>
  <si>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</si>
  <si>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</si>
  <si>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</si>
  <si>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</si>
  <si>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</si>
  <si>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</si>
  <si>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 xml:space="preserve">1 раз в месяц </t>
  </si>
  <si>
    <t>1 раз в месяц</t>
  </si>
  <si>
    <t>Дератизация</t>
  </si>
  <si>
    <t>Очистка  от мусора</t>
  </si>
  <si>
    <t>ТЭР 51-022</t>
  </si>
  <si>
    <t>Влажная протирка шкафов для щитов и слаботочн.ус.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</si>
  <si>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</si>
  <si>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</si>
  <si>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</si>
  <si>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</si>
  <si>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</si>
  <si>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</si>
  <si>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</si>
  <si>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</si>
  <si>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</si>
  <si>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</si>
  <si>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</si>
  <si>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1 раз в 2  месяца</t>
  </si>
  <si>
    <t>30 раз за сезон</t>
  </si>
  <si>
    <t>35 раз за сезон</t>
  </si>
  <si>
    <t>Вывоз снега с придомовой территории</t>
  </si>
  <si>
    <t xml:space="preserve">Осмотр рулонной кровли </t>
  </si>
  <si>
    <t>ТЭР 42-002</t>
  </si>
  <si>
    <t>ТЭР 17-071</t>
  </si>
  <si>
    <t xml:space="preserve"> Очистка края кровли от слежавшегося снега со сбрасыванием сосулек (10% от S кровли) и козырьки</t>
  </si>
  <si>
    <t>Очистка водостоков от наледи</t>
  </si>
  <si>
    <t>ТЭР 31-066</t>
  </si>
  <si>
    <t>Очистка внутреннего водостока</t>
  </si>
  <si>
    <t>водосток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</si>
  <si>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</si>
  <si>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</si>
  <si>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</si>
  <si>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</si>
  <si>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</si>
  <si>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</si>
  <si>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</si>
  <si>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</si>
  <si>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</si>
  <si>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</si>
  <si>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</si>
  <si>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</si>
  <si>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</si>
  <si>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3 раза в год</t>
  </si>
  <si>
    <t>Ремонт групповых щитков на лестничной клетке без ремонта автоматов</t>
  </si>
  <si>
    <t>ТЭР 33-030</t>
  </si>
  <si>
    <t>калькуляция</t>
  </si>
  <si>
    <t>Ремонт и регулировка доводчика (со стоимостью доводчика)</t>
  </si>
  <si>
    <t>1шт.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</si>
  <si>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Строительная, 9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</si>
  <si>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2 подъезда</t>
  </si>
  <si>
    <t>Стоимость (руб.)</t>
  </si>
  <si>
    <t>договор</t>
  </si>
  <si>
    <t>ТО внутридомового газ.оборудования</t>
  </si>
  <si>
    <t>10 м</t>
  </si>
  <si>
    <t>прим. ТЭР 53-021</t>
  </si>
  <si>
    <t>Дополнительная подборка мусора</t>
  </si>
  <si>
    <t>Начислено за содержание и текущий ремонт за 2015  г.</t>
  </si>
  <si>
    <t>Выполнено работ по содержанию за      2015 г.</t>
  </si>
  <si>
    <t>Выполнено работ по текущему ремонту за 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</si>
  <si>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</si>
  <si>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</si>
  <si>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</si>
  <si>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Ремонт силового предохранительного шкафа (без стоимости материалов)</t>
  </si>
  <si>
    <t>ТЭР 33-032</t>
  </si>
  <si>
    <t>место</t>
  </si>
  <si>
    <t>ТЭР 32-098</t>
  </si>
  <si>
    <t>Ремонт внутренних трубопроводов и стояков д=до 50 мм (хомуты)</t>
  </si>
  <si>
    <t>Подключение и отключение сварочного аппарата</t>
  </si>
  <si>
    <t>ТЭР 33-060</t>
  </si>
  <si>
    <t>Смена арматуры - вентилей и клапанов обратных муфтовых диаметром до 20 мм</t>
  </si>
  <si>
    <t>1 шт</t>
  </si>
  <si>
    <t>ТЭР 32-027</t>
  </si>
  <si>
    <t>Работа автовышки</t>
  </si>
  <si>
    <t>маш/час</t>
  </si>
  <si>
    <t>прим. ТЭР 17-013</t>
  </si>
  <si>
    <t>Ремонт рулонной кровли (ремонт примыканий к парапету и оголовкам)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</si>
</sst>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5" borderId="0" xfId="0" applyFont="1" applyFill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3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8" fillId="0" borderId="0" xfId="0" applyFont="1" applyAlignment="1"/>
    <xf numFmtId="4" fontId="3" fillId="10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/>
    </xf>
    <xf numFmtId="4" fontId="13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K17" totalsRowShown="0">
  <autoFilter ref="A1:K17"/>
  <tableColumns count="11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12"/>
  <sheetViews>
    <sheetView tabSelected="1" view="pageBreakPreview" zoomScaleNormal="75" zoomScaleSheetLayoutView="100" workbookViewId="0">
      <pane ySplit="7" topLeftCell="A88" activePane="bottomLeft" state="frozen"/>
      <selection activeCell="B1" sqref="B1"/>
      <selection pane="bottomLeft" activeCell="V51" sqref="V51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28515625" customWidth="1"/>
    <col min="10" max="10" width="9.5703125" customWidth="1"/>
    <col min="11" max="11" width="9.7109375" customWidth="1"/>
    <col min="12" max="12" width="10.28515625" customWidth="1"/>
    <col min="13" max="13" width="9.85546875" customWidth="1"/>
    <col min="14" max="14" width="10.140625" customWidth="1"/>
    <col min="15" max="15" width="9.7109375" customWidth="1"/>
    <col min="16" max="18" width="10.140625" customWidth="1"/>
    <col min="19" max="19" width="10" customWidth="1"/>
    <col min="20" max="20" width="9.85546875" customWidth="1"/>
    <col min="21" max="21" width="11.42578125" customWidth="1"/>
  </cols>
  <sheetData>
    <row r="1" spans="1:21" ht="14.25" customHeight="1">
      <c r="A1" s="10"/>
    </row>
    <row r="3" spans="1:21" ht="18">
      <c r="A3" s="133"/>
      <c r="B3" s="142" t="s">
        <v>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29"/>
      <c r="N3" s="29"/>
      <c r="O3" s="29"/>
      <c r="P3" s="29"/>
      <c r="Q3" s="29"/>
      <c r="R3" s="29"/>
      <c r="S3" s="29"/>
      <c r="T3" s="29"/>
      <c r="U3" s="29"/>
    </row>
    <row r="4" spans="1:21" ht="33" customHeight="1">
      <c r="A4" s="29"/>
      <c r="B4" s="143" t="s">
        <v>1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29"/>
      <c r="N4" s="29"/>
      <c r="O4" s="29"/>
      <c r="P4" s="29"/>
      <c r="Q4" s="29"/>
      <c r="R4" s="29"/>
      <c r="S4" s="29"/>
      <c r="T4" s="29"/>
      <c r="U4" s="29"/>
    </row>
    <row r="5" spans="1:21" ht="18">
      <c r="A5" s="29"/>
      <c r="B5" s="143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29"/>
      <c r="N5" s="29"/>
      <c r="O5" s="29"/>
      <c r="P5" s="29"/>
      <c r="Q5" s="29"/>
      <c r="R5" s="29"/>
      <c r="S5" s="29"/>
      <c r="T5" s="29"/>
      <c r="U5" s="29"/>
    </row>
    <row r="6" spans="1:21" ht="14.25">
      <c r="A6" s="29"/>
      <c r="B6" s="144" t="s">
        <v>203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29"/>
      <c r="N6" s="29"/>
      <c r="O6" s="29"/>
      <c r="P6" s="29"/>
      <c r="Q6" s="29"/>
      <c r="R6" s="29"/>
      <c r="S6" s="29"/>
      <c r="T6" s="29"/>
      <c r="U6" s="29"/>
    </row>
    <row r="7" spans="1:21" ht="54.75" customHeight="1">
      <c r="A7" s="27" t="s">
        <v>2</v>
      </c>
      <c r="B7" s="27" t="s">
        <v>3</v>
      </c>
      <c r="C7" s="27" t="s">
        <v>4</v>
      </c>
      <c r="D7" s="27" t="s">
        <v>5</v>
      </c>
      <c r="E7" s="27" t="s">
        <v>6</v>
      </c>
      <c r="F7" s="27" t="s">
        <v>7</v>
      </c>
      <c r="G7" s="27" t="s">
        <v>8</v>
      </c>
      <c r="H7" s="28" t="s">
        <v>9</v>
      </c>
      <c r="I7" s="26" t="s">
        <v>183</v>
      </c>
      <c r="J7" s="26" t="s">
        <v>184</v>
      </c>
      <c r="K7" s="26" t="s">
        <v>185</v>
      </c>
      <c r="L7" s="26" t="s">
        <v>186</v>
      </c>
      <c r="M7" s="26" t="s">
        <v>187</v>
      </c>
      <c r="N7" s="26" t="s">
        <v>188</v>
      </c>
      <c r="O7" s="26" t="s">
        <v>189</v>
      </c>
      <c r="P7" s="26" t="s">
        <v>190</v>
      </c>
      <c r="Q7" s="26" t="s">
        <v>191</v>
      </c>
      <c r="R7" s="26" t="s">
        <v>192</v>
      </c>
      <c r="S7" s="26" t="s">
        <v>193</v>
      </c>
      <c r="T7" s="26" t="s">
        <v>194</v>
      </c>
      <c r="U7" s="26" t="s">
        <v>204</v>
      </c>
    </row>
    <row r="8" spans="1:21">
      <c r="A8" s="31">
        <v>1</v>
      </c>
      <c r="B8" s="7">
        <v>2</v>
      </c>
      <c r="C8" s="31">
        <v>3</v>
      </c>
      <c r="D8" s="7">
        <v>4</v>
      </c>
      <c r="E8" s="7">
        <v>5</v>
      </c>
      <c r="F8" s="31">
        <v>6</v>
      </c>
      <c r="G8" s="31">
        <v>7</v>
      </c>
      <c r="H8" s="32">
        <v>8</v>
      </c>
      <c r="I8" s="33">
        <v>10</v>
      </c>
      <c r="J8" s="33">
        <v>11</v>
      </c>
      <c r="K8" s="33">
        <v>12</v>
      </c>
      <c r="L8" s="33">
        <v>13</v>
      </c>
      <c r="M8" s="34">
        <v>14</v>
      </c>
      <c r="N8" s="33">
        <v>15</v>
      </c>
      <c r="O8" s="33">
        <v>16</v>
      </c>
      <c r="P8" s="33">
        <v>17</v>
      </c>
      <c r="Q8" s="33">
        <v>18</v>
      </c>
      <c r="R8" s="33">
        <v>19</v>
      </c>
      <c r="S8" s="33">
        <v>20</v>
      </c>
      <c r="T8" s="33">
        <v>21</v>
      </c>
      <c r="U8" s="33">
        <v>22</v>
      </c>
    </row>
    <row r="9" spans="1:21" ht="38.25">
      <c r="A9" s="31"/>
      <c r="B9" s="9" t="s">
        <v>10</v>
      </c>
      <c r="C9" s="31"/>
      <c r="D9" s="11"/>
      <c r="E9" s="11"/>
      <c r="F9" s="31"/>
      <c r="G9" s="31"/>
      <c r="H9" s="35"/>
      <c r="I9" s="36"/>
      <c r="J9" s="36"/>
      <c r="K9" s="36"/>
      <c r="L9" s="36"/>
      <c r="M9" s="37"/>
      <c r="N9" s="38"/>
      <c r="O9" s="38"/>
      <c r="P9" s="38"/>
      <c r="Q9" s="38"/>
      <c r="R9" s="38"/>
      <c r="S9" s="38"/>
      <c r="T9" s="38"/>
      <c r="U9" s="38"/>
    </row>
    <row r="10" spans="1:21">
      <c r="A10" s="31"/>
      <c r="B10" s="9" t="s">
        <v>11</v>
      </c>
      <c r="C10" s="31"/>
      <c r="D10" s="11"/>
      <c r="E10" s="11"/>
      <c r="F10" s="31"/>
      <c r="G10" s="31"/>
      <c r="H10" s="35"/>
      <c r="I10" s="36"/>
      <c r="J10" s="36"/>
      <c r="K10" s="36"/>
      <c r="L10" s="36"/>
      <c r="M10" s="37"/>
      <c r="N10" s="38"/>
      <c r="O10" s="38"/>
      <c r="P10" s="38"/>
      <c r="Q10" s="38"/>
      <c r="R10" s="38"/>
      <c r="S10" s="38"/>
      <c r="T10" s="38"/>
      <c r="U10" s="38"/>
    </row>
    <row r="11" spans="1:21" ht="25.5">
      <c r="A11" s="31" t="s">
        <v>12</v>
      </c>
      <c r="B11" s="11" t="s">
        <v>13</v>
      </c>
      <c r="C11" s="31" t="s">
        <v>14</v>
      </c>
      <c r="D11" s="11" t="s">
        <v>15</v>
      </c>
      <c r="E11" s="39">
        <v>67.900000000000006</v>
      </c>
      <c r="F11" s="40">
        <f>SUM(E11*156/100)</f>
        <v>105.92400000000002</v>
      </c>
      <c r="G11" s="40">
        <v>187.48</v>
      </c>
      <c r="H11" s="41">
        <f t="shared" ref="H11:H20" si="0">SUM(F11*G11/1000)</f>
        <v>19.858631520000003</v>
      </c>
      <c r="I11" s="42">
        <f>F11/12*G11</f>
        <v>1654.8859600000003</v>
      </c>
      <c r="J11" s="42">
        <f>F11/12*G11</f>
        <v>1654.8859600000003</v>
      </c>
      <c r="K11" s="42">
        <f>F11/12*G11</f>
        <v>1654.8859600000003</v>
      </c>
      <c r="L11" s="42">
        <f>F11/12*G11</f>
        <v>1654.8859600000003</v>
      </c>
      <c r="M11" s="42">
        <f>F11/12*G11</f>
        <v>1654.8859600000003</v>
      </c>
      <c r="N11" s="42">
        <f>F11/12*G11</f>
        <v>1654.8859600000003</v>
      </c>
      <c r="O11" s="42">
        <f>F11/12*G11</f>
        <v>1654.8859600000003</v>
      </c>
      <c r="P11" s="42">
        <f>F11/12*G11</f>
        <v>1654.8859600000003</v>
      </c>
      <c r="Q11" s="42">
        <f>F11/12*G11</f>
        <v>1654.8859600000003</v>
      </c>
      <c r="R11" s="42">
        <f>F11/12*G11</f>
        <v>1654.8859600000003</v>
      </c>
      <c r="S11" s="42">
        <f>F11/12*G11</f>
        <v>1654.8859600000003</v>
      </c>
      <c r="T11" s="42">
        <f>F11/12*G11</f>
        <v>1654.8859600000003</v>
      </c>
      <c r="U11" s="42">
        <f>SUM(I11:T11)</f>
        <v>19858.631519999999</v>
      </c>
    </row>
    <row r="12" spans="1:21" ht="25.5">
      <c r="A12" s="31" t="s">
        <v>12</v>
      </c>
      <c r="B12" s="11" t="s">
        <v>16</v>
      </c>
      <c r="C12" s="31" t="s">
        <v>14</v>
      </c>
      <c r="D12" s="11" t="s">
        <v>17</v>
      </c>
      <c r="E12" s="39">
        <v>271.60000000000002</v>
      </c>
      <c r="F12" s="40">
        <f>SUM(E12*104/100)</f>
        <v>282.464</v>
      </c>
      <c r="G12" s="40">
        <v>187.48</v>
      </c>
      <c r="H12" s="41">
        <f t="shared" si="0"/>
        <v>52.956350719999996</v>
      </c>
      <c r="I12" s="42">
        <f>F12/12*G12</f>
        <v>4413.0292266666665</v>
      </c>
      <c r="J12" s="42">
        <f>F12/12*G12</f>
        <v>4413.0292266666665</v>
      </c>
      <c r="K12" s="42">
        <f>F12/12*G12</f>
        <v>4413.0292266666665</v>
      </c>
      <c r="L12" s="42">
        <f>F12/12*G12</f>
        <v>4413.0292266666665</v>
      </c>
      <c r="M12" s="42">
        <f>F12/12*G12</f>
        <v>4413.0292266666665</v>
      </c>
      <c r="N12" s="42">
        <f>F12/12*G12</f>
        <v>4413.0292266666665</v>
      </c>
      <c r="O12" s="42">
        <f>F12/12*G12</f>
        <v>4413.0292266666665</v>
      </c>
      <c r="P12" s="42">
        <f>F12/12*G12</f>
        <v>4413.0292266666665</v>
      </c>
      <c r="Q12" s="42">
        <f>F12/12*G12</f>
        <v>4413.0292266666665</v>
      </c>
      <c r="R12" s="42">
        <f>F12/12*G12</f>
        <v>4413.0292266666665</v>
      </c>
      <c r="S12" s="42">
        <f>F12/12*G12</f>
        <v>4413.0292266666665</v>
      </c>
      <c r="T12" s="42">
        <f>F12/12*G12</f>
        <v>4413.0292266666665</v>
      </c>
      <c r="U12" s="42">
        <f t="shared" ref="U12:U21" si="1">SUM(I12:T12)</f>
        <v>52956.350719999995</v>
      </c>
    </row>
    <row r="13" spans="1:21" ht="25.5">
      <c r="A13" s="31" t="s">
        <v>18</v>
      </c>
      <c r="B13" s="11" t="s">
        <v>19</v>
      </c>
      <c r="C13" s="31" t="s">
        <v>14</v>
      </c>
      <c r="D13" s="11" t="s">
        <v>20</v>
      </c>
      <c r="E13" s="39">
        <v>339.5</v>
      </c>
      <c r="F13" s="40">
        <f>SUM(E13*24/100)</f>
        <v>81.48</v>
      </c>
      <c r="G13" s="40">
        <v>539.30999999999995</v>
      </c>
      <c r="H13" s="41">
        <f t="shared" si="0"/>
        <v>43.942978799999999</v>
      </c>
      <c r="I13" s="42">
        <f>F13/12*G13</f>
        <v>3661.9148999999998</v>
      </c>
      <c r="J13" s="42">
        <f>F13/12*G13</f>
        <v>3661.9148999999998</v>
      </c>
      <c r="K13" s="42">
        <f>F13/12*G13</f>
        <v>3661.9148999999998</v>
      </c>
      <c r="L13" s="42">
        <f>F13/12*G13</f>
        <v>3661.9148999999998</v>
      </c>
      <c r="M13" s="42">
        <f>F13/12*G13</f>
        <v>3661.9148999999998</v>
      </c>
      <c r="N13" s="42">
        <f>F13/12*G13</f>
        <v>3661.9148999999998</v>
      </c>
      <c r="O13" s="42">
        <f>F13/12*G13</f>
        <v>3661.9148999999998</v>
      </c>
      <c r="P13" s="42">
        <f>F13/12*G13</f>
        <v>3661.9148999999998</v>
      </c>
      <c r="Q13" s="42">
        <f>F13/12*G13</f>
        <v>3661.9148999999998</v>
      </c>
      <c r="R13" s="42">
        <f>F13/12*G13</f>
        <v>3661.9148999999998</v>
      </c>
      <c r="S13" s="42">
        <f>F13/12*G13</f>
        <v>3661.9148999999998</v>
      </c>
      <c r="T13" s="42">
        <f>F13/12*G13</f>
        <v>3661.9148999999998</v>
      </c>
      <c r="U13" s="42">
        <f t="shared" si="1"/>
        <v>43942.978800000012</v>
      </c>
    </row>
    <row r="14" spans="1:21">
      <c r="A14" s="31" t="s">
        <v>21</v>
      </c>
      <c r="B14" s="11" t="s">
        <v>22</v>
      </c>
      <c r="C14" s="31" t="s">
        <v>23</v>
      </c>
      <c r="D14" s="11" t="s">
        <v>146</v>
      </c>
      <c r="E14" s="39">
        <v>21.1</v>
      </c>
      <c r="F14" s="40">
        <f>SUM(E14/10)</f>
        <v>2.1100000000000003</v>
      </c>
      <c r="G14" s="40">
        <v>181.91</v>
      </c>
      <c r="H14" s="41">
        <f t="shared" si="0"/>
        <v>0.38383010000000006</v>
      </c>
      <c r="I14" s="42">
        <v>0</v>
      </c>
      <c r="J14" s="42">
        <v>0</v>
      </c>
      <c r="K14" s="42">
        <v>0</v>
      </c>
      <c r="L14" s="42">
        <v>0</v>
      </c>
      <c r="M14" s="42">
        <f>F14*G14</f>
        <v>383.83010000000007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f t="shared" si="1"/>
        <v>383.83010000000007</v>
      </c>
    </row>
    <row r="15" spans="1:21">
      <c r="A15" s="31" t="s">
        <v>24</v>
      </c>
      <c r="B15" s="11" t="s">
        <v>25</v>
      </c>
      <c r="C15" s="31" t="s">
        <v>14</v>
      </c>
      <c r="D15" s="11" t="s">
        <v>154</v>
      </c>
      <c r="E15" s="39">
        <v>7</v>
      </c>
      <c r="F15" s="40">
        <f>SUM(E15*12/100)</f>
        <v>0.84</v>
      </c>
      <c r="G15" s="40">
        <v>232.92</v>
      </c>
      <c r="H15" s="41">
        <f t="shared" si="0"/>
        <v>0.19565279999999999</v>
      </c>
      <c r="I15" s="42">
        <f>F15/12*G15</f>
        <v>16.304399999999998</v>
      </c>
      <c r="J15" s="42">
        <f>F15/12*G15</f>
        <v>16.304399999999998</v>
      </c>
      <c r="K15" s="42">
        <f>F15/12*G15</f>
        <v>16.304399999999998</v>
      </c>
      <c r="L15" s="42">
        <f>F15/12*G15</f>
        <v>16.304399999999998</v>
      </c>
      <c r="M15" s="42">
        <f>F15/12*G15</f>
        <v>16.304399999999998</v>
      </c>
      <c r="N15" s="42">
        <f>F15/12*G15</f>
        <v>16.304399999999998</v>
      </c>
      <c r="O15" s="42">
        <f>F15/12*G15</f>
        <v>16.304399999999998</v>
      </c>
      <c r="P15" s="42">
        <f>F15/12*G15</f>
        <v>16.304399999999998</v>
      </c>
      <c r="Q15" s="42">
        <f>F15/12*G15</f>
        <v>16.304399999999998</v>
      </c>
      <c r="R15" s="42">
        <f>F15/12*G15</f>
        <v>16.304399999999998</v>
      </c>
      <c r="S15" s="42">
        <f>F15/12*G15</f>
        <v>16.304399999999998</v>
      </c>
      <c r="T15" s="42">
        <f>F15/12*G15</f>
        <v>16.304399999999998</v>
      </c>
      <c r="U15" s="42">
        <f t="shared" si="1"/>
        <v>195.65279999999993</v>
      </c>
    </row>
    <row r="16" spans="1:21">
      <c r="A16" s="31" t="s">
        <v>26</v>
      </c>
      <c r="B16" s="11" t="s">
        <v>27</v>
      </c>
      <c r="C16" s="31" t="s">
        <v>14</v>
      </c>
      <c r="D16" s="11" t="s">
        <v>171</v>
      </c>
      <c r="E16" s="39">
        <v>2.4</v>
      </c>
      <c r="F16" s="40">
        <f>SUM(E16*6/100)</f>
        <v>0.14399999999999999</v>
      </c>
      <c r="G16" s="40">
        <v>231.03</v>
      </c>
      <c r="H16" s="41">
        <f t="shared" si="0"/>
        <v>3.3268319999999997E-2</v>
      </c>
      <c r="I16" s="42">
        <f>F16/6*G16</f>
        <v>5.544719999999999</v>
      </c>
      <c r="J16" s="42">
        <v>0</v>
      </c>
      <c r="K16" s="42">
        <f>F16/6*G16</f>
        <v>5.544719999999999</v>
      </c>
      <c r="L16" s="42">
        <v>0</v>
      </c>
      <c r="M16" s="42">
        <f>F16/6*G16</f>
        <v>5.544719999999999</v>
      </c>
      <c r="N16" s="42">
        <v>0</v>
      </c>
      <c r="O16" s="42">
        <f>F16/6*G16</f>
        <v>5.544719999999999</v>
      </c>
      <c r="P16" s="42">
        <v>0</v>
      </c>
      <c r="Q16" s="42">
        <f>F16/6*G16</f>
        <v>5.544719999999999</v>
      </c>
      <c r="R16" s="42">
        <v>0</v>
      </c>
      <c r="S16" s="42">
        <f>F16/6*G16</f>
        <v>5.544719999999999</v>
      </c>
      <c r="T16" s="42">
        <v>0</v>
      </c>
      <c r="U16" s="42">
        <f t="shared" si="1"/>
        <v>33.268319999999996</v>
      </c>
    </row>
    <row r="17" spans="1:21">
      <c r="A17" s="31" t="s">
        <v>28</v>
      </c>
      <c r="B17" s="11" t="s">
        <v>29</v>
      </c>
      <c r="C17" s="31" t="s">
        <v>30</v>
      </c>
      <c r="D17" s="11" t="s">
        <v>146</v>
      </c>
      <c r="E17" s="39">
        <v>317</v>
      </c>
      <c r="F17" s="40">
        <f>SUM(E17/100)</f>
        <v>3.17</v>
      </c>
      <c r="G17" s="40">
        <v>287.83999999999997</v>
      </c>
      <c r="H17" s="41">
        <f t="shared" si="0"/>
        <v>0.91245279999999995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f>F17*G17</f>
        <v>912.45279999999991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f t="shared" si="1"/>
        <v>912.45279999999991</v>
      </c>
    </row>
    <row r="18" spans="1:21">
      <c r="A18" s="31" t="s">
        <v>31</v>
      </c>
      <c r="B18" s="11" t="s">
        <v>32</v>
      </c>
      <c r="C18" s="31" t="s">
        <v>30</v>
      </c>
      <c r="D18" s="11" t="s">
        <v>146</v>
      </c>
      <c r="E18" s="44">
        <v>24.15</v>
      </c>
      <c r="F18" s="40">
        <f>SUM(E18/100)</f>
        <v>0.24149999999999999</v>
      </c>
      <c r="G18" s="40">
        <v>47.34</v>
      </c>
      <c r="H18" s="41">
        <f t="shared" si="0"/>
        <v>1.1432610000000001E-2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f>F18*G18</f>
        <v>11.43261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f t="shared" si="1"/>
        <v>11.43261</v>
      </c>
    </row>
    <row r="19" spans="1:21">
      <c r="A19" s="31" t="s">
        <v>33</v>
      </c>
      <c r="B19" s="11" t="s">
        <v>34</v>
      </c>
      <c r="C19" s="31" t="s">
        <v>30</v>
      </c>
      <c r="D19" s="11" t="s">
        <v>49</v>
      </c>
      <c r="E19" s="39">
        <v>10</v>
      </c>
      <c r="F19" s="40">
        <f>E19/100</f>
        <v>0.1</v>
      </c>
      <c r="G19" s="40">
        <v>416.62</v>
      </c>
      <c r="H19" s="41">
        <f t="shared" si="0"/>
        <v>4.1662000000000005E-2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f>F19*G19</f>
        <v>41.662000000000006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f t="shared" si="1"/>
        <v>41.662000000000006</v>
      </c>
    </row>
    <row r="20" spans="1:21">
      <c r="A20" s="31" t="s">
        <v>35</v>
      </c>
      <c r="B20" s="11" t="s">
        <v>36</v>
      </c>
      <c r="C20" s="31" t="s">
        <v>30</v>
      </c>
      <c r="D20" s="11" t="s">
        <v>49</v>
      </c>
      <c r="E20" s="39">
        <v>4.25</v>
      </c>
      <c r="F20" s="40">
        <f>SUM(E20/100)</f>
        <v>4.2500000000000003E-2</v>
      </c>
      <c r="G20" s="40">
        <v>556.74</v>
      </c>
      <c r="H20" s="41">
        <f t="shared" si="0"/>
        <v>2.3661450000000001E-2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f>F20*G20</f>
        <v>23.661450000000002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f t="shared" si="1"/>
        <v>23.661450000000002</v>
      </c>
    </row>
    <row r="21" spans="1:21" ht="25.5">
      <c r="A21" s="31" t="s">
        <v>158</v>
      </c>
      <c r="B21" s="11" t="s">
        <v>159</v>
      </c>
      <c r="C21" s="31" t="s">
        <v>30</v>
      </c>
      <c r="D21" s="11" t="s">
        <v>49</v>
      </c>
      <c r="E21" s="39">
        <v>9.5</v>
      </c>
      <c r="F21" s="40">
        <v>9.5000000000000001E-2</v>
      </c>
      <c r="G21" s="40">
        <v>231.03</v>
      </c>
      <c r="H21" s="41">
        <f>G21*F21/1000</f>
        <v>2.1947849999999998E-2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f>F21*G21</f>
        <v>21.947849999999999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f t="shared" si="1"/>
        <v>21.947849999999999</v>
      </c>
    </row>
    <row r="22" spans="1:21" s="19" customFormat="1">
      <c r="A22" s="45"/>
      <c r="B22" s="20" t="s">
        <v>37</v>
      </c>
      <c r="C22" s="46"/>
      <c r="D22" s="20"/>
      <c r="E22" s="47"/>
      <c r="F22" s="48"/>
      <c r="G22" s="48"/>
      <c r="H22" s="49">
        <f>SUM(H11:H21)</f>
        <v>118.38186897000001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>
        <f>SUM(U11:U21)</f>
        <v>118381.86897000001</v>
      </c>
    </row>
    <row r="23" spans="1:21">
      <c r="A23" s="31"/>
      <c r="B23" s="12" t="s">
        <v>38</v>
      </c>
      <c r="C23" s="31"/>
      <c r="D23" s="11"/>
      <c r="E23" s="39"/>
      <c r="F23" s="40"/>
      <c r="G23" s="40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25.5" customHeight="1">
      <c r="A24" s="31" t="s">
        <v>39</v>
      </c>
      <c r="B24" s="11" t="s">
        <v>40</v>
      </c>
      <c r="C24" s="31" t="s">
        <v>41</v>
      </c>
      <c r="D24" s="11" t="s">
        <v>42</v>
      </c>
      <c r="E24" s="40">
        <v>372.4</v>
      </c>
      <c r="F24" s="40">
        <f>SUM(E24*52/1000)</f>
        <v>19.364799999999999</v>
      </c>
      <c r="G24" s="40">
        <v>166.65</v>
      </c>
      <c r="H24" s="41">
        <f t="shared" ref="H24:H31" si="2">SUM(F24*G24/1000)</f>
        <v>3.2271439200000001</v>
      </c>
      <c r="I24" s="42">
        <v>0</v>
      </c>
      <c r="J24" s="42">
        <v>0</v>
      </c>
      <c r="K24" s="42">
        <v>0</v>
      </c>
      <c r="L24" s="42">
        <v>0</v>
      </c>
      <c r="M24" s="42">
        <f>F24/6*G24</f>
        <v>537.85731999999996</v>
      </c>
      <c r="N24" s="42">
        <f>F24/6*G24</f>
        <v>537.85731999999996</v>
      </c>
      <c r="O24" s="42">
        <f>F24/6*G24</f>
        <v>537.85731999999996</v>
      </c>
      <c r="P24" s="42">
        <f>F24/6*G24</f>
        <v>537.85731999999996</v>
      </c>
      <c r="Q24" s="42">
        <f>F24/6*G24</f>
        <v>537.85731999999996</v>
      </c>
      <c r="R24" s="42">
        <f>F24/6*G24</f>
        <v>537.85731999999996</v>
      </c>
      <c r="S24" s="42">
        <v>0</v>
      </c>
      <c r="T24" s="42">
        <v>0</v>
      </c>
      <c r="U24" s="42">
        <f t="shared" ref="U24:U30" si="3">SUM(I24:T24)</f>
        <v>3227.14392</v>
      </c>
    </row>
    <row r="25" spans="1:21" ht="38.25" customHeight="1">
      <c r="A25" s="31" t="s">
        <v>43</v>
      </c>
      <c r="B25" s="11" t="s">
        <v>44</v>
      </c>
      <c r="C25" s="31" t="s">
        <v>45</v>
      </c>
      <c r="D25" s="11" t="s">
        <v>46</v>
      </c>
      <c r="E25" s="40">
        <v>195.5</v>
      </c>
      <c r="F25" s="40">
        <f>SUM(E25*78/1000)</f>
        <v>15.249000000000001</v>
      </c>
      <c r="G25" s="40">
        <v>276.48</v>
      </c>
      <c r="H25" s="41">
        <f t="shared" si="2"/>
        <v>4.2160435200000004</v>
      </c>
      <c r="I25" s="42">
        <v>0</v>
      </c>
      <c r="J25" s="42">
        <v>0</v>
      </c>
      <c r="K25" s="42">
        <v>0</v>
      </c>
      <c r="L25" s="42">
        <v>0</v>
      </c>
      <c r="M25" s="42">
        <f>F25/6*G25</f>
        <v>702.67392000000007</v>
      </c>
      <c r="N25" s="42">
        <f>F25/6*G25</f>
        <v>702.67392000000007</v>
      </c>
      <c r="O25" s="42">
        <f>F25/6*G25</f>
        <v>702.67392000000007</v>
      </c>
      <c r="P25" s="42">
        <f>F25/6*G25</f>
        <v>702.67392000000007</v>
      </c>
      <c r="Q25" s="42">
        <f>F25/6*G25</f>
        <v>702.67392000000007</v>
      </c>
      <c r="R25" s="42">
        <f>F25/6*G25</f>
        <v>702.67392000000007</v>
      </c>
      <c r="S25" s="42">
        <v>0</v>
      </c>
      <c r="T25" s="42">
        <v>0</v>
      </c>
      <c r="U25" s="42">
        <f t="shared" si="3"/>
        <v>4216.0435200000002</v>
      </c>
    </row>
    <row r="26" spans="1:21">
      <c r="A26" s="31" t="s">
        <v>47</v>
      </c>
      <c r="B26" s="11" t="s">
        <v>48</v>
      </c>
      <c r="C26" s="31" t="s">
        <v>45</v>
      </c>
      <c r="D26" s="11" t="s">
        <v>49</v>
      </c>
      <c r="E26" s="40">
        <v>372.4</v>
      </c>
      <c r="F26" s="40">
        <f>SUM(E26/1000)</f>
        <v>0.37239999999999995</v>
      </c>
      <c r="G26" s="40">
        <v>3228.73</v>
      </c>
      <c r="H26" s="41">
        <f t="shared" si="2"/>
        <v>1.2023790519999997</v>
      </c>
      <c r="I26" s="42">
        <v>0</v>
      </c>
      <c r="J26" s="42">
        <v>0</v>
      </c>
      <c r="K26" s="42">
        <v>0</v>
      </c>
      <c r="L26" s="42">
        <v>0</v>
      </c>
      <c r="M26" s="42">
        <f>F26*G26</f>
        <v>1202.3790519999998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f t="shared" si="3"/>
        <v>1202.3790519999998</v>
      </c>
    </row>
    <row r="27" spans="1:21">
      <c r="A27" s="31" t="s">
        <v>50</v>
      </c>
      <c r="B27" s="11" t="s">
        <v>51</v>
      </c>
      <c r="C27" s="31" t="s">
        <v>52</v>
      </c>
      <c r="D27" s="11" t="s">
        <v>53</v>
      </c>
      <c r="E27" s="52">
        <v>0.33333333333333331</v>
      </c>
      <c r="F27" s="40">
        <f>155/3</f>
        <v>51.666666666666664</v>
      </c>
      <c r="G27" s="40">
        <v>60.6</v>
      </c>
      <c r="H27" s="41">
        <f>SUM(G27*155/3/1000)</f>
        <v>3.1309999999999998</v>
      </c>
      <c r="I27" s="42">
        <v>0</v>
      </c>
      <c r="J27" s="42">
        <v>0</v>
      </c>
      <c r="K27" s="42">
        <v>0</v>
      </c>
      <c r="L27" s="42">
        <v>0</v>
      </c>
      <c r="M27" s="42">
        <f>F27/6*G27</f>
        <v>521.83333333333337</v>
      </c>
      <c r="N27" s="42">
        <f>F27/6*G27</f>
        <v>521.83333333333337</v>
      </c>
      <c r="O27" s="42">
        <f>F27/6*G27</f>
        <v>521.83333333333337</v>
      </c>
      <c r="P27" s="42">
        <f>F27/6*G27</f>
        <v>521.83333333333337</v>
      </c>
      <c r="Q27" s="42">
        <f>F27/6*G27</f>
        <v>521.83333333333337</v>
      </c>
      <c r="R27" s="42">
        <f>F27/6*G27</f>
        <v>521.83333333333337</v>
      </c>
      <c r="S27" s="42">
        <v>0</v>
      </c>
      <c r="T27" s="42">
        <v>0</v>
      </c>
      <c r="U27" s="42">
        <f t="shared" si="3"/>
        <v>3131.0000000000005</v>
      </c>
    </row>
    <row r="28" spans="1:21" ht="12.75" customHeight="1">
      <c r="A28" s="31" t="s">
        <v>54</v>
      </c>
      <c r="B28" s="11" t="s">
        <v>55</v>
      </c>
      <c r="C28" s="31" t="s">
        <v>56</v>
      </c>
      <c r="D28" s="11" t="s">
        <v>57</v>
      </c>
      <c r="E28" s="53">
        <v>0.1</v>
      </c>
      <c r="F28" s="40">
        <f>SUM(E28*365)</f>
        <v>36.5</v>
      </c>
      <c r="G28" s="40">
        <v>157.18</v>
      </c>
      <c r="H28" s="41">
        <f t="shared" si="2"/>
        <v>5.737070000000001</v>
      </c>
      <c r="I28" s="42">
        <f>F28/12*G28</f>
        <v>478.08916666666664</v>
      </c>
      <c r="J28" s="42">
        <f>F28/12*G28</f>
        <v>478.08916666666664</v>
      </c>
      <c r="K28" s="42">
        <f>F28/12*G28</f>
        <v>478.08916666666664</v>
      </c>
      <c r="L28" s="42">
        <f>F28/12*G28</f>
        <v>478.08916666666664</v>
      </c>
      <c r="M28" s="42">
        <f>F28/12*G28</f>
        <v>478.08916666666664</v>
      </c>
      <c r="N28" s="42">
        <f>F28/12*G28</f>
        <v>478.08916666666664</v>
      </c>
      <c r="O28" s="42">
        <f>F28/12*G28</f>
        <v>478.08916666666664</v>
      </c>
      <c r="P28" s="42">
        <f>F28/12*G28</f>
        <v>478.08916666666664</v>
      </c>
      <c r="Q28" s="42">
        <f>F28/12*G28</f>
        <v>478.08916666666664</v>
      </c>
      <c r="R28" s="42">
        <f>F28/12*G28</f>
        <v>478.08916666666664</v>
      </c>
      <c r="S28" s="42">
        <f>F28/12*G28</f>
        <v>478.08916666666664</v>
      </c>
      <c r="T28" s="42">
        <f>F28/12*G28</f>
        <v>478.08916666666664</v>
      </c>
      <c r="U28" s="42">
        <f t="shared" si="3"/>
        <v>5737.07</v>
      </c>
    </row>
    <row r="29" spans="1:21" ht="12.75" customHeight="1">
      <c r="A29" s="31" t="s">
        <v>59</v>
      </c>
      <c r="B29" s="11" t="s">
        <v>60</v>
      </c>
      <c r="C29" s="31" t="s">
        <v>56</v>
      </c>
      <c r="D29" s="11" t="s">
        <v>58</v>
      </c>
      <c r="E29" s="39"/>
      <c r="F29" s="40">
        <v>3</v>
      </c>
      <c r="G29" s="40">
        <v>204.52</v>
      </c>
      <c r="H29" s="41">
        <f t="shared" si="2"/>
        <v>0.61356000000000011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f t="shared" si="3"/>
        <v>0</v>
      </c>
    </row>
    <row r="30" spans="1:21" ht="13.5" customHeight="1">
      <c r="A30" s="31" t="s">
        <v>61</v>
      </c>
      <c r="B30" s="11" t="s">
        <v>62</v>
      </c>
      <c r="C30" s="31" t="s">
        <v>63</v>
      </c>
      <c r="D30" s="11" t="s">
        <v>58</v>
      </c>
      <c r="E30" s="39"/>
      <c r="F30" s="40">
        <v>2</v>
      </c>
      <c r="G30" s="40">
        <v>1214.73</v>
      </c>
      <c r="H30" s="41">
        <f t="shared" si="2"/>
        <v>2.4294600000000002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f t="shared" si="3"/>
        <v>0</v>
      </c>
    </row>
    <row r="31" spans="1:21">
      <c r="A31" s="31"/>
      <c r="B31" s="54" t="s">
        <v>64</v>
      </c>
      <c r="C31" s="31" t="s">
        <v>65</v>
      </c>
      <c r="D31" s="54" t="s">
        <v>66</v>
      </c>
      <c r="E31" s="39">
        <v>2409</v>
      </c>
      <c r="F31" s="40">
        <f>SUM(E31*12)</f>
        <v>28908</v>
      </c>
      <c r="G31" s="40">
        <v>4.72</v>
      </c>
      <c r="H31" s="41">
        <f t="shared" si="2"/>
        <v>136.44575999999998</v>
      </c>
      <c r="I31" s="42">
        <f>F31/12*G31</f>
        <v>11370.48</v>
      </c>
      <c r="J31" s="42">
        <f>F31/12*G31</f>
        <v>11370.48</v>
      </c>
      <c r="K31" s="42">
        <f>F31/12*G31</f>
        <v>11370.48</v>
      </c>
      <c r="L31" s="42">
        <f>F31/12*G31</f>
        <v>11370.48</v>
      </c>
      <c r="M31" s="42">
        <f>F31/12*G31</f>
        <v>11370.48</v>
      </c>
      <c r="N31" s="42">
        <f>F31/12*G31</f>
        <v>11370.48</v>
      </c>
      <c r="O31" s="42">
        <f>F31/12*G31</f>
        <v>11370.48</v>
      </c>
      <c r="P31" s="42">
        <f>F31/12*G31</f>
        <v>11370.48</v>
      </c>
      <c r="Q31" s="42">
        <f>F31/12*G31</f>
        <v>11370.48</v>
      </c>
      <c r="R31" s="42">
        <f>F31/12*G31</f>
        <v>11370.48</v>
      </c>
      <c r="S31" s="42">
        <f>F31/12*G31</f>
        <v>11370.48</v>
      </c>
      <c r="T31" s="42">
        <f>F31/12*G31</f>
        <v>11370.48</v>
      </c>
      <c r="U31" s="42">
        <f>SUM(I31:T31)</f>
        <v>136445.75999999998</v>
      </c>
    </row>
    <row r="32" spans="1:21" ht="25.5">
      <c r="A32" s="140" t="s">
        <v>208</v>
      </c>
      <c r="B32" s="141" t="s">
        <v>209</v>
      </c>
      <c r="C32" s="140" t="s">
        <v>70</v>
      </c>
      <c r="D32" s="11"/>
      <c r="E32" s="39">
        <v>150.69999999999999</v>
      </c>
      <c r="F32" s="40">
        <f>E32*36/1000</f>
        <v>5.4252000000000002</v>
      </c>
      <c r="G32" s="40">
        <v>3228.73</v>
      </c>
      <c r="H32" s="41">
        <f t="shared" ref="H32" si="4">SUM(F32*G32/1000)</f>
        <v>17.516505995999999</v>
      </c>
      <c r="I32" s="42">
        <v>0</v>
      </c>
      <c r="J32" s="42">
        <v>0</v>
      </c>
      <c r="K32" s="42">
        <f>E32*9/1000*G32</f>
        <v>4379.126499</v>
      </c>
      <c r="L32" s="42">
        <v>0</v>
      </c>
      <c r="M32" s="42">
        <v>0</v>
      </c>
      <c r="N32" s="42">
        <f>E32*9/1000*G32</f>
        <v>4379.126499</v>
      </c>
      <c r="O32" s="42">
        <v>0</v>
      </c>
      <c r="P32" s="42">
        <v>0</v>
      </c>
      <c r="Q32" s="42">
        <f>E32*9/1000*G32</f>
        <v>4379.126499</v>
      </c>
      <c r="R32" s="42">
        <v>0</v>
      </c>
      <c r="S32" s="42">
        <v>0</v>
      </c>
      <c r="T32" s="42">
        <f>E32*9/1000*G32</f>
        <v>4379.126499</v>
      </c>
      <c r="U32" s="42">
        <f>SUM(I32:T32)</f>
        <v>17516.505996</v>
      </c>
    </row>
    <row r="33" spans="1:21" s="19" customFormat="1">
      <c r="A33" s="45"/>
      <c r="B33" s="20" t="s">
        <v>37</v>
      </c>
      <c r="C33" s="46"/>
      <c r="D33" s="20"/>
      <c r="E33" s="47"/>
      <c r="F33" s="48"/>
      <c r="G33" s="48"/>
      <c r="H33" s="55">
        <f>SUM(H24:H32)</f>
        <v>174.51892248799999</v>
      </c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>
        <f>SUM(U24:U32)</f>
        <v>171475.90248799996</v>
      </c>
    </row>
    <row r="34" spans="1:21">
      <c r="A34" s="31"/>
      <c r="B34" s="12" t="s">
        <v>67</v>
      </c>
      <c r="C34" s="31"/>
      <c r="D34" s="11"/>
      <c r="E34" s="39"/>
      <c r="F34" s="40"/>
      <c r="G34" s="40"/>
      <c r="H34" s="41" t="s">
        <v>66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25.5">
      <c r="A35" s="31" t="s">
        <v>61</v>
      </c>
      <c r="B35" s="13" t="s">
        <v>68</v>
      </c>
      <c r="C35" s="31" t="s">
        <v>63</v>
      </c>
      <c r="D35" s="11"/>
      <c r="E35" s="39"/>
      <c r="F35" s="40">
        <v>5</v>
      </c>
      <c r="G35" s="40">
        <v>1632.6</v>
      </c>
      <c r="H35" s="41">
        <f t="shared" ref="H35:H41" si="5">SUM(F35*G35/1000)</f>
        <v>8.1630000000000003</v>
      </c>
      <c r="I35" s="42">
        <f>F35/6*G35</f>
        <v>1360.5</v>
      </c>
      <c r="J35" s="42">
        <f>F35/6*G35</f>
        <v>1360.5</v>
      </c>
      <c r="K35" s="42">
        <f>F35/6*G35</f>
        <v>1360.5</v>
      </c>
      <c r="L35" s="42">
        <f>F35/6*G35</f>
        <v>1360.5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f>F35/6*G35</f>
        <v>1360.5</v>
      </c>
      <c r="T35" s="42">
        <f>F35/6*G35</f>
        <v>1360.5</v>
      </c>
      <c r="U35" s="42">
        <f t="shared" ref="U35:U41" si="6">SUM(I35:T35)</f>
        <v>8163</v>
      </c>
    </row>
    <row r="36" spans="1:21">
      <c r="A36" s="31" t="s">
        <v>61</v>
      </c>
      <c r="B36" s="11" t="s">
        <v>174</v>
      </c>
      <c r="C36" s="31" t="s">
        <v>108</v>
      </c>
      <c r="D36" s="11" t="s">
        <v>58</v>
      </c>
      <c r="E36" s="39"/>
      <c r="F36" s="56">
        <v>120</v>
      </c>
      <c r="G36" s="40">
        <v>213.2</v>
      </c>
      <c r="H36" s="41">
        <f>G36*F36/1000</f>
        <v>25.584</v>
      </c>
      <c r="I36" s="42">
        <v>0</v>
      </c>
      <c r="J36" s="42">
        <v>0</v>
      </c>
      <c r="K36" s="42">
        <f>39*G36</f>
        <v>8314.7999999999993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f t="shared" si="6"/>
        <v>8314.7999999999993</v>
      </c>
    </row>
    <row r="37" spans="1:21" ht="25.5">
      <c r="A37" s="57" t="s">
        <v>69</v>
      </c>
      <c r="B37" s="13" t="s">
        <v>147</v>
      </c>
      <c r="C37" s="57" t="s">
        <v>70</v>
      </c>
      <c r="D37" s="11" t="s">
        <v>172</v>
      </c>
      <c r="E37" s="39">
        <v>88</v>
      </c>
      <c r="F37" s="56">
        <f>E37*26/1000</f>
        <v>2.2879999999999998</v>
      </c>
      <c r="G37" s="40">
        <v>2247.8000000000002</v>
      </c>
      <c r="H37" s="41">
        <f>G37*F37/1000</f>
        <v>5.1429664000000006</v>
      </c>
      <c r="I37" s="42">
        <f>F37/6*G37</f>
        <v>857.16106666666667</v>
      </c>
      <c r="J37" s="42">
        <f>F37/6*G37</f>
        <v>857.16106666666667</v>
      </c>
      <c r="K37" s="42">
        <f>F37/6*G37</f>
        <v>857.16106666666667</v>
      </c>
      <c r="L37" s="42">
        <f>F37/6*G37</f>
        <v>857.16106666666667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f>F37/6*G37</f>
        <v>857.16106666666667</v>
      </c>
      <c r="T37" s="42">
        <f>F37/6*G37</f>
        <v>857.16106666666667</v>
      </c>
      <c r="U37" s="42">
        <f t="shared" si="6"/>
        <v>5142.9664000000002</v>
      </c>
    </row>
    <row r="38" spans="1:21" ht="24.75" customHeight="1">
      <c r="A38" s="31" t="s">
        <v>71</v>
      </c>
      <c r="B38" s="11" t="s">
        <v>72</v>
      </c>
      <c r="C38" s="31" t="s">
        <v>70</v>
      </c>
      <c r="D38" s="11" t="s">
        <v>73</v>
      </c>
      <c r="E38" s="40">
        <v>93.3</v>
      </c>
      <c r="F38" s="56">
        <f>SUM(E38*155/1000)</f>
        <v>14.461499999999999</v>
      </c>
      <c r="G38" s="40">
        <v>374.95</v>
      </c>
      <c r="H38" s="41">
        <f t="shared" si="5"/>
        <v>5.4223394249999988</v>
      </c>
      <c r="I38" s="42">
        <f>F38/6*G38</f>
        <v>903.72323749999998</v>
      </c>
      <c r="J38" s="42">
        <f>F38/6*G38</f>
        <v>903.72323749999998</v>
      </c>
      <c r="K38" s="42">
        <f>F38/6*G38</f>
        <v>903.72323749999998</v>
      </c>
      <c r="L38" s="42">
        <f>F38/6*G38</f>
        <v>903.72323749999998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f>F38/6*G38</f>
        <v>903.72323749999998</v>
      </c>
      <c r="T38" s="42">
        <f>F38/6*G38</f>
        <v>903.72323749999998</v>
      </c>
      <c r="U38" s="42">
        <f t="shared" si="6"/>
        <v>5422.3394250000001</v>
      </c>
    </row>
    <row r="39" spans="1:21" ht="51" customHeight="1">
      <c r="A39" s="31" t="s">
        <v>74</v>
      </c>
      <c r="B39" s="11" t="s">
        <v>75</v>
      </c>
      <c r="C39" s="31" t="s">
        <v>45</v>
      </c>
      <c r="D39" s="11" t="s">
        <v>173</v>
      </c>
      <c r="E39" s="40">
        <v>34.130000000000003</v>
      </c>
      <c r="F39" s="56">
        <f>SUM(E39*35/1000)</f>
        <v>1.1945500000000002</v>
      </c>
      <c r="G39" s="40">
        <v>6203.7</v>
      </c>
      <c r="H39" s="41">
        <f t="shared" si="5"/>
        <v>7.4106298350000017</v>
      </c>
      <c r="I39" s="42">
        <f>F39/6*G39</f>
        <v>1235.1049725</v>
      </c>
      <c r="J39" s="42">
        <f>F39/6*G39</f>
        <v>1235.1049725</v>
      </c>
      <c r="K39" s="42">
        <f>F39/6*G39</f>
        <v>1235.1049725</v>
      </c>
      <c r="L39" s="42">
        <f>F39/6*G39</f>
        <v>1235.1049725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f>F39/6*G39</f>
        <v>1235.1049725</v>
      </c>
      <c r="T39" s="42">
        <f>F39/6*G39</f>
        <v>1235.1049725</v>
      </c>
      <c r="U39" s="42">
        <f t="shared" si="6"/>
        <v>7410.6298350000006</v>
      </c>
    </row>
    <row r="40" spans="1:21" ht="27" customHeight="1">
      <c r="A40" s="31" t="s">
        <v>76</v>
      </c>
      <c r="B40" s="11" t="s">
        <v>77</v>
      </c>
      <c r="C40" s="31" t="s">
        <v>45</v>
      </c>
      <c r="D40" s="11" t="s">
        <v>78</v>
      </c>
      <c r="E40" s="40">
        <v>72</v>
      </c>
      <c r="F40" s="56">
        <f>SUM(E40*45/1000)</f>
        <v>3.24</v>
      </c>
      <c r="G40" s="40">
        <v>458.28</v>
      </c>
      <c r="H40" s="41">
        <f t="shared" si="5"/>
        <v>1.4848272</v>
      </c>
      <c r="I40" s="42">
        <f>F40/6*G40</f>
        <v>247.47120000000001</v>
      </c>
      <c r="J40" s="42">
        <f>F40/6*G40</f>
        <v>247.47120000000001</v>
      </c>
      <c r="K40" s="42">
        <f>F40/6*G40</f>
        <v>247.47120000000001</v>
      </c>
      <c r="L40" s="42">
        <f>F40/6*G40</f>
        <v>247.47120000000001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f>F40/6*G40</f>
        <v>247.47120000000001</v>
      </c>
      <c r="T40" s="42">
        <f>F40/6*G40</f>
        <v>247.47120000000001</v>
      </c>
      <c r="U40" s="42">
        <f t="shared" si="6"/>
        <v>1484.8271999999999</v>
      </c>
    </row>
    <row r="41" spans="1:21" s="1" customFormat="1">
      <c r="A41" s="57"/>
      <c r="B41" s="13" t="s">
        <v>79</v>
      </c>
      <c r="C41" s="57" t="s">
        <v>56</v>
      </c>
      <c r="D41" s="13"/>
      <c r="E41" s="53"/>
      <c r="F41" s="56">
        <v>0.9</v>
      </c>
      <c r="G41" s="56">
        <v>853.06</v>
      </c>
      <c r="H41" s="41">
        <f t="shared" si="5"/>
        <v>0.76775400000000005</v>
      </c>
      <c r="I41" s="58">
        <f>F41/6*G41</f>
        <v>127.95899999999999</v>
      </c>
      <c r="J41" s="58">
        <f>F41/6*G41</f>
        <v>127.95899999999999</v>
      </c>
      <c r="K41" s="58">
        <f>F41/6*G41</f>
        <v>127.95899999999999</v>
      </c>
      <c r="L41" s="58">
        <f>F41/6*G41</f>
        <v>127.95899999999999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f>F41/6*G41</f>
        <v>127.95899999999999</v>
      </c>
      <c r="T41" s="58">
        <f>F41/6*G41</f>
        <v>127.95899999999999</v>
      </c>
      <c r="U41" s="42">
        <f t="shared" si="6"/>
        <v>767.75399999999991</v>
      </c>
    </row>
    <row r="42" spans="1:21" s="19" customFormat="1">
      <c r="A42" s="45"/>
      <c r="B42" s="20" t="s">
        <v>37</v>
      </c>
      <c r="C42" s="46"/>
      <c r="D42" s="20"/>
      <c r="E42" s="47"/>
      <c r="F42" s="48" t="s">
        <v>66</v>
      </c>
      <c r="G42" s="48"/>
      <c r="H42" s="55">
        <f>SUM(H35:H41)</f>
        <v>53.975516859999999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>
        <f>SUM(U35:U41)</f>
        <v>36706.316859999999</v>
      </c>
    </row>
    <row r="43" spans="1:21">
      <c r="A43" s="31"/>
      <c r="B43" s="14" t="s">
        <v>80</v>
      </c>
      <c r="C43" s="31"/>
      <c r="D43" s="11"/>
      <c r="E43" s="39"/>
      <c r="F43" s="40"/>
      <c r="G43" s="40"/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>
      <c r="A44" s="31" t="s">
        <v>176</v>
      </c>
      <c r="B44" s="11" t="s">
        <v>175</v>
      </c>
      <c r="C44" s="31" t="s">
        <v>45</v>
      </c>
      <c r="D44" s="11" t="s">
        <v>81</v>
      </c>
      <c r="E44" s="39">
        <v>670.4</v>
      </c>
      <c r="F44" s="40">
        <f>SUM(E44*2/1000)</f>
        <v>1.3408</v>
      </c>
      <c r="G44" s="59">
        <v>908.11</v>
      </c>
      <c r="H44" s="41">
        <f t="shared" ref="H44:H52" si="7">SUM(F44*G44/1000)</f>
        <v>1.2175938880000001</v>
      </c>
      <c r="I44" s="42">
        <v>0</v>
      </c>
      <c r="J44" s="42">
        <v>0</v>
      </c>
      <c r="K44" s="42">
        <v>0</v>
      </c>
      <c r="L44" s="42">
        <f>F44/2*G44</f>
        <v>608.79694400000005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f>F44/2*G44</f>
        <v>608.79694400000005</v>
      </c>
      <c r="S44" s="42">
        <v>0</v>
      </c>
      <c r="T44" s="42">
        <v>0</v>
      </c>
      <c r="U44" s="42">
        <f t="shared" ref="U44:U52" si="8">SUM(I44:T44)</f>
        <v>1217.5938880000001</v>
      </c>
    </row>
    <row r="45" spans="1:21">
      <c r="A45" s="31" t="s">
        <v>82</v>
      </c>
      <c r="B45" s="11" t="s">
        <v>83</v>
      </c>
      <c r="C45" s="31" t="s">
        <v>45</v>
      </c>
      <c r="D45" s="11" t="s">
        <v>81</v>
      </c>
      <c r="E45" s="39">
        <v>26</v>
      </c>
      <c r="F45" s="40">
        <f>E45*2/1000</f>
        <v>5.1999999999999998E-2</v>
      </c>
      <c r="G45" s="59">
        <v>619.46</v>
      </c>
      <c r="H45" s="41">
        <f t="shared" si="7"/>
        <v>3.2211919999999998E-2</v>
      </c>
      <c r="I45" s="42">
        <v>0</v>
      </c>
      <c r="J45" s="42">
        <v>0</v>
      </c>
      <c r="K45" s="42">
        <v>0</v>
      </c>
      <c r="L45" s="42">
        <f>F45/2*G45</f>
        <v>16.10596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f>F45/2*G45</f>
        <v>16.10596</v>
      </c>
      <c r="S45" s="42">
        <v>0</v>
      </c>
      <c r="T45" s="42">
        <v>0</v>
      </c>
      <c r="U45" s="42">
        <f t="shared" si="8"/>
        <v>32.211919999999999</v>
      </c>
    </row>
    <row r="46" spans="1:21" ht="25.5">
      <c r="A46" s="31" t="s">
        <v>84</v>
      </c>
      <c r="B46" s="11" t="s">
        <v>85</v>
      </c>
      <c r="C46" s="31" t="s">
        <v>45</v>
      </c>
      <c r="D46" s="11" t="s">
        <v>81</v>
      </c>
      <c r="E46" s="39">
        <v>760.4</v>
      </c>
      <c r="F46" s="40">
        <f>SUM(E46*2/1000)</f>
        <v>1.5207999999999999</v>
      </c>
      <c r="G46" s="59">
        <v>619.46</v>
      </c>
      <c r="H46" s="41">
        <f t="shared" si="7"/>
        <v>0.94207476800000012</v>
      </c>
      <c r="I46" s="42">
        <v>0</v>
      </c>
      <c r="J46" s="42">
        <v>0</v>
      </c>
      <c r="K46" s="42">
        <v>0</v>
      </c>
      <c r="L46" s="42">
        <f>F46/2*G46</f>
        <v>471.03738400000003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f>F46/2*G46</f>
        <v>471.03738400000003</v>
      </c>
      <c r="S46" s="42">
        <v>0</v>
      </c>
      <c r="T46" s="42">
        <v>0</v>
      </c>
      <c r="U46" s="42">
        <f t="shared" si="8"/>
        <v>942.07476800000006</v>
      </c>
    </row>
    <row r="47" spans="1:21">
      <c r="A47" s="31" t="s">
        <v>86</v>
      </c>
      <c r="B47" s="11" t="s">
        <v>87</v>
      </c>
      <c r="C47" s="31" t="s">
        <v>45</v>
      </c>
      <c r="D47" s="11" t="s">
        <v>81</v>
      </c>
      <c r="E47" s="39">
        <v>1440</v>
      </c>
      <c r="F47" s="40">
        <f>SUM(E47*2/1000)</f>
        <v>2.88</v>
      </c>
      <c r="G47" s="59">
        <v>648.64</v>
      </c>
      <c r="H47" s="41">
        <f t="shared" si="7"/>
        <v>1.8680831999999998</v>
      </c>
      <c r="I47" s="42">
        <v>0</v>
      </c>
      <c r="J47" s="42">
        <v>0</v>
      </c>
      <c r="K47" s="42">
        <v>0</v>
      </c>
      <c r="L47" s="42">
        <f>F47/2*G47</f>
        <v>934.0415999999999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f>F47/2*G47</f>
        <v>934.0415999999999</v>
      </c>
      <c r="S47" s="42">
        <v>0</v>
      </c>
      <c r="T47" s="42">
        <v>0</v>
      </c>
      <c r="U47" s="42">
        <f t="shared" si="8"/>
        <v>1868.0831999999998</v>
      </c>
    </row>
    <row r="48" spans="1:21" ht="25.5">
      <c r="A48" s="31" t="s">
        <v>88</v>
      </c>
      <c r="B48" s="11" t="s">
        <v>89</v>
      </c>
      <c r="C48" s="31" t="s">
        <v>45</v>
      </c>
      <c r="D48" s="11" t="s">
        <v>90</v>
      </c>
      <c r="E48" s="39">
        <v>1340.8</v>
      </c>
      <c r="F48" s="40">
        <f>SUM(E48*5/1000)</f>
        <v>6.7039999999999997</v>
      </c>
      <c r="G48" s="59">
        <v>1297.28</v>
      </c>
      <c r="H48" s="41">
        <f t="shared" si="7"/>
        <v>8.6969651199999998</v>
      </c>
      <c r="I48" s="42">
        <f>F48/5*G48</f>
        <v>1739.393024</v>
      </c>
      <c r="J48" s="42">
        <f>F48/5*G48</f>
        <v>1739.393024</v>
      </c>
      <c r="K48" s="42">
        <v>0</v>
      </c>
      <c r="L48" s="42">
        <v>0</v>
      </c>
      <c r="M48" s="42">
        <f>F48/5*G48</f>
        <v>1739.393024</v>
      </c>
      <c r="N48" s="42">
        <v>0</v>
      </c>
      <c r="O48" s="42">
        <v>0</v>
      </c>
      <c r="P48" s="42">
        <v>0</v>
      </c>
      <c r="Q48" s="42">
        <f>F48/5*G48</f>
        <v>1739.393024</v>
      </c>
      <c r="R48" s="42">
        <v>0</v>
      </c>
      <c r="S48" s="42">
        <v>0</v>
      </c>
      <c r="T48" s="42">
        <f>F48/5*G48</f>
        <v>1739.393024</v>
      </c>
      <c r="U48" s="42">
        <f t="shared" si="8"/>
        <v>8696.9651200000008</v>
      </c>
    </row>
    <row r="49" spans="1:21" ht="39.6" customHeight="1">
      <c r="A49" s="31" t="s">
        <v>91</v>
      </c>
      <c r="B49" s="11" t="s">
        <v>92</v>
      </c>
      <c r="C49" s="31" t="s">
        <v>45</v>
      </c>
      <c r="D49" s="11" t="s">
        <v>81</v>
      </c>
      <c r="E49" s="39">
        <v>1340.8</v>
      </c>
      <c r="F49" s="40">
        <f>SUM(E49*2/1000)</f>
        <v>2.6816</v>
      </c>
      <c r="G49" s="59">
        <v>1297.28</v>
      </c>
      <c r="H49" s="41">
        <f t="shared" si="7"/>
        <v>3.4787860479999999</v>
      </c>
      <c r="I49" s="42">
        <v>0</v>
      </c>
      <c r="J49" s="42">
        <f>F49/2*G49</f>
        <v>1739.393024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f>F49/2*G49</f>
        <v>1739.393024</v>
      </c>
      <c r="R49" s="42">
        <v>0</v>
      </c>
      <c r="S49" s="42">
        <v>0</v>
      </c>
      <c r="T49" s="42">
        <v>0</v>
      </c>
      <c r="U49" s="42">
        <f t="shared" si="8"/>
        <v>3478.7860479999999</v>
      </c>
    </row>
    <row r="50" spans="1:21" ht="28.9" customHeight="1">
      <c r="A50" s="31" t="s">
        <v>93</v>
      </c>
      <c r="B50" s="11" t="s">
        <v>94</v>
      </c>
      <c r="C50" s="31" t="s">
        <v>95</v>
      </c>
      <c r="D50" s="11" t="s">
        <v>81</v>
      </c>
      <c r="E50" s="39">
        <v>10</v>
      </c>
      <c r="F50" s="40">
        <f>SUM(E50*2/100)</f>
        <v>0.2</v>
      </c>
      <c r="G50" s="59">
        <v>2918.89</v>
      </c>
      <c r="H50" s="41">
        <f>SUM(F50*G50/1000)</f>
        <v>0.58377800000000002</v>
      </c>
      <c r="I50" s="42">
        <v>0</v>
      </c>
      <c r="J50" s="42">
        <f>F50/2*G50</f>
        <v>291.88900000000001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f>F50/2*G50</f>
        <v>291.88900000000001</v>
      </c>
      <c r="R50" s="42">
        <v>0</v>
      </c>
      <c r="S50" s="42">
        <v>0</v>
      </c>
      <c r="T50" s="42">
        <v>0</v>
      </c>
      <c r="U50" s="42">
        <f t="shared" si="8"/>
        <v>583.77800000000002</v>
      </c>
    </row>
    <row r="51" spans="1:21">
      <c r="A51" s="31" t="s">
        <v>96</v>
      </c>
      <c r="B51" s="11" t="s">
        <v>97</v>
      </c>
      <c r="C51" s="31" t="s">
        <v>98</v>
      </c>
      <c r="D51" s="11" t="s">
        <v>81</v>
      </c>
      <c r="E51" s="39">
        <v>1</v>
      </c>
      <c r="F51" s="40">
        <v>0.02</v>
      </c>
      <c r="G51" s="59">
        <v>6042.12</v>
      </c>
      <c r="H51" s="41">
        <f t="shared" si="7"/>
        <v>0.1208424</v>
      </c>
      <c r="I51" s="42">
        <v>0</v>
      </c>
      <c r="J51" s="42">
        <f>F51/2*G51</f>
        <v>60.421199999999999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f>F51/2*G51</f>
        <v>60.421199999999999</v>
      </c>
      <c r="R51" s="42">
        <v>0</v>
      </c>
      <c r="S51" s="42">
        <v>0</v>
      </c>
      <c r="T51" s="42">
        <v>0</v>
      </c>
      <c r="U51" s="42">
        <f t="shared" si="8"/>
        <v>120.8424</v>
      </c>
    </row>
    <row r="52" spans="1:21" ht="13.5" customHeight="1">
      <c r="A52" s="31" t="s">
        <v>100</v>
      </c>
      <c r="B52" s="11" t="s">
        <v>101</v>
      </c>
      <c r="C52" s="31" t="s">
        <v>99</v>
      </c>
      <c r="D52" s="11" t="s">
        <v>196</v>
      </c>
      <c r="E52" s="39">
        <v>80</v>
      </c>
      <c r="F52" s="40">
        <f>SUM(E52)*3</f>
        <v>240</v>
      </c>
      <c r="G52" s="60">
        <v>70.209999999999994</v>
      </c>
      <c r="H52" s="41">
        <f t="shared" si="7"/>
        <v>16.850399999999997</v>
      </c>
      <c r="I52" s="42">
        <v>0</v>
      </c>
      <c r="J52" s="42">
        <v>0</v>
      </c>
      <c r="K52" s="42">
        <v>0</v>
      </c>
      <c r="L52" s="42">
        <v>0</v>
      </c>
      <c r="M52" s="42">
        <f>E52*G52</f>
        <v>5616.7999999999993</v>
      </c>
      <c r="N52" s="42">
        <v>0</v>
      </c>
      <c r="O52" s="42">
        <v>0</v>
      </c>
      <c r="P52" s="42">
        <v>0</v>
      </c>
      <c r="Q52" s="42">
        <f>E52*G52</f>
        <v>5616.7999999999993</v>
      </c>
      <c r="R52" s="42">
        <v>0</v>
      </c>
      <c r="S52" s="42">
        <v>0</v>
      </c>
      <c r="T52" s="42">
        <f>E52*G52</f>
        <v>5616.7999999999993</v>
      </c>
      <c r="U52" s="42">
        <f t="shared" si="8"/>
        <v>16850.399999999998</v>
      </c>
    </row>
    <row r="53" spans="1:21" s="21" customFormat="1">
      <c r="A53" s="61"/>
      <c r="B53" s="20" t="s">
        <v>37</v>
      </c>
      <c r="C53" s="62"/>
      <c r="D53" s="20"/>
      <c r="E53" s="63"/>
      <c r="F53" s="64"/>
      <c r="G53" s="64"/>
      <c r="H53" s="55">
        <f>SUM(H44:H52)</f>
        <v>33.790735343999998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f>SUM(U44:U52)</f>
        <v>33790.735344000001</v>
      </c>
    </row>
    <row r="54" spans="1:21">
      <c r="A54" s="31"/>
      <c r="B54" s="12" t="s">
        <v>102</v>
      </c>
      <c r="C54" s="31"/>
      <c r="D54" s="11"/>
      <c r="E54" s="39"/>
      <c r="F54" s="40"/>
      <c r="G54" s="40"/>
      <c r="H54" s="41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 ht="38.25" customHeight="1">
      <c r="A55" s="31" t="s">
        <v>104</v>
      </c>
      <c r="B55" s="11" t="s">
        <v>178</v>
      </c>
      <c r="C55" s="31" t="s">
        <v>14</v>
      </c>
      <c r="D55" s="11" t="s">
        <v>103</v>
      </c>
      <c r="E55" s="39">
        <v>79.040000000000006</v>
      </c>
      <c r="F55" s="40">
        <f>SUM(E55*6/100)</f>
        <v>4.7423999999999999</v>
      </c>
      <c r="G55" s="59">
        <v>1654.04</v>
      </c>
      <c r="H55" s="41">
        <f>SUM(F55*G55/1000)</f>
        <v>7.8441192959999997</v>
      </c>
      <c r="I55" s="42">
        <f>F55/6*G55</f>
        <v>1307.353216</v>
      </c>
      <c r="J55" s="42">
        <f>F55/6*G55</f>
        <v>1307.353216</v>
      </c>
      <c r="K55" s="42">
        <f>F55/6*G55</f>
        <v>1307.353216</v>
      </c>
      <c r="L55" s="42">
        <f>F55/6*G55</f>
        <v>1307.353216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f>F55/6*G55</f>
        <v>1307.353216</v>
      </c>
      <c r="T55" s="42">
        <f>F55/6*G55</f>
        <v>1307.353216</v>
      </c>
      <c r="U55" s="42">
        <f>SUM(I55:T55)</f>
        <v>7844.1192959999989</v>
      </c>
    </row>
    <row r="56" spans="1:21" ht="12.75" customHeight="1">
      <c r="A56" s="66" t="s">
        <v>177</v>
      </c>
      <c r="B56" s="24" t="s">
        <v>157</v>
      </c>
      <c r="C56" s="66" t="s">
        <v>30</v>
      </c>
      <c r="D56" s="24" t="s">
        <v>49</v>
      </c>
      <c r="E56" s="67">
        <v>670.4</v>
      </c>
      <c r="F56" s="68">
        <f>E56/100</f>
        <v>6.7039999999999997</v>
      </c>
      <c r="G56" s="59">
        <v>505.2</v>
      </c>
      <c r="H56" s="69">
        <f>F56*G56/1000</f>
        <v>3.3868608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f>SUM(I56:T56)</f>
        <v>0</v>
      </c>
    </row>
    <row r="57" spans="1:21" ht="24" customHeight="1">
      <c r="A57" s="31" t="s">
        <v>104</v>
      </c>
      <c r="B57" s="11" t="s">
        <v>179</v>
      </c>
      <c r="C57" s="31" t="s">
        <v>14</v>
      </c>
      <c r="D57" s="11" t="s">
        <v>103</v>
      </c>
      <c r="E57" s="39">
        <v>3.8</v>
      </c>
      <c r="F57" s="40">
        <f>SUM(E57*6/100)</f>
        <v>0.22799999999999998</v>
      </c>
      <c r="G57" s="59">
        <v>1654.04</v>
      </c>
      <c r="H57" s="41">
        <f>SUM(F57*G57/1000)</f>
        <v>0.37712111999999998</v>
      </c>
      <c r="I57" s="42">
        <v>0</v>
      </c>
      <c r="J57" s="42">
        <f>F57/6*G57</f>
        <v>62.853519999999996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f>SUM(I57:T57)</f>
        <v>62.853519999999996</v>
      </c>
    </row>
    <row r="58" spans="1:21" ht="12.75" customHeight="1">
      <c r="A58" s="66" t="s">
        <v>180</v>
      </c>
      <c r="B58" s="24" t="s">
        <v>181</v>
      </c>
      <c r="C58" s="66" t="s">
        <v>182</v>
      </c>
      <c r="D58" s="24" t="s">
        <v>81</v>
      </c>
      <c r="E58" s="67">
        <v>2</v>
      </c>
      <c r="F58" s="68">
        <v>4</v>
      </c>
      <c r="G58" s="59">
        <v>193.25</v>
      </c>
      <c r="H58" s="69">
        <f>F58*G58/1000</f>
        <v>0.77300000000000002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f>SUM(I58:T58)</f>
        <v>0</v>
      </c>
    </row>
    <row r="59" spans="1:21" ht="12.75" customHeight="1">
      <c r="A59" s="66"/>
      <c r="B59" s="25" t="s">
        <v>105</v>
      </c>
      <c r="C59" s="66"/>
      <c r="D59" s="24"/>
      <c r="E59" s="67"/>
      <c r="F59" s="68"/>
      <c r="G59" s="59"/>
      <c r="H59" s="69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ht="12.75" customHeight="1">
      <c r="A60" s="66" t="s">
        <v>106</v>
      </c>
      <c r="B60" s="24" t="s">
        <v>157</v>
      </c>
      <c r="C60" s="66" t="s">
        <v>30</v>
      </c>
      <c r="D60" s="24" t="s">
        <v>49</v>
      </c>
      <c r="E60" s="67">
        <v>1096</v>
      </c>
      <c r="F60" s="68">
        <f>E60/100</f>
        <v>10.96</v>
      </c>
      <c r="G60" s="59">
        <v>848.37</v>
      </c>
      <c r="H60" s="69">
        <f>F60*G60/1000</f>
        <v>9.2981352000000008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f>SUM(I60:T60)</f>
        <v>0</v>
      </c>
    </row>
    <row r="61" spans="1:21" ht="12.75" customHeight="1">
      <c r="A61" s="66"/>
      <c r="B61" s="24" t="s">
        <v>156</v>
      </c>
      <c r="C61" s="66" t="s">
        <v>107</v>
      </c>
      <c r="D61" s="24" t="s">
        <v>155</v>
      </c>
      <c r="E61" s="67">
        <v>110</v>
      </c>
      <c r="F61" s="70">
        <f>E61*12</f>
        <v>1320</v>
      </c>
      <c r="G61" s="71">
        <v>2.6</v>
      </c>
      <c r="H61" s="68">
        <f>F61*G61/1000</f>
        <v>3.4319999999999999</v>
      </c>
      <c r="I61" s="42">
        <f>F61/12*G61</f>
        <v>286</v>
      </c>
      <c r="J61" s="42">
        <f>F61/12*G61</f>
        <v>286</v>
      </c>
      <c r="K61" s="42">
        <f>F61/12*G61</f>
        <v>286</v>
      </c>
      <c r="L61" s="42">
        <f>F61/12*G61</f>
        <v>286</v>
      </c>
      <c r="M61" s="42">
        <f>F61/12*G61</f>
        <v>286</v>
      </c>
      <c r="N61" s="42">
        <f>F61/12*G61</f>
        <v>286</v>
      </c>
      <c r="O61" s="42">
        <f>F61/12*G61</f>
        <v>286</v>
      </c>
      <c r="P61" s="42">
        <f>F61/12*G61</f>
        <v>286</v>
      </c>
      <c r="Q61" s="42">
        <f>F61/12*G61</f>
        <v>286</v>
      </c>
      <c r="R61" s="42">
        <f>F61/12*G61</f>
        <v>286</v>
      </c>
      <c r="S61" s="42">
        <f>F61/12*G61</f>
        <v>286</v>
      </c>
      <c r="T61" s="42">
        <f>F61/12*G61</f>
        <v>286</v>
      </c>
      <c r="U61" s="42">
        <f>SUM(I61:T61)</f>
        <v>3432</v>
      </c>
    </row>
    <row r="62" spans="1:21">
      <c r="A62" s="66"/>
      <c r="B62" s="15" t="s">
        <v>109</v>
      </c>
      <c r="C62" s="66"/>
      <c r="D62" s="24"/>
      <c r="E62" s="67"/>
      <c r="F62" s="70"/>
      <c r="G62" s="70"/>
      <c r="H62" s="68" t="s">
        <v>66</v>
      </c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0.25" customHeight="1">
      <c r="A63" s="72" t="s">
        <v>110</v>
      </c>
      <c r="B63" s="16" t="s">
        <v>111</v>
      </c>
      <c r="C63" s="72" t="s">
        <v>99</v>
      </c>
      <c r="D63" s="8" t="s">
        <v>58</v>
      </c>
      <c r="E63" s="73">
        <v>6</v>
      </c>
      <c r="F63" s="40">
        <v>6</v>
      </c>
      <c r="G63" s="59">
        <v>237.74</v>
      </c>
      <c r="H63" s="74">
        <f t="shared" ref="H63:H76" si="9">SUM(F63*G63/1000)</f>
        <v>1.4264400000000002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f>G63</f>
        <v>237.74</v>
      </c>
      <c r="O63" s="42">
        <v>0</v>
      </c>
      <c r="P63" s="42">
        <f>G63</f>
        <v>237.74</v>
      </c>
      <c r="Q63" s="42">
        <v>0</v>
      </c>
      <c r="R63" s="42">
        <f>G63</f>
        <v>237.74</v>
      </c>
      <c r="S63" s="42">
        <f>G63*3</f>
        <v>713.22</v>
      </c>
      <c r="T63" s="42">
        <v>0</v>
      </c>
      <c r="U63" s="42">
        <f t="shared" ref="U63:U70" si="10">SUM(I63:T63)</f>
        <v>1426.44</v>
      </c>
    </row>
    <row r="64" spans="1:21" ht="12.75" customHeight="1">
      <c r="A64" s="72" t="s">
        <v>112</v>
      </c>
      <c r="B64" s="16" t="s">
        <v>113</v>
      </c>
      <c r="C64" s="72" t="s">
        <v>99</v>
      </c>
      <c r="D64" s="8" t="s">
        <v>58</v>
      </c>
      <c r="E64" s="73">
        <v>2</v>
      </c>
      <c r="F64" s="40">
        <v>2</v>
      </c>
      <c r="G64" s="59">
        <v>81.510000000000005</v>
      </c>
      <c r="H64" s="74">
        <f t="shared" si="9"/>
        <v>0.16302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f>G64*4</f>
        <v>326.04000000000002</v>
      </c>
      <c r="R64" s="42">
        <v>0</v>
      </c>
      <c r="S64" s="42">
        <v>0</v>
      </c>
      <c r="T64" s="42">
        <v>0</v>
      </c>
      <c r="U64" s="42">
        <f t="shared" si="10"/>
        <v>326.04000000000002</v>
      </c>
    </row>
    <row r="65" spans="1:21" s="1" customFormat="1">
      <c r="A65" s="75" t="s">
        <v>114</v>
      </c>
      <c r="B65" s="16" t="s">
        <v>115</v>
      </c>
      <c r="C65" s="75" t="s">
        <v>116</v>
      </c>
      <c r="D65" s="8" t="s">
        <v>49</v>
      </c>
      <c r="E65" s="39">
        <v>9962</v>
      </c>
      <c r="F65" s="60">
        <f>SUM(E65/100)</f>
        <v>99.62</v>
      </c>
      <c r="G65" s="59">
        <v>226.79</v>
      </c>
      <c r="H65" s="74">
        <f t="shared" si="9"/>
        <v>22.592819800000001</v>
      </c>
      <c r="I65" s="58">
        <v>0</v>
      </c>
      <c r="J65" s="58">
        <v>0</v>
      </c>
      <c r="K65" s="58">
        <v>0</v>
      </c>
      <c r="L65" s="58">
        <v>0</v>
      </c>
      <c r="M65" s="58">
        <f>F65*G65</f>
        <v>22592.819800000001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42">
        <f t="shared" si="10"/>
        <v>22592.819800000001</v>
      </c>
    </row>
    <row r="66" spans="1:21" ht="25.5">
      <c r="A66" s="72" t="s">
        <v>117</v>
      </c>
      <c r="B66" s="16" t="s">
        <v>118</v>
      </c>
      <c r="C66" s="72" t="s">
        <v>119</v>
      </c>
      <c r="D66" s="8"/>
      <c r="E66" s="39">
        <v>9962</v>
      </c>
      <c r="F66" s="59">
        <f>SUM(E66/1000)</f>
        <v>9.9619999999999997</v>
      </c>
      <c r="G66" s="59">
        <v>176.61</v>
      </c>
      <c r="H66" s="74">
        <f t="shared" si="9"/>
        <v>1.7593888200000001</v>
      </c>
      <c r="I66" s="42">
        <v>0</v>
      </c>
      <c r="J66" s="42">
        <v>0</v>
      </c>
      <c r="K66" s="42">
        <v>0</v>
      </c>
      <c r="L66" s="42">
        <v>0</v>
      </c>
      <c r="M66" s="42">
        <f>F66*G66</f>
        <v>1759.3888200000001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f t="shared" si="10"/>
        <v>1759.3888200000001</v>
      </c>
    </row>
    <row r="67" spans="1:21">
      <c r="A67" s="72" t="s">
        <v>120</v>
      </c>
      <c r="B67" s="16" t="s">
        <v>121</v>
      </c>
      <c r="C67" s="72" t="s">
        <v>122</v>
      </c>
      <c r="D67" s="8" t="s">
        <v>49</v>
      </c>
      <c r="E67" s="39">
        <v>1062</v>
      </c>
      <c r="F67" s="59">
        <f>SUM(E67/100)</f>
        <v>10.62</v>
      </c>
      <c r="G67" s="59">
        <v>2217.7800000000002</v>
      </c>
      <c r="H67" s="74">
        <f t="shared" si="9"/>
        <v>23.5528236</v>
      </c>
      <c r="I67" s="42">
        <v>0</v>
      </c>
      <c r="J67" s="42">
        <v>0</v>
      </c>
      <c r="K67" s="42">
        <v>0</v>
      </c>
      <c r="L67" s="42">
        <v>0</v>
      </c>
      <c r="M67" s="42">
        <f>F67*G67</f>
        <v>23552.8236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f t="shared" si="10"/>
        <v>23552.8236</v>
      </c>
    </row>
    <row r="68" spans="1:21">
      <c r="A68" s="72"/>
      <c r="B68" s="17" t="s">
        <v>148</v>
      </c>
      <c r="C68" s="72" t="s">
        <v>56</v>
      </c>
      <c r="D68" s="8"/>
      <c r="E68" s="39">
        <v>9</v>
      </c>
      <c r="F68" s="59">
        <f>SUM(E68)</f>
        <v>9</v>
      </c>
      <c r="G68" s="59">
        <v>42.67</v>
      </c>
      <c r="H68" s="74">
        <f t="shared" si="9"/>
        <v>0.38403000000000004</v>
      </c>
      <c r="I68" s="42">
        <v>0</v>
      </c>
      <c r="J68" s="42">
        <v>0</v>
      </c>
      <c r="K68" s="42">
        <v>0</v>
      </c>
      <c r="L68" s="42">
        <v>0</v>
      </c>
      <c r="M68" s="42">
        <f>F68*G68</f>
        <v>384.03000000000003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f t="shared" si="10"/>
        <v>384.03000000000003</v>
      </c>
    </row>
    <row r="69" spans="1:21" ht="25.5">
      <c r="A69" s="29"/>
      <c r="B69" s="17" t="s">
        <v>149</v>
      </c>
      <c r="C69" s="72" t="s">
        <v>56</v>
      </c>
      <c r="D69" s="8"/>
      <c r="E69" s="39">
        <v>9</v>
      </c>
      <c r="F69" s="59">
        <f>SUM(E69)</f>
        <v>9</v>
      </c>
      <c r="G69" s="59">
        <v>39.81</v>
      </c>
      <c r="H69" s="74">
        <f t="shared" si="9"/>
        <v>0.35829</v>
      </c>
      <c r="I69" s="42">
        <v>0</v>
      </c>
      <c r="J69" s="42">
        <v>0</v>
      </c>
      <c r="K69" s="42">
        <v>0</v>
      </c>
      <c r="L69" s="42">
        <v>0</v>
      </c>
      <c r="M69" s="42">
        <f>F69*G69</f>
        <v>358.29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f t="shared" si="10"/>
        <v>358.29</v>
      </c>
    </row>
    <row r="70" spans="1:21">
      <c r="A70" s="72" t="s">
        <v>123</v>
      </c>
      <c r="B70" s="8" t="s">
        <v>124</v>
      </c>
      <c r="C70" s="72" t="s">
        <v>125</v>
      </c>
      <c r="D70" s="8" t="s">
        <v>49</v>
      </c>
      <c r="E70" s="73">
        <v>2</v>
      </c>
      <c r="F70" s="40">
        <v>2</v>
      </c>
      <c r="G70" s="59">
        <v>53.32</v>
      </c>
      <c r="H70" s="74">
        <f t="shared" si="9"/>
        <v>0.10664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f>F70*G70</f>
        <v>106.64</v>
      </c>
      <c r="R70" s="42">
        <v>0</v>
      </c>
      <c r="S70" s="42">
        <v>0</v>
      </c>
      <c r="T70" s="42">
        <v>0</v>
      </c>
      <c r="U70" s="42">
        <f t="shared" si="10"/>
        <v>106.64</v>
      </c>
    </row>
    <row r="71" spans="1:21">
      <c r="A71" s="29"/>
      <c r="B71" s="18" t="s">
        <v>126</v>
      </c>
      <c r="C71" s="72"/>
      <c r="D71" s="8"/>
      <c r="E71" s="73"/>
      <c r="F71" s="59"/>
      <c r="G71" s="59"/>
      <c r="H71" s="74" t="s">
        <v>66</v>
      </c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>
      <c r="A72" s="72" t="s">
        <v>127</v>
      </c>
      <c r="B72" s="8" t="s">
        <v>128</v>
      </c>
      <c r="C72" s="72" t="s">
        <v>129</v>
      </c>
      <c r="D72" s="8"/>
      <c r="E72" s="73">
        <v>4</v>
      </c>
      <c r="F72" s="59">
        <v>0.4</v>
      </c>
      <c r="G72" s="59">
        <v>536.23</v>
      </c>
      <c r="H72" s="74">
        <f t="shared" si="9"/>
        <v>0.21449200000000002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f>SUM(I72:T72)</f>
        <v>0</v>
      </c>
    </row>
    <row r="73" spans="1:21">
      <c r="A73" s="72" t="s">
        <v>150</v>
      </c>
      <c r="B73" s="8" t="s">
        <v>151</v>
      </c>
      <c r="C73" s="72" t="s">
        <v>52</v>
      </c>
      <c r="D73" s="8"/>
      <c r="E73" s="73">
        <v>1</v>
      </c>
      <c r="F73" s="71">
        <v>1</v>
      </c>
      <c r="G73" s="59">
        <v>911.85</v>
      </c>
      <c r="H73" s="74">
        <f>F73*G73/1000</f>
        <v>0.91185000000000005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f>SUM(I73:T73)</f>
        <v>0</v>
      </c>
    </row>
    <row r="74" spans="1:21">
      <c r="A74" s="72" t="s">
        <v>130</v>
      </c>
      <c r="B74" s="8" t="s">
        <v>153</v>
      </c>
      <c r="C74" s="72" t="s">
        <v>52</v>
      </c>
      <c r="D74" s="8"/>
      <c r="E74" s="73">
        <v>1</v>
      </c>
      <c r="F74" s="59">
        <v>1</v>
      </c>
      <c r="G74" s="59">
        <v>383.25</v>
      </c>
      <c r="H74" s="74">
        <f>G74*F74/1000</f>
        <v>0.38324999999999998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f>SUM(I74:T74)</f>
        <v>0</v>
      </c>
    </row>
    <row r="75" spans="1:21">
      <c r="A75" s="29"/>
      <c r="B75" s="76" t="s">
        <v>131</v>
      </c>
      <c r="C75" s="72"/>
      <c r="D75" s="8"/>
      <c r="E75" s="73"/>
      <c r="F75" s="59"/>
      <c r="G75" s="59" t="s">
        <v>66</v>
      </c>
      <c r="H75" s="74" t="s">
        <v>66</v>
      </c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s="1" customFormat="1">
      <c r="A76" s="75" t="s">
        <v>132</v>
      </c>
      <c r="B76" s="77" t="s">
        <v>133</v>
      </c>
      <c r="C76" s="75" t="s">
        <v>122</v>
      </c>
      <c r="D76" s="16"/>
      <c r="E76" s="78"/>
      <c r="F76" s="60">
        <v>0.1</v>
      </c>
      <c r="G76" s="60">
        <v>2949.85</v>
      </c>
      <c r="H76" s="74">
        <f t="shared" si="9"/>
        <v>0.294985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42">
        <f>SUM(I76:T76)</f>
        <v>0</v>
      </c>
    </row>
    <row r="77" spans="1:21" s="21" customFormat="1">
      <c r="A77" s="30"/>
      <c r="B77" s="20" t="s">
        <v>37</v>
      </c>
      <c r="C77" s="79"/>
      <c r="D77" s="80"/>
      <c r="E77" s="81"/>
      <c r="F77" s="65"/>
      <c r="G77" s="65"/>
      <c r="H77" s="82">
        <f>SUM(H55:H76)</f>
        <v>77.259265635999995</v>
      </c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>
        <f>SUM(U55:U76)</f>
        <v>61845.445035999997</v>
      </c>
    </row>
    <row r="78" spans="1:21">
      <c r="A78" s="138" t="s">
        <v>205</v>
      </c>
      <c r="B78" s="11" t="s">
        <v>206</v>
      </c>
      <c r="C78" s="84" t="s">
        <v>207</v>
      </c>
      <c r="D78" s="85"/>
      <c r="E78" s="139"/>
      <c r="F78" s="86">
        <f>37/10</f>
        <v>3.7</v>
      </c>
      <c r="G78" s="87">
        <v>9</v>
      </c>
      <c r="H78" s="74">
        <f>G78*F78/1000</f>
        <v>3.3300000000000003E-2</v>
      </c>
      <c r="I78" s="42">
        <v>0</v>
      </c>
      <c r="J78" s="42">
        <v>0</v>
      </c>
      <c r="K78" s="42">
        <v>0</v>
      </c>
      <c r="L78" s="42">
        <v>0</v>
      </c>
      <c r="M78" s="43">
        <v>0</v>
      </c>
      <c r="N78" s="42">
        <f>F78*G78</f>
        <v>33.300000000000004</v>
      </c>
      <c r="O78" s="42">
        <v>0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42">
        <f>SUM(I78:T78)</f>
        <v>33.300000000000004</v>
      </c>
    </row>
    <row r="79" spans="1:21" ht="12.75" customHeight="1">
      <c r="A79" s="72"/>
      <c r="B79" s="83" t="s">
        <v>134</v>
      </c>
      <c r="C79" s="72" t="s">
        <v>135</v>
      </c>
      <c r="D79" s="88"/>
      <c r="E79" s="59">
        <v>2409</v>
      </c>
      <c r="F79" s="59">
        <f>SUM(E79*12)</f>
        <v>28908</v>
      </c>
      <c r="G79" s="89">
        <v>2.54</v>
      </c>
      <c r="H79" s="74">
        <f>SUM(F79*G79/1000)</f>
        <v>73.426320000000004</v>
      </c>
      <c r="I79" s="42">
        <f>F79/12*G79</f>
        <v>6118.86</v>
      </c>
      <c r="J79" s="42">
        <f>F79/12*G79</f>
        <v>6118.86</v>
      </c>
      <c r="K79" s="42">
        <f>F79/12*G79</f>
        <v>6118.86</v>
      </c>
      <c r="L79" s="42">
        <f>F79/12*G79</f>
        <v>6118.86</v>
      </c>
      <c r="M79" s="42">
        <f>F79/12*G79</f>
        <v>6118.86</v>
      </c>
      <c r="N79" s="42">
        <f>F79/12*G79</f>
        <v>6118.86</v>
      </c>
      <c r="O79" s="42">
        <f>F79/12*G79</f>
        <v>6118.86</v>
      </c>
      <c r="P79" s="42">
        <f>F79/12*G79</f>
        <v>6118.86</v>
      </c>
      <c r="Q79" s="42">
        <f>F79/12*G79</f>
        <v>6118.86</v>
      </c>
      <c r="R79" s="42">
        <f>F79/12*G79</f>
        <v>6118.86</v>
      </c>
      <c r="S79" s="42">
        <f>F79/12*G79</f>
        <v>6118.86</v>
      </c>
      <c r="T79" s="42">
        <f>F79/12*G79</f>
        <v>6118.86</v>
      </c>
      <c r="U79" s="42">
        <f>SUM(I79:T79)</f>
        <v>73426.319999999992</v>
      </c>
    </row>
    <row r="80" spans="1:21" s="19" customFormat="1">
      <c r="A80" s="90"/>
      <c r="B80" s="20" t="s">
        <v>37</v>
      </c>
      <c r="C80" s="91"/>
      <c r="D80" s="92"/>
      <c r="E80" s="93"/>
      <c r="F80" s="50"/>
      <c r="G80" s="94"/>
      <c r="H80" s="51">
        <f>SUM(H78:H79)</f>
        <v>73.459620000000001</v>
      </c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>
        <f>SUM(U78:U79)</f>
        <v>73459.62</v>
      </c>
    </row>
    <row r="81" spans="1:21" ht="33.75" customHeight="1">
      <c r="A81" s="29"/>
      <c r="B81" s="8" t="s">
        <v>136</v>
      </c>
      <c r="C81" s="72"/>
      <c r="D81" s="95"/>
      <c r="E81" s="39">
        <f>E79</f>
        <v>2409</v>
      </c>
      <c r="F81" s="59">
        <f>E81*12</f>
        <v>28908</v>
      </c>
      <c r="G81" s="59">
        <v>3.05</v>
      </c>
      <c r="H81" s="74">
        <f>F81*G81/1000</f>
        <v>88.169399999999996</v>
      </c>
      <c r="I81" s="42">
        <f>F81/12*G81</f>
        <v>7347.45</v>
      </c>
      <c r="J81" s="42">
        <f>F81/12*G81</f>
        <v>7347.45</v>
      </c>
      <c r="K81" s="42">
        <f>F81/12*G81</f>
        <v>7347.45</v>
      </c>
      <c r="L81" s="42">
        <f>F81/12*G81</f>
        <v>7347.45</v>
      </c>
      <c r="M81" s="42">
        <f>F81/12*G81</f>
        <v>7347.45</v>
      </c>
      <c r="N81" s="42">
        <f>F81/12*G81</f>
        <v>7347.45</v>
      </c>
      <c r="O81" s="42">
        <f>F81/12*G81</f>
        <v>7347.45</v>
      </c>
      <c r="P81" s="42">
        <f>F81/12*G81</f>
        <v>7347.45</v>
      </c>
      <c r="Q81" s="42">
        <f>F81/12*G81</f>
        <v>7347.45</v>
      </c>
      <c r="R81" s="42">
        <f>F81/12*G81</f>
        <v>7347.45</v>
      </c>
      <c r="S81" s="42">
        <f>F81/12*G81</f>
        <v>7347.45</v>
      </c>
      <c r="T81" s="42">
        <f>F81/12*G81</f>
        <v>7347.45</v>
      </c>
      <c r="U81" s="42">
        <f>SUM(I81:T81)</f>
        <v>88169.39999999998</v>
      </c>
    </row>
    <row r="82" spans="1:21" s="19" customFormat="1">
      <c r="A82" s="90"/>
      <c r="B82" s="96" t="s">
        <v>137</v>
      </c>
      <c r="C82" s="97"/>
      <c r="D82" s="96"/>
      <c r="E82" s="50"/>
      <c r="F82" s="50"/>
      <c r="G82" s="50"/>
      <c r="H82" s="82">
        <f>H81</f>
        <v>88.169399999999996</v>
      </c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134">
        <f>U81</f>
        <v>88169.39999999998</v>
      </c>
    </row>
    <row r="83" spans="1:21" s="19" customFormat="1">
      <c r="A83" s="90"/>
      <c r="B83" s="96" t="s">
        <v>138</v>
      </c>
      <c r="C83" s="98"/>
      <c r="D83" s="99"/>
      <c r="E83" s="100"/>
      <c r="F83" s="100"/>
      <c r="G83" s="100"/>
      <c r="H83" s="82">
        <f>SUM(H82+H80+H77+H53+H42+H33+H22)</f>
        <v>619.55532929799995</v>
      </c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34">
        <f>SUM(U82+U80+U77+U53+U42+U33+U22)</f>
        <v>583829.2886979999</v>
      </c>
    </row>
    <row r="84" spans="1:21">
      <c r="A84" s="29"/>
      <c r="B84" s="95" t="s">
        <v>139</v>
      </c>
      <c r="C84" s="72"/>
      <c r="D84" s="95"/>
      <c r="E84" s="59"/>
      <c r="F84" s="59"/>
      <c r="G84" s="59" t="s">
        <v>140</v>
      </c>
      <c r="H84" s="101">
        <f>E81</f>
        <v>2409</v>
      </c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s="19" customFormat="1">
      <c r="A85" s="90"/>
      <c r="B85" s="99" t="s">
        <v>141</v>
      </c>
      <c r="C85" s="98"/>
      <c r="D85" s="99"/>
      <c r="E85" s="100"/>
      <c r="F85" s="100"/>
      <c r="G85" s="100"/>
      <c r="H85" s="102">
        <f>SUM(H83/H84/12*1000)</f>
        <v>21.431967943060741</v>
      </c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35"/>
    </row>
    <row r="86" spans="1:21">
      <c r="A86" s="103"/>
      <c r="B86" s="95"/>
      <c r="C86" s="72"/>
      <c r="D86" s="95"/>
      <c r="E86" s="59"/>
      <c r="F86" s="59"/>
      <c r="G86" s="59"/>
      <c r="H86" s="104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136"/>
    </row>
    <row r="87" spans="1:21">
      <c r="A87" s="29"/>
      <c r="B87" s="76" t="s">
        <v>142</v>
      </c>
      <c r="C87" s="72"/>
      <c r="D87" s="95"/>
      <c r="E87" s="59"/>
      <c r="F87" s="59"/>
      <c r="G87" s="59"/>
      <c r="H87" s="59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5.5">
      <c r="A88" s="126" t="s">
        <v>198</v>
      </c>
      <c r="B88" s="127" t="s">
        <v>197</v>
      </c>
      <c r="C88" s="128" t="s">
        <v>99</v>
      </c>
      <c r="D88" s="95"/>
      <c r="E88" s="59"/>
      <c r="F88" s="59">
        <v>7</v>
      </c>
      <c r="G88" s="59">
        <v>72.290000000000006</v>
      </c>
      <c r="H88" s="74">
        <f>G88*F88/1000</f>
        <v>0.50602999999999998</v>
      </c>
      <c r="I88" s="42">
        <v>0</v>
      </c>
      <c r="J88" s="42">
        <f>G88*2</f>
        <v>144.58000000000001</v>
      </c>
      <c r="K88" s="42">
        <v>0</v>
      </c>
      <c r="L88" s="42">
        <v>0</v>
      </c>
      <c r="M88" s="42">
        <v>0</v>
      </c>
      <c r="N88" s="42">
        <f>G88*2</f>
        <v>144.58000000000001</v>
      </c>
      <c r="O88" s="42">
        <v>0</v>
      </c>
      <c r="P88" s="42">
        <f>G88</f>
        <v>72.290000000000006</v>
      </c>
      <c r="Q88" s="42">
        <v>0</v>
      </c>
      <c r="R88" s="42">
        <v>0</v>
      </c>
      <c r="S88" s="42">
        <f>G88</f>
        <v>72.290000000000006</v>
      </c>
      <c r="T88" s="42">
        <v>0</v>
      </c>
      <c r="U88" s="42">
        <f>SUM(I88:T88)</f>
        <v>433.74000000000007</v>
      </c>
    </row>
    <row r="89" spans="1:21" ht="25.5">
      <c r="A89" s="129" t="s">
        <v>199</v>
      </c>
      <c r="B89" s="130" t="s">
        <v>200</v>
      </c>
      <c r="C89" s="131" t="s">
        <v>201</v>
      </c>
      <c r="D89" s="95"/>
      <c r="E89" s="59"/>
      <c r="F89" s="59">
        <v>1</v>
      </c>
      <c r="G89" s="59">
        <v>1678.06</v>
      </c>
      <c r="H89" s="74">
        <f>G89*F89/1000</f>
        <v>1.6780599999999999</v>
      </c>
      <c r="I89" s="42">
        <v>0</v>
      </c>
      <c r="J89" s="42">
        <f>G89</f>
        <v>1678.06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42">
        <v>0</v>
      </c>
      <c r="T89" s="42">
        <v>0</v>
      </c>
      <c r="U89" s="42">
        <f>SUM(I89:T89)</f>
        <v>1678.06</v>
      </c>
    </row>
    <row r="90" spans="1:21" ht="25.5">
      <c r="A90" s="126" t="s">
        <v>217</v>
      </c>
      <c r="B90" s="127" t="s">
        <v>216</v>
      </c>
      <c r="C90" s="128" t="s">
        <v>99</v>
      </c>
      <c r="D90" s="95"/>
      <c r="E90" s="59"/>
      <c r="F90" s="59">
        <v>1</v>
      </c>
      <c r="G90" s="59">
        <v>1992.08</v>
      </c>
      <c r="H90" s="74">
        <f>F90*G90/1000</f>
        <v>1.9920799999999999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f>G90</f>
        <v>1992.08</v>
      </c>
      <c r="P90" s="42">
        <v>0</v>
      </c>
      <c r="Q90" s="42">
        <v>0</v>
      </c>
      <c r="R90" s="42">
        <v>0</v>
      </c>
      <c r="S90" s="42">
        <v>0</v>
      </c>
      <c r="T90" s="42">
        <v>0</v>
      </c>
      <c r="U90" s="42">
        <f>SUM(I90:T90)</f>
        <v>1992.08</v>
      </c>
    </row>
    <row r="91" spans="1:21" ht="25.5">
      <c r="A91" s="128" t="s">
        <v>219</v>
      </c>
      <c r="B91" s="127" t="s">
        <v>220</v>
      </c>
      <c r="C91" s="128" t="s">
        <v>218</v>
      </c>
      <c r="D91" s="95"/>
      <c r="E91" s="59"/>
      <c r="F91" s="59">
        <v>7</v>
      </c>
      <c r="G91" s="59">
        <v>169.85</v>
      </c>
      <c r="H91" s="74">
        <f>F91*G91/1000</f>
        <v>1.18895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f>G91*2</f>
        <v>339.7</v>
      </c>
      <c r="R91" s="42">
        <v>0</v>
      </c>
      <c r="S91" s="42">
        <f>G91*2</f>
        <v>339.7</v>
      </c>
      <c r="T91" s="42">
        <f>G91*3</f>
        <v>509.54999999999995</v>
      </c>
      <c r="U91" s="42">
        <f>SUM(I91:T91)</f>
        <v>1188.9499999999998</v>
      </c>
    </row>
    <row r="92" spans="1:21" ht="25.5">
      <c r="A92" s="128" t="s">
        <v>222</v>
      </c>
      <c r="B92" s="127" t="s">
        <v>221</v>
      </c>
      <c r="C92" s="128" t="s">
        <v>99</v>
      </c>
      <c r="D92" s="95"/>
      <c r="E92" s="59"/>
      <c r="F92" s="59">
        <v>3</v>
      </c>
      <c r="G92" s="59">
        <v>164.67</v>
      </c>
      <c r="H92" s="74">
        <f>F92*G92/1000</f>
        <v>0.49401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f>G92*2</f>
        <v>329.34</v>
      </c>
      <c r="O92" s="42">
        <v>0</v>
      </c>
      <c r="P92" s="42">
        <v>0</v>
      </c>
      <c r="Q92" s="42">
        <v>0</v>
      </c>
      <c r="R92" s="42">
        <f>G92</f>
        <v>164.67</v>
      </c>
      <c r="S92" s="42">
        <v>0</v>
      </c>
      <c r="T92" s="42">
        <v>0</v>
      </c>
      <c r="U92" s="42">
        <f>SUM(I92:T92)</f>
        <v>494.01</v>
      </c>
    </row>
    <row r="93" spans="1:21" ht="25.5">
      <c r="A93" s="126" t="s">
        <v>225</v>
      </c>
      <c r="B93" s="127" t="s">
        <v>223</v>
      </c>
      <c r="C93" s="128" t="s">
        <v>224</v>
      </c>
      <c r="D93" s="95"/>
      <c r="E93" s="59"/>
      <c r="F93" s="59">
        <v>1</v>
      </c>
      <c r="G93" s="59">
        <v>511.54</v>
      </c>
      <c r="H93" s="74">
        <f>F93*G93/1000</f>
        <v>0.51153999999999999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f>G93</f>
        <v>511.54</v>
      </c>
      <c r="S93" s="42">
        <v>0</v>
      </c>
      <c r="T93" s="42">
        <v>0</v>
      </c>
      <c r="U93" s="42">
        <f>SUM(I93:T93)</f>
        <v>511.54</v>
      </c>
    </row>
    <row r="94" spans="1:21">
      <c r="A94" s="126" t="s">
        <v>199</v>
      </c>
      <c r="B94" s="127" t="s">
        <v>226</v>
      </c>
      <c r="C94" s="128" t="s">
        <v>227</v>
      </c>
      <c r="D94" s="95"/>
      <c r="E94" s="59"/>
      <c r="F94" s="59">
        <v>3</v>
      </c>
      <c r="G94" s="59">
        <v>1372</v>
      </c>
      <c r="H94" s="74">
        <f>F94*G94/1000</f>
        <v>4.1159999999999997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0</v>
      </c>
      <c r="P94" s="42">
        <f>G94*3</f>
        <v>4116</v>
      </c>
      <c r="Q94" s="42">
        <v>0</v>
      </c>
      <c r="R94" s="42">
        <v>0</v>
      </c>
      <c r="S94" s="42">
        <v>0</v>
      </c>
      <c r="T94" s="42">
        <v>0</v>
      </c>
      <c r="U94" s="42">
        <f>SUM(I94:T94)</f>
        <v>4116</v>
      </c>
    </row>
    <row r="95" spans="1:21" ht="25.5">
      <c r="A95" s="128" t="s">
        <v>228</v>
      </c>
      <c r="B95" s="127" t="s">
        <v>229</v>
      </c>
      <c r="C95" s="128" t="s">
        <v>30</v>
      </c>
      <c r="D95" s="95"/>
      <c r="E95" s="59"/>
      <c r="F95" s="59">
        <v>0.3</v>
      </c>
      <c r="G95" s="59">
        <v>70978.41</v>
      </c>
      <c r="H95" s="74">
        <f>F95*G95/1000</f>
        <v>21.293523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f>G95*0.3</f>
        <v>21293.523000000001</v>
      </c>
      <c r="Q95" s="42">
        <v>0</v>
      </c>
      <c r="R95" s="42">
        <v>0</v>
      </c>
      <c r="S95" s="42">
        <v>0</v>
      </c>
      <c r="T95" s="42">
        <v>0</v>
      </c>
      <c r="U95" s="42">
        <f>SUM(I95:T95)</f>
        <v>21293.523000000001</v>
      </c>
    </row>
    <row r="96" spans="1:21" s="19" customFormat="1">
      <c r="A96" s="105"/>
      <c r="B96" s="106" t="s">
        <v>143</v>
      </c>
      <c r="C96" s="105"/>
      <c r="D96" s="105"/>
      <c r="E96" s="100"/>
      <c r="F96" s="100"/>
      <c r="G96" s="100"/>
      <c r="H96" s="51">
        <f>SUM(H88:H95)</f>
        <v>31.780193000000001</v>
      </c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50">
        <f>SUM(U88:U95)</f>
        <v>31707.903000000002</v>
      </c>
    </row>
    <row r="97" spans="1:21">
      <c r="A97" s="103"/>
      <c r="B97" s="107"/>
      <c r="C97" s="108"/>
      <c r="D97" s="108"/>
      <c r="E97" s="59"/>
      <c r="F97" s="59"/>
      <c r="G97" s="59"/>
      <c r="H97" s="109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137"/>
    </row>
    <row r="98" spans="1:21" ht="12" customHeight="1">
      <c r="A98" s="29"/>
      <c r="B98" s="18" t="s">
        <v>144</v>
      </c>
      <c r="C98" s="72"/>
      <c r="D98" s="95"/>
      <c r="E98" s="59"/>
      <c r="F98" s="59"/>
      <c r="G98" s="59"/>
      <c r="H98" s="110">
        <f>H96/E99/12*1000</f>
        <v>1.0993563373460633</v>
      </c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137"/>
    </row>
    <row r="99" spans="1:21" s="19" customFormat="1">
      <c r="A99" s="90"/>
      <c r="B99" s="111" t="s">
        <v>145</v>
      </c>
      <c r="C99" s="112"/>
      <c r="D99" s="111"/>
      <c r="E99" s="113">
        <v>2409</v>
      </c>
      <c r="F99" s="114">
        <f>SUM(E99*12)</f>
        <v>28908</v>
      </c>
      <c r="G99" s="115">
        <f>H85+H98</f>
        <v>22.531324280406803</v>
      </c>
      <c r="H99" s="116">
        <f>SUM(F99*G99/1000)</f>
        <v>651.33552229799977</v>
      </c>
      <c r="I99" s="100">
        <f t="shared" ref="I99:R99" si="11">SUM(I11:I98)</f>
        <v>43131.224089999996</v>
      </c>
      <c r="J99" s="100">
        <f t="shared" si="11"/>
        <v>47102.876113999999</v>
      </c>
      <c r="K99" s="100">
        <f t="shared" si="11"/>
        <v>54085.757565</v>
      </c>
      <c r="L99" s="100">
        <f t="shared" si="11"/>
        <v>43416.268233999996</v>
      </c>
      <c r="M99" s="100">
        <f t="shared" si="11"/>
        <v>94704.677342666648</v>
      </c>
      <c r="N99" s="100">
        <f t="shared" si="11"/>
        <v>43244.621435666661</v>
      </c>
      <c r="O99" s="100">
        <f t="shared" si="11"/>
        <v>39107.002946666667</v>
      </c>
      <c r="P99" s="100">
        <f t="shared" si="11"/>
        <v>62828.931226666667</v>
      </c>
      <c r="Q99" s="100">
        <f t="shared" si="11"/>
        <v>51714.325693666666</v>
      </c>
      <c r="R99" s="100">
        <f t="shared" si="11"/>
        <v>40053.310114666667</v>
      </c>
      <c r="S99" s="100">
        <f>SUM(S11:S98)</f>
        <v>42517.041065999998</v>
      </c>
      <c r="T99" s="100">
        <f>SUM(T11:T98)</f>
        <v>53631.155869000009</v>
      </c>
      <c r="U99" s="50">
        <f>U83+U96</f>
        <v>615537.19169799995</v>
      </c>
    </row>
    <row r="100" spans="1:21">
      <c r="A100" s="29"/>
      <c r="B100" s="29"/>
      <c r="C100" s="29"/>
      <c r="D100" s="29"/>
      <c r="E100" s="117"/>
      <c r="F100" s="117"/>
      <c r="G100" s="117"/>
      <c r="H100" s="117"/>
      <c r="I100" s="117"/>
      <c r="J100" s="117"/>
      <c r="K100" s="117"/>
      <c r="L100" s="117"/>
      <c r="M100" s="29"/>
      <c r="N100" s="117"/>
      <c r="O100" s="29"/>
      <c r="P100" s="29"/>
      <c r="Q100" s="29"/>
      <c r="R100" s="29"/>
      <c r="S100" s="29"/>
      <c r="T100" s="29"/>
      <c r="U100" s="29"/>
    </row>
    <row r="101" spans="1:21">
      <c r="A101" s="29"/>
      <c r="B101" s="29"/>
      <c r="C101" s="29"/>
      <c r="D101" s="29"/>
      <c r="E101" s="117"/>
      <c r="F101" s="117"/>
      <c r="G101" s="117"/>
      <c r="H101" s="117"/>
      <c r="I101" s="117"/>
      <c r="J101" s="118"/>
      <c r="K101" s="119"/>
      <c r="L101" s="118"/>
      <c r="M101" s="117"/>
      <c r="N101" s="29"/>
      <c r="O101" s="29"/>
      <c r="P101" s="29"/>
      <c r="Q101" s="29"/>
      <c r="R101" s="29"/>
      <c r="S101" s="29"/>
      <c r="T101" s="29"/>
      <c r="U101" s="29"/>
    </row>
    <row r="102" spans="1:21" ht="45">
      <c r="A102" s="29"/>
      <c r="B102" s="120" t="s">
        <v>195</v>
      </c>
      <c r="C102" s="145">
        <v>-175239.79</v>
      </c>
      <c r="D102" s="146"/>
      <c r="E102" s="146"/>
      <c r="F102" s="147"/>
      <c r="G102" s="117"/>
      <c r="H102" s="117"/>
      <c r="I102" s="117"/>
      <c r="J102" s="118"/>
      <c r="K102" s="119"/>
      <c r="L102" s="118"/>
      <c r="M102" s="117"/>
      <c r="N102" s="29"/>
      <c r="O102" s="29"/>
      <c r="P102" s="29"/>
      <c r="Q102" s="29"/>
      <c r="R102" s="29"/>
      <c r="S102" s="29"/>
      <c r="T102" s="29"/>
      <c r="U102" s="29"/>
    </row>
    <row r="103" spans="1:21" ht="30">
      <c r="A103" s="29"/>
      <c r="B103" s="22" t="s">
        <v>210</v>
      </c>
      <c r="C103" s="149">
        <v>643204.19999999995</v>
      </c>
      <c r="D103" s="150"/>
      <c r="E103" s="150"/>
      <c r="F103" s="151"/>
      <c r="G103" s="117"/>
      <c r="H103" s="117"/>
      <c r="I103" s="117"/>
      <c r="J103" s="118"/>
      <c r="K103" s="119"/>
      <c r="L103" s="118"/>
      <c r="M103" s="117"/>
      <c r="N103" s="29"/>
      <c r="O103" s="29"/>
      <c r="P103" s="29"/>
      <c r="Q103" s="29"/>
      <c r="R103" s="29"/>
      <c r="S103" s="29"/>
      <c r="T103" s="29"/>
      <c r="U103" s="29"/>
    </row>
    <row r="104" spans="1:21" ht="30">
      <c r="A104" s="29"/>
      <c r="B104" s="22" t="s">
        <v>211</v>
      </c>
      <c r="C104" s="149">
        <f>SUM(U99-U96)</f>
        <v>583829.2886979999</v>
      </c>
      <c r="D104" s="150"/>
      <c r="E104" s="150"/>
      <c r="F104" s="151"/>
      <c r="G104" s="117"/>
      <c r="H104" s="117"/>
      <c r="I104" s="117"/>
      <c r="J104" s="118"/>
      <c r="K104" s="119"/>
      <c r="L104" s="118"/>
      <c r="M104" s="117"/>
      <c r="N104" s="29"/>
      <c r="O104" s="29"/>
      <c r="P104" s="29"/>
      <c r="Q104" s="29"/>
      <c r="R104" s="29"/>
      <c r="S104" s="29"/>
      <c r="T104" s="29"/>
      <c r="U104" s="29"/>
    </row>
    <row r="105" spans="1:21" ht="30">
      <c r="A105" s="29"/>
      <c r="B105" s="22" t="s">
        <v>212</v>
      </c>
      <c r="C105" s="149">
        <f>SUM(U96)</f>
        <v>31707.903000000002</v>
      </c>
      <c r="D105" s="150"/>
      <c r="E105" s="150"/>
      <c r="F105" s="151"/>
      <c r="G105" s="117"/>
      <c r="H105" s="117"/>
      <c r="I105" s="117"/>
      <c r="J105" s="118"/>
      <c r="K105" s="119"/>
      <c r="L105" s="118"/>
      <c r="M105" s="117"/>
      <c r="N105" s="29"/>
      <c r="O105" s="29"/>
      <c r="P105" s="29"/>
      <c r="Q105" s="29"/>
      <c r="R105" s="29"/>
      <c r="S105" s="29"/>
      <c r="T105" s="29"/>
      <c r="U105" s="29"/>
    </row>
    <row r="106" spans="1:21" ht="18">
      <c r="A106" s="29"/>
      <c r="B106" s="132" t="s">
        <v>213</v>
      </c>
      <c r="C106" s="145">
        <v>610498.07999999996</v>
      </c>
      <c r="D106" s="146"/>
      <c r="E106" s="146"/>
      <c r="F106" s="147"/>
      <c r="G106" s="29"/>
      <c r="H106" s="121" t="s">
        <v>152</v>
      </c>
      <c r="I106" s="122"/>
      <c r="J106" s="122"/>
      <c r="K106" s="123"/>
      <c r="L106" s="124"/>
      <c r="M106" s="121"/>
      <c r="N106" s="121"/>
      <c r="O106" s="29"/>
      <c r="P106" s="29"/>
      <c r="Q106" s="29"/>
      <c r="R106" s="29"/>
      <c r="S106" s="29"/>
      <c r="T106" s="29"/>
      <c r="U106" s="29"/>
    </row>
    <row r="107" spans="1:21" ht="78.75">
      <c r="A107" s="29"/>
      <c r="B107" s="23" t="s">
        <v>214</v>
      </c>
      <c r="C107" s="152">
        <v>113283.43</v>
      </c>
      <c r="D107" s="153"/>
      <c r="E107" s="153"/>
      <c r="F107" s="154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</row>
    <row r="108" spans="1:21" ht="45">
      <c r="A108" s="29"/>
      <c r="B108" s="125" t="s">
        <v>215</v>
      </c>
      <c r="C108" s="148">
        <f>SUM(U99-C103)+C102</f>
        <v>-202906.79830200001</v>
      </c>
      <c r="D108" s="146"/>
      <c r="E108" s="146"/>
      <c r="F108" s="147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</row>
    <row r="110" spans="1:21">
      <c r="J110" s="3"/>
      <c r="K110" s="4"/>
      <c r="L110" s="4"/>
      <c r="M110" s="2"/>
    </row>
    <row r="111" spans="1:21">
      <c r="G111" s="5"/>
      <c r="H111" s="5"/>
    </row>
    <row r="112" spans="1:21">
      <c r="G112" s="6"/>
    </row>
  </sheetData>
  <mergeCells count="11">
    <mergeCell ref="C108:F108"/>
    <mergeCell ref="C103:F103"/>
    <mergeCell ref="C104:F104"/>
    <mergeCell ref="C105:F105"/>
    <mergeCell ref="C106:F106"/>
    <mergeCell ref="C107:F107"/>
    <mergeCell ref="B3:L3"/>
    <mergeCell ref="B4:L4"/>
    <mergeCell ref="B5:L5"/>
    <mergeCell ref="B6:L6"/>
    <mergeCell ref="C102:F102"/>
  </mergeCells>
  <pageMargins left="0.31496062992125984" right="0.31496062992125984" top="0.15748031496062992" bottom="0.19685039370078741" header="0.15748031496062992" footer="0.15748031496062992"/>
  <pageSetup paperSize="9" scale="38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sqref="A1:K17"/>
    </sheetView>
  </sheetViews>
  <sheetFormatPr defaultRowHeight="12.75"/>
  <cols>
    <col min="1" max="9" width="11.140625" customWidth="1"/>
    <col min="10" max="11" width="12.140625" customWidth="1"/>
  </cols>
  <sheetData>
    <row r="1" spans="1:11">
      <c r="A1" t="s">
        <v>160</v>
      </c>
      <c r="B1" t="s">
        <v>161</v>
      </c>
      <c r="C1" t="s">
        <v>162</v>
      </c>
      <c r="D1" t="s">
        <v>163</v>
      </c>
      <c r="E1" t="s">
        <v>164</v>
      </c>
      <c r="F1" t="s">
        <v>165</v>
      </c>
      <c r="G1" t="s">
        <v>166</v>
      </c>
      <c r="H1" t="s">
        <v>167</v>
      </c>
      <c r="I1" t="s">
        <v>168</v>
      </c>
      <c r="J1" t="s">
        <v>169</v>
      </c>
      <c r="K1" t="s">
        <v>170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строит.8</vt:lpstr>
      <vt:lpstr>Лист1</vt:lpstr>
      <vt:lpstr>строит.8!Область_печати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2016-03-17T10:35:06Z</dcterms:modified>
</cp:coreProperties>
</file>