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30" windowWidth="15480" windowHeight="8280" activeTab="11"/>
  </bookViews>
  <sheets>
    <sheet name="01.17" sheetId="17" r:id="rId1"/>
    <sheet name="02.17" sheetId="18" r:id="rId2"/>
    <sheet name="03.17" sheetId="19" r:id="rId3"/>
    <sheet name="04.17" sheetId="20" r:id="rId4"/>
    <sheet name="05.17" sheetId="21" r:id="rId5"/>
    <sheet name="06.17" sheetId="22" r:id="rId6"/>
    <sheet name="07.17" sheetId="23" r:id="rId7"/>
    <sheet name="08.17" sheetId="24" r:id="rId8"/>
    <sheet name="09.17" sheetId="25" r:id="rId9"/>
    <sheet name="10.17" sheetId="26" r:id="rId10"/>
    <sheet name="11.17" sheetId="27" r:id="rId11"/>
    <sheet name="12.17" sheetId="28" r:id="rId12"/>
  </sheets>
  <definedNames>
    <definedName name="_xlnm._FilterDatabase" localSheetId="0" hidden="1">'01.17'!$I$12:$I$62</definedName>
    <definedName name="_xlnm._FilterDatabase" localSheetId="1" hidden="1">'02.17'!$I$12:$I$62</definedName>
    <definedName name="_xlnm._FilterDatabase" localSheetId="2" hidden="1">'03.17'!$I$12:$I$62</definedName>
    <definedName name="_xlnm._FilterDatabase" localSheetId="3" hidden="1">'04.17'!$I$12:$I$62</definedName>
    <definedName name="_xlnm._FilterDatabase" localSheetId="4" hidden="1">'05.17'!$I$12:$I$62</definedName>
    <definedName name="_xlnm._FilterDatabase" localSheetId="5" hidden="1">'06.17'!$I$12:$I$62</definedName>
    <definedName name="_xlnm._FilterDatabase" localSheetId="6" hidden="1">'07.17'!$I$12:$I$62</definedName>
    <definedName name="_xlnm._FilterDatabase" localSheetId="7" hidden="1">'08.17'!$I$12:$I$62</definedName>
    <definedName name="_xlnm._FilterDatabase" localSheetId="8" hidden="1">'09.17'!$I$12:$I$62</definedName>
    <definedName name="_xlnm._FilterDatabase" localSheetId="9" hidden="1">'10.17'!$I$12:$I$62</definedName>
    <definedName name="_xlnm._FilterDatabase" localSheetId="10" hidden="1">'11.17'!$I$12:$I$62</definedName>
    <definedName name="_xlnm._FilterDatabase" localSheetId="11" hidden="1">'12.17'!$I$12:$I$62</definedName>
    <definedName name="_xlnm.Print_Area" localSheetId="0">'01.17'!$A$1:$I$141</definedName>
    <definedName name="_xlnm.Print_Area" localSheetId="1">'02.17'!$A$1:$I$113</definedName>
    <definedName name="_xlnm.Print_Area" localSheetId="2">'03.17'!$A$1:$I$135</definedName>
    <definedName name="_xlnm.Print_Area" localSheetId="3">'04.17'!$A$1:$I$117</definedName>
    <definedName name="_xlnm.Print_Area" localSheetId="4">'05.17'!$A$1:$I$113</definedName>
    <definedName name="_xlnm.Print_Area" localSheetId="5">'06.17'!$A$1:$I$114</definedName>
    <definedName name="_xlnm.Print_Area" localSheetId="6">'07.17'!$A$1:$I$122</definedName>
    <definedName name="_xlnm.Print_Area" localSheetId="7">'08.17'!$A$1:$I$126</definedName>
    <definedName name="_xlnm.Print_Area" localSheetId="8">'09.17'!$A$1:$I$119</definedName>
    <definedName name="_xlnm.Print_Area" localSheetId="9">'10.17'!$A$1:$I$123</definedName>
    <definedName name="_xlnm.Print_Area" localSheetId="10">'11.17'!$A$1:$I$118</definedName>
    <definedName name="_xlnm.Print_Area" localSheetId="11">'12.17'!$A$1:$I$118</definedName>
  </definedNames>
  <calcPr calcId="124519"/>
</workbook>
</file>

<file path=xl/calcChain.xml><?xml version="1.0" encoding="utf-8"?>
<calcChain xmlns="http://schemas.openxmlformats.org/spreadsheetml/2006/main">
  <c r="I86" i="28"/>
  <c r="I86" i="27"/>
  <c r="I91" i="22"/>
  <c r="I90"/>
  <c r="F90"/>
  <c r="H90" s="1"/>
  <c r="F45" i="20"/>
  <c r="H45" s="1"/>
  <c r="I45" i="19"/>
  <c r="F45"/>
  <c r="H45" s="1"/>
  <c r="I86" i="18"/>
  <c r="I86" i="17"/>
  <c r="I45" i="20" l="1"/>
  <c r="I94" i="28" l="1"/>
  <c r="I93"/>
  <c r="I92"/>
  <c r="I90"/>
  <c r="I88"/>
  <c r="I82"/>
  <c r="I66"/>
  <c r="H94"/>
  <c r="H93"/>
  <c r="H92"/>
  <c r="I91"/>
  <c r="H91"/>
  <c r="H90"/>
  <c r="I89"/>
  <c r="H89"/>
  <c r="I95"/>
  <c r="F88"/>
  <c r="H88" s="1"/>
  <c r="E85"/>
  <c r="F85" s="1"/>
  <c r="F84"/>
  <c r="H84" s="1"/>
  <c r="H82"/>
  <c r="H80"/>
  <c r="H78"/>
  <c r="F77"/>
  <c r="H77" s="1"/>
  <c r="I74"/>
  <c r="F73"/>
  <c r="I73" s="1"/>
  <c r="F72"/>
  <c r="H72" s="1"/>
  <c r="F71"/>
  <c r="I71" s="1"/>
  <c r="F70"/>
  <c r="H70" s="1"/>
  <c r="F69"/>
  <c r="I69" s="1"/>
  <c r="F68"/>
  <c r="H68" s="1"/>
  <c r="H67"/>
  <c r="H66"/>
  <c r="F64"/>
  <c r="H64" s="1"/>
  <c r="F63"/>
  <c r="H63" s="1"/>
  <c r="F60"/>
  <c r="I60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I46"/>
  <c r="H46"/>
  <c r="F45"/>
  <c r="I45" s="1"/>
  <c r="F44"/>
  <c r="H44" s="1"/>
  <c r="F43"/>
  <c r="I43" s="1"/>
  <c r="H42"/>
  <c r="F41"/>
  <c r="I41" s="1"/>
  <c r="I40"/>
  <c r="H40"/>
  <c r="F38"/>
  <c r="H38" s="1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F26"/>
  <c r="H26" s="1"/>
  <c r="H25"/>
  <c r="F25"/>
  <c r="H24"/>
  <c r="F24"/>
  <c r="H23"/>
  <c r="F23"/>
  <c r="H22"/>
  <c r="F22"/>
  <c r="F21"/>
  <c r="I21" s="1"/>
  <c r="H20"/>
  <c r="F20"/>
  <c r="I20" s="1"/>
  <c r="H19"/>
  <c r="F19"/>
  <c r="E18"/>
  <c r="F18" s="1"/>
  <c r="F17"/>
  <c r="I17" s="1"/>
  <c r="F16"/>
  <c r="I16" s="1"/>
  <c r="I94" i="27"/>
  <c r="H94"/>
  <c r="I92"/>
  <c r="H92"/>
  <c r="I90"/>
  <c r="H90"/>
  <c r="I88"/>
  <c r="F88"/>
  <c r="H88" s="1"/>
  <c r="I66"/>
  <c r="I93"/>
  <c r="H93"/>
  <c r="I91"/>
  <c r="H91"/>
  <c r="I89"/>
  <c r="I95" s="1"/>
  <c r="H89"/>
  <c r="E85"/>
  <c r="F85" s="1"/>
  <c r="H85" s="1"/>
  <c r="F84"/>
  <c r="H84" s="1"/>
  <c r="H82"/>
  <c r="H80"/>
  <c r="H78"/>
  <c r="F77"/>
  <c r="H77" s="1"/>
  <c r="I74"/>
  <c r="F73"/>
  <c r="I73" s="1"/>
  <c r="F72"/>
  <c r="H72" s="1"/>
  <c r="F71"/>
  <c r="I71" s="1"/>
  <c r="F70"/>
  <c r="H70" s="1"/>
  <c r="F69"/>
  <c r="I69" s="1"/>
  <c r="F68"/>
  <c r="H68" s="1"/>
  <c r="H67"/>
  <c r="H66"/>
  <c r="F64"/>
  <c r="H64" s="1"/>
  <c r="F63"/>
  <c r="H63" s="1"/>
  <c r="F60"/>
  <c r="I60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I46"/>
  <c r="H46"/>
  <c r="F45"/>
  <c r="I45" s="1"/>
  <c r="F44"/>
  <c r="H44" s="1"/>
  <c r="F43"/>
  <c r="I43" s="1"/>
  <c r="H42"/>
  <c r="F41"/>
  <c r="I41" s="1"/>
  <c r="I40"/>
  <c r="H40"/>
  <c r="F38"/>
  <c r="H38" s="1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I16" s="1"/>
  <c r="I95" i="26"/>
  <c r="I96"/>
  <c r="I97"/>
  <c r="I98"/>
  <c r="I99"/>
  <c r="I94"/>
  <c r="H99"/>
  <c r="F98"/>
  <c r="H98" s="1"/>
  <c r="H97"/>
  <c r="H96"/>
  <c r="H95"/>
  <c r="H94"/>
  <c r="I93"/>
  <c r="H93"/>
  <c r="I92"/>
  <c r="I91"/>
  <c r="H92"/>
  <c r="H91"/>
  <c r="I90"/>
  <c r="H90"/>
  <c r="I89"/>
  <c r="I88"/>
  <c r="H89"/>
  <c r="H88"/>
  <c r="I86"/>
  <c r="I66"/>
  <c r="I96" i="23"/>
  <c r="I95"/>
  <c r="H96"/>
  <c r="H95"/>
  <c r="H85" i="28" l="1"/>
  <c r="I85"/>
  <c r="I18"/>
  <c r="H18"/>
  <c r="H16"/>
  <c r="H21"/>
  <c r="I27"/>
  <c r="I97" s="1"/>
  <c r="H28"/>
  <c r="I31"/>
  <c r="H32"/>
  <c r="I33"/>
  <c r="H34"/>
  <c r="H41"/>
  <c r="H43"/>
  <c r="I44"/>
  <c r="H45"/>
  <c r="I52"/>
  <c r="H53"/>
  <c r="I54"/>
  <c r="I59"/>
  <c r="H60"/>
  <c r="I64"/>
  <c r="I68"/>
  <c r="H69"/>
  <c r="I70"/>
  <c r="H71"/>
  <c r="I72"/>
  <c r="H73"/>
  <c r="I84"/>
  <c r="H16" i="27"/>
  <c r="H71"/>
  <c r="H28"/>
  <c r="H69"/>
  <c r="H73"/>
  <c r="H60"/>
  <c r="H34"/>
  <c r="H32"/>
  <c r="H41"/>
  <c r="H21"/>
  <c r="I18"/>
  <c r="H18"/>
  <c r="I20"/>
  <c r="I27"/>
  <c r="I31"/>
  <c r="I33"/>
  <c r="H43"/>
  <c r="I44"/>
  <c r="H45"/>
  <c r="I52"/>
  <c r="H53"/>
  <c r="I54"/>
  <c r="I59"/>
  <c r="I64"/>
  <c r="I68"/>
  <c r="I70"/>
  <c r="I72"/>
  <c r="I84"/>
  <c r="I85"/>
  <c r="I97" l="1"/>
  <c r="I86" i="21" l="1"/>
  <c r="I90"/>
  <c r="I110" i="19"/>
  <c r="I95" i="25" l="1"/>
  <c r="I94"/>
  <c r="I93"/>
  <c r="H95"/>
  <c r="H94"/>
  <c r="H93"/>
  <c r="I92"/>
  <c r="I91"/>
  <c r="H92"/>
  <c r="H91"/>
  <c r="I90"/>
  <c r="H90"/>
  <c r="I89"/>
  <c r="H89"/>
  <c r="I88"/>
  <c r="H88"/>
  <c r="I66"/>
  <c r="I102" i="24"/>
  <c r="I101"/>
  <c r="H102"/>
  <c r="F101"/>
  <c r="H101" s="1"/>
  <c r="I100"/>
  <c r="H100"/>
  <c r="H99"/>
  <c r="I98"/>
  <c r="H98"/>
  <c r="I97"/>
  <c r="I96"/>
  <c r="H97"/>
  <c r="H96"/>
  <c r="H95"/>
  <c r="I94"/>
  <c r="I93"/>
  <c r="H94"/>
  <c r="H93"/>
  <c r="I92"/>
  <c r="H92"/>
  <c r="I91"/>
  <c r="I90"/>
  <c r="H91"/>
  <c r="F90"/>
  <c r="H90" s="1"/>
  <c r="I89"/>
  <c r="H89"/>
  <c r="I86"/>
  <c r="I66"/>
  <c r="I86" i="23"/>
  <c r="I98"/>
  <c r="I97"/>
  <c r="H98"/>
  <c r="F97"/>
  <c r="H97" s="1"/>
  <c r="I94"/>
  <c r="H94"/>
  <c r="I93"/>
  <c r="H93"/>
  <c r="I92"/>
  <c r="H92"/>
  <c r="H91"/>
  <c r="I90"/>
  <c r="I89"/>
  <c r="H90"/>
  <c r="F89"/>
  <c r="H89" s="1"/>
  <c r="I88"/>
  <c r="H88"/>
  <c r="I76"/>
  <c r="I66"/>
  <c r="I88" i="22"/>
  <c r="I89" l="1"/>
  <c r="H89"/>
  <c r="F89"/>
  <c r="H88"/>
  <c r="I86"/>
  <c r="I66"/>
  <c r="H89" i="21"/>
  <c r="I88"/>
  <c r="H88"/>
  <c r="F88"/>
  <c r="I55"/>
  <c r="I86" i="20"/>
  <c r="I42"/>
  <c r="I94"/>
  <c r="I93"/>
  <c r="I92"/>
  <c r="I91"/>
  <c r="I90"/>
  <c r="I89"/>
  <c r="H93"/>
  <c r="H92"/>
  <c r="H91"/>
  <c r="H90"/>
  <c r="H89"/>
  <c r="I88"/>
  <c r="H88"/>
  <c r="I66"/>
  <c r="I111" i="19"/>
  <c r="I108"/>
  <c r="I109"/>
  <c r="I107"/>
  <c r="I106"/>
  <c r="I105"/>
  <c r="I104"/>
  <c r="I103"/>
  <c r="I102"/>
  <c r="I101"/>
  <c r="I100"/>
  <c r="I99"/>
  <c r="I98"/>
  <c r="I96"/>
  <c r="I97"/>
  <c r="I95"/>
  <c r="I94"/>
  <c r="I93"/>
  <c r="I92"/>
  <c r="I91"/>
  <c r="I90"/>
  <c r="I89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F89"/>
  <c r="H89" s="1"/>
  <c r="I112" l="1"/>
  <c r="I88" l="1"/>
  <c r="H88"/>
  <c r="I76"/>
  <c r="I66"/>
  <c r="I88" i="18"/>
  <c r="I89"/>
  <c r="H89"/>
  <c r="F89"/>
  <c r="H88"/>
  <c r="I76"/>
  <c r="I91" i="17"/>
  <c r="H91"/>
  <c r="I90"/>
  <c r="H90"/>
  <c r="I89"/>
  <c r="H89"/>
  <c r="I88"/>
  <c r="H88"/>
  <c r="I77"/>
  <c r="I66"/>
  <c r="I55" i="26" l="1"/>
  <c r="I100"/>
  <c r="E85"/>
  <c r="F85" s="1"/>
  <c r="H85" s="1"/>
  <c r="F84"/>
  <c r="H84" s="1"/>
  <c r="H82"/>
  <c r="H80"/>
  <c r="H78"/>
  <c r="F77"/>
  <c r="H77" s="1"/>
  <c r="I74"/>
  <c r="F73"/>
  <c r="I73" s="1"/>
  <c r="F72"/>
  <c r="H72" s="1"/>
  <c r="F71"/>
  <c r="I71" s="1"/>
  <c r="F70"/>
  <c r="H70" s="1"/>
  <c r="F69"/>
  <c r="I69" s="1"/>
  <c r="F68"/>
  <c r="H68" s="1"/>
  <c r="H67"/>
  <c r="H66"/>
  <c r="F64"/>
  <c r="H64" s="1"/>
  <c r="F63"/>
  <c r="H63" s="1"/>
  <c r="F60"/>
  <c r="I60" s="1"/>
  <c r="F59"/>
  <c r="H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I46"/>
  <c r="H46"/>
  <c r="F45"/>
  <c r="H45" s="1"/>
  <c r="F44"/>
  <c r="I44" s="1"/>
  <c r="F43"/>
  <c r="H43" s="1"/>
  <c r="H42"/>
  <c r="F41"/>
  <c r="H41" s="1"/>
  <c r="I40"/>
  <c r="H40"/>
  <c r="F38"/>
  <c r="H38" s="1"/>
  <c r="H37"/>
  <c r="H36"/>
  <c r="H35"/>
  <c r="F35"/>
  <c r="I35" s="1"/>
  <c r="F34"/>
  <c r="H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I17" s="1"/>
  <c r="F16"/>
  <c r="H16" s="1"/>
  <c r="I96" i="25"/>
  <c r="E85"/>
  <c r="F85" s="1"/>
  <c r="F84"/>
  <c r="H84" s="1"/>
  <c r="H82"/>
  <c r="H80"/>
  <c r="H78"/>
  <c r="F77"/>
  <c r="H77" s="1"/>
  <c r="I74"/>
  <c r="F73"/>
  <c r="I73" s="1"/>
  <c r="F72"/>
  <c r="H72" s="1"/>
  <c r="F71"/>
  <c r="I71" s="1"/>
  <c r="F70"/>
  <c r="H70" s="1"/>
  <c r="F69"/>
  <c r="I69" s="1"/>
  <c r="F68"/>
  <c r="H68" s="1"/>
  <c r="H67"/>
  <c r="H66"/>
  <c r="F64"/>
  <c r="I64" s="1"/>
  <c r="F63"/>
  <c r="H63" s="1"/>
  <c r="F60"/>
  <c r="I60" s="1"/>
  <c r="F59"/>
  <c r="H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I46"/>
  <c r="H46"/>
  <c r="F45"/>
  <c r="H45" s="1"/>
  <c r="F44"/>
  <c r="I44" s="1"/>
  <c r="F43"/>
  <c r="H43" s="1"/>
  <c r="H42"/>
  <c r="F41"/>
  <c r="H41" s="1"/>
  <c r="I40"/>
  <c r="H40"/>
  <c r="F38"/>
  <c r="H38" s="1"/>
  <c r="H37"/>
  <c r="H36"/>
  <c r="H35"/>
  <c r="F35"/>
  <c r="I35" s="1"/>
  <c r="F34"/>
  <c r="H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I16" s="1"/>
  <c r="I99" i="24"/>
  <c r="I95"/>
  <c r="I103" s="1"/>
  <c r="I76"/>
  <c r="H69" i="26" l="1"/>
  <c r="H73"/>
  <c r="I53"/>
  <c r="I54"/>
  <c r="H71"/>
  <c r="H60"/>
  <c r="H52"/>
  <c r="H18"/>
  <c r="I18"/>
  <c r="I16"/>
  <c r="H20"/>
  <c r="I21"/>
  <c r="H27"/>
  <c r="I28"/>
  <c r="H31"/>
  <c r="I32"/>
  <c r="H33"/>
  <c r="I34"/>
  <c r="I41"/>
  <c r="I43"/>
  <c r="H44"/>
  <c r="I45"/>
  <c r="I59"/>
  <c r="I64"/>
  <c r="I68"/>
  <c r="I70"/>
  <c r="I72"/>
  <c r="I84"/>
  <c r="I85"/>
  <c r="H16" i="25"/>
  <c r="H21"/>
  <c r="I50"/>
  <c r="I48"/>
  <c r="H64"/>
  <c r="I51"/>
  <c r="I49"/>
  <c r="I18"/>
  <c r="H18"/>
  <c r="H85"/>
  <c r="I85"/>
  <c r="I20"/>
  <c r="H27"/>
  <c r="I28"/>
  <c r="H31"/>
  <c r="I32"/>
  <c r="H33"/>
  <c r="I34"/>
  <c r="I41"/>
  <c r="I43"/>
  <c r="H44"/>
  <c r="I45"/>
  <c r="H52"/>
  <c r="I59"/>
  <c r="H60"/>
  <c r="I68"/>
  <c r="H69"/>
  <c r="I70"/>
  <c r="H71"/>
  <c r="I72"/>
  <c r="H73"/>
  <c r="I84"/>
  <c r="E85" i="24"/>
  <c r="F85" s="1"/>
  <c r="H85" s="1"/>
  <c r="F84"/>
  <c r="H84" s="1"/>
  <c r="H82"/>
  <c r="H80"/>
  <c r="H78"/>
  <c r="F77"/>
  <c r="H77" s="1"/>
  <c r="I74"/>
  <c r="F73"/>
  <c r="I73" s="1"/>
  <c r="F72"/>
  <c r="H72" s="1"/>
  <c r="F71"/>
  <c r="I71" s="1"/>
  <c r="F70"/>
  <c r="H70" s="1"/>
  <c r="F69"/>
  <c r="I69" s="1"/>
  <c r="F68"/>
  <c r="H68" s="1"/>
  <c r="H67"/>
  <c r="H66"/>
  <c r="F64"/>
  <c r="I64" s="1"/>
  <c r="F63"/>
  <c r="H63" s="1"/>
  <c r="F60"/>
  <c r="I60" s="1"/>
  <c r="F59"/>
  <c r="I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I46"/>
  <c r="H46"/>
  <c r="F45"/>
  <c r="I45" s="1"/>
  <c r="F44"/>
  <c r="I44" s="1"/>
  <c r="F43"/>
  <c r="H43" s="1"/>
  <c r="H42"/>
  <c r="F41"/>
  <c r="H41" s="1"/>
  <c r="I40"/>
  <c r="H40"/>
  <c r="F38"/>
  <c r="H38" s="1"/>
  <c r="H37"/>
  <c r="H36"/>
  <c r="H35"/>
  <c r="F35"/>
  <c r="I35" s="1"/>
  <c r="F34"/>
  <c r="H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I17" s="1"/>
  <c r="H16"/>
  <c r="F16"/>
  <c r="I16" s="1"/>
  <c r="I91" i="23"/>
  <c r="I99" s="1"/>
  <c r="E85"/>
  <c r="F85" s="1"/>
  <c r="F84"/>
  <c r="H84" s="1"/>
  <c r="H82"/>
  <c r="H80"/>
  <c r="H78"/>
  <c r="F77"/>
  <c r="H77" s="1"/>
  <c r="I74"/>
  <c r="F73"/>
  <c r="I73" s="1"/>
  <c r="F72"/>
  <c r="H72" s="1"/>
  <c r="F71"/>
  <c r="I71" s="1"/>
  <c r="F70"/>
  <c r="H70" s="1"/>
  <c r="F69"/>
  <c r="I69" s="1"/>
  <c r="F68"/>
  <c r="H68" s="1"/>
  <c r="H67"/>
  <c r="H66"/>
  <c r="F64"/>
  <c r="I64" s="1"/>
  <c r="F63"/>
  <c r="H63" s="1"/>
  <c r="F60"/>
  <c r="I60" s="1"/>
  <c r="F59"/>
  <c r="I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I46"/>
  <c r="H46"/>
  <c r="F45"/>
  <c r="I45" s="1"/>
  <c r="F44"/>
  <c r="I44" s="1"/>
  <c r="F43"/>
  <c r="I43" s="1"/>
  <c r="H42"/>
  <c r="F41"/>
  <c r="I41" s="1"/>
  <c r="I40"/>
  <c r="H40"/>
  <c r="F38"/>
  <c r="H38" s="1"/>
  <c r="H37"/>
  <c r="H36"/>
  <c r="H35"/>
  <c r="F35"/>
  <c r="I35" s="1"/>
  <c r="F34"/>
  <c r="I34" s="1"/>
  <c r="F33"/>
  <c r="I33" s="1"/>
  <c r="F32"/>
  <c r="I32" s="1"/>
  <c r="F31"/>
  <c r="I31" s="1"/>
  <c r="F28"/>
  <c r="I28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F17"/>
  <c r="I17" s="1"/>
  <c r="F16"/>
  <c r="I16" s="1"/>
  <c r="E85" i="22"/>
  <c r="F85" s="1"/>
  <c r="F84"/>
  <c r="H84" s="1"/>
  <c r="H82"/>
  <c r="H80"/>
  <c r="H78"/>
  <c r="F77"/>
  <c r="H77" s="1"/>
  <c r="I74"/>
  <c r="F73"/>
  <c r="I73" s="1"/>
  <c r="F72"/>
  <c r="H72" s="1"/>
  <c r="F71"/>
  <c r="I71" s="1"/>
  <c r="F70"/>
  <c r="H70" s="1"/>
  <c r="F69"/>
  <c r="I69" s="1"/>
  <c r="F68"/>
  <c r="H68" s="1"/>
  <c r="H67"/>
  <c r="H66"/>
  <c r="F64"/>
  <c r="H64" s="1"/>
  <c r="F63"/>
  <c r="H63" s="1"/>
  <c r="F60"/>
  <c r="I60" s="1"/>
  <c r="F59"/>
  <c r="H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I46"/>
  <c r="H46"/>
  <c r="F45"/>
  <c r="H45" s="1"/>
  <c r="F44"/>
  <c r="I44" s="1"/>
  <c r="F43"/>
  <c r="H43" s="1"/>
  <c r="H42"/>
  <c r="F41"/>
  <c r="H41" s="1"/>
  <c r="I40"/>
  <c r="H40"/>
  <c r="F38"/>
  <c r="H38" s="1"/>
  <c r="H37"/>
  <c r="H36"/>
  <c r="H35"/>
  <c r="F35"/>
  <c r="I35" s="1"/>
  <c r="F34"/>
  <c r="H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I17" s="1"/>
  <c r="F16"/>
  <c r="H16" s="1"/>
  <c r="I89" i="21"/>
  <c r="E85"/>
  <c r="F85" s="1"/>
  <c r="F84"/>
  <c r="H84" s="1"/>
  <c r="H82"/>
  <c r="H80"/>
  <c r="H78"/>
  <c r="F77"/>
  <c r="H77" s="1"/>
  <c r="I74"/>
  <c r="F73"/>
  <c r="I73" s="1"/>
  <c r="F72"/>
  <c r="H72" s="1"/>
  <c r="F71"/>
  <c r="I71" s="1"/>
  <c r="F70"/>
  <c r="H70" s="1"/>
  <c r="F69"/>
  <c r="I69" s="1"/>
  <c r="F68"/>
  <c r="H68" s="1"/>
  <c r="H67"/>
  <c r="I66"/>
  <c r="H66"/>
  <c r="F64"/>
  <c r="I64" s="1"/>
  <c r="F63"/>
  <c r="H63" s="1"/>
  <c r="F60"/>
  <c r="I60" s="1"/>
  <c r="F59"/>
  <c r="H59" s="1"/>
  <c r="I56"/>
  <c r="F56"/>
  <c r="H56" s="1"/>
  <c r="H55"/>
  <c r="F54"/>
  <c r="F53"/>
  <c r="F52"/>
  <c r="I52" s="1"/>
  <c r="F51"/>
  <c r="H51" s="1"/>
  <c r="F50"/>
  <c r="H50" s="1"/>
  <c r="F49"/>
  <c r="H49" s="1"/>
  <c r="F48"/>
  <c r="H48" s="1"/>
  <c r="I46"/>
  <c r="H46"/>
  <c r="F45"/>
  <c r="H45" s="1"/>
  <c r="F44"/>
  <c r="I44" s="1"/>
  <c r="F43"/>
  <c r="H43" s="1"/>
  <c r="H42"/>
  <c r="F41"/>
  <c r="H41" s="1"/>
  <c r="I40"/>
  <c r="H40"/>
  <c r="F38"/>
  <c r="H38" s="1"/>
  <c r="H37"/>
  <c r="H36"/>
  <c r="H35"/>
  <c r="F35"/>
  <c r="I35" s="1"/>
  <c r="F34"/>
  <c r="H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I17" s="1"/>
  <c r="F16"/>
  <c r="H16" s="1"/>
  <c r="I55" i="20"/>
  <c r="E85"/>
  <c r="F85" s="1"/>
  <c r="H85" s="1"/>
  <c r="F84"/>
  <c r="H84" s="1"/>
  <c r="H82"/>
  <c r="H80"/>
  <c r="H78"/>
  <c r="F77"/>
  <c r="H77" s="1"/>
  <c r="I74"/>
  <c r="F73"/>
  <c r="I73" s="1"/>
  <c r="F72"/>
  <c r="H72" s="1"/>
  <c r="F71"/>
  <c r="I71" s="1"/>
  <c r="F70"/>
  <c r="H70" s="1"/>
  <c r="F69"/>
  <c r="I69" s="1"/>
  <c r="F68"/>
  <c r="H68" s="1"/>
  <c r="H67"/>
  <c r="H66"/>
  <c r="F64"/>
  <c r="H64" s="1"/>
  <c r="F63"/>
  <c r="H63" s="1"/>
  <c r="F60"/>
  <c r="I60" s="1"/>
  <c r="F59"/>
  <c r="H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I46"/>
  <c r="H46"/>
  <c r="F44"/>
  <c r="I44" s="1"/>
  <c r="F43"/>
  <c r="H43" s="1"/>
  <c r="H42"/>
  <c r="F41"/>
  <c r="H41" s="1"/>
  <c r="I40"/>
  <c r="H40"/>
  <c r="F38"/>
  <c r="H38" s="1"/>
  <c r="H37"/>
  <c r="H36"/>
  <c r="H35"/>
  <c r="F35"/>
  <c r="I35" s="1"/>
  <c r="F34"/>
  <c r="H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I17" s="1"/>
  <c r="F16"/>
  <c r="I16" s="1"/>
  <c r="I61" i="19"/>
  <c r="E85"/>
  <c r="F85" s="1"/>
  <c r="H85" s="1"/>
  <c r="F84"/>
  <c r="H84" s="1"/>
  <c r="H82"/>
  <c r="H80"/>
  <c r="H78"/>
  <c r="F77"/>
  <c r="H77" s="1"/>
  <c r="I74"/>
  <c r="F73"/>
  <c r="I73" s="1"/>
  <c r="F72"/>
  <c r="H72" s="1"/>
  <c r="F71"/>
  <c r="I71" s="1"/>
  <c r="F70"/>
  <c r="H70" s="1"/>
  <c r="F69"/>
  <c r="I69" s="1"/>
  <c r="F68"/>
  <c r="H68" s="1"/>
  <c r="H67"/>
  <c r="H66"/>
  <c r="F64"/>
  <c r="H64" s="1"/>
  <c r="F63"/>
  <c r="H63" s="1"/>
  <c r="F60"/>
  <c r="I60" s="1"/>
  <c r="F59"/>
  <c r="H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I46"/>
  <c r="H46"/>
  <c r="F44"/>
  <c r="I44" s="1"/>
  <c r="F43"/>
  <c r="H43" s="1"/>
  <c r="H42"/>
  <c r="F41"/>
  <c r="H41" s="1"/>
  <c r="I40"/>
  <c r="H40"/>
  <c r="F38"/>
  <c r="H38" s="1"/>
  <c r="H37"/>
  <c r="H36"/>
  <c r="H35"/>
  <c r="F35"/>
  <c r="I35" s="1"/>
  <c r="F34"/>
  <c r="H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I17" s="1"/>
  <c r="F16"/>
  <c r="H16" s="1"/>
  <c r="I90" i="18"/>
  <c r="I66"/>
  <c r="E85"/>
  <c r="F85" s="1"/>
  <c r="F84"/>
  <c r="H84" s="1"/>
  <c r="H82"/>
  <c r="H80"/>
  <c r="H78"/>
  <c r="F77"/>
  <c r="H77" s="1"/>
  <c r="I74"/>
  <c r="F73"/>
  <c r="I73" s="1"/>
  <c r="F72"/>
  <c r="H72" s="1"/>
  <c r="F71"/>
  <c r="I71" s="1"/>
  <c r="F70"/>
  <c r="H70" s="1"/>
  <c r="F69"/>
  <c r="I69" s="1"/>
  <c r="F68"/>
  <c r="H68" s="1"/>
  <c r="H67"/>
  <c r="H66"/>
  <c r="F64"/>
  <c r="I64" s="1"/>
  <c r="F63"/>
  <c r="H63" s="1"/>
  <c r="F60"/>
  <c r="I60" s="1"/>
  <c r="F59"/>
  <c r="H59" s="1"/>
  <c r="I56"/>
  <c r="F56"/>
  <c r="H56" s="1"/>
  <c r="H55"/>
  <c r="F54"/>
  <c r="H54" s="1"/>
  <c r="F53"/>
  <c r="F52"/>
  <c r="I52" s="1"/>
  <c r="F51"/>
  <c r="H51" s="1"/>
  <c r="F50"/>
  <c r="H50" s="1"/>
  <c r="F49"/>
  <c r="H49" s="1"/>
  <c r="F48"/>
  <c r="H48" s="1"/>
  <c r="I46"/>
  <c r="H46"/>
  <c r="F45"/>
  <c r="H45" s="1"/>
  <c r="F44"/>
  <c r="I44" s="1"/>
  <c r="F43"/>
  <c r="H43" s="1"/>
  <c r="H42"/>
  <c r="F41"/>
  <c r="H41" s="1"/>
  <c r="I40"/>
  <c r="H40"/>
  <c r="F38"/>
  <c r="H38" s="1"/>
  <c r="H37"/>
  <c r="H36"/>
  <c r="H35"/>
  <c r="F35"/>
  <c r="I35" s="1"/>
  <c r="F34"/>
  <c r="H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I17" s="1"/>
  <c r="F16"/>
  <c r="H16" s="1"/>
  <c r="F117" i="17"/>
  <c r="H117" s="1"/>
  <c r="H115"/>
  <c r="F114"/>
  <c r="H114" s="1"/>
  <c r="H113"/>
  <c r="H112"/>
  <c r="H111"/>
  <c r="H110"/>
  <c r="H109"/>
  <c r="H108"/>
  <c r="H107"/>
  <c r="H106"/>
  <c r="H105"/>
  <c r="H104"/>
  <c r="H103"/>
  <c r="H102"/>
  <c r="F101"/>
  <c r="H101" s="1"/>
  <c r="H100"/>
  <c r="F99"/>
  <c r="H99" s="1"/>
  <c r="H98"/>
  <c r="H97"/>
  <c r="G96"/>
  <c r="H96" s="1"/>
  <c r="F95"/>
  <c r="H95" s="1"/>
  <c r="F94"/>
  <c r="H94" s="1"/>
  <c r="F93"/>
  <c r="H93" s="1"/>
  <c r="H92"/>
  <c r="I118"/>
  <c r="E85"/>
  <c r="F85" s="1"/>
  <c r="F84"/>
  <c r="H84" s="1"/>
  <c r="H82"/>
  <c r="H80"/>
  <c r="H78"/>
  <c r="F77"/>
  <c r="H77" s="1"/>
  <c r="I74"/>
  <c r="F73"/>
  <c r="H73" s="1"/>
  <c r="F72"/>
  <c r="H72" s="1"/>
  <c r="F71"/>
  <c r="H71" s="1"/>
  <c r="F70"/>
  <c r="H70" s="1"/>
  <c r="F69"/>
  <c r="H69" s="1"/>
  <c r="F68"/>
  <c r="H68" s="1"/>
  <c r="H67"/>
  <c r="H66"/>
  <c r="F64"/>
  <c r="I64" s="1"/>
  <c r="F63"/>
  <c r="H63" s="1"/>
  <c r="F60"/>
  <c r="I60" s="1"/>
  <c r="F59"/>
  <c r="I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I46"/>
  <c r="H46"/>
  <c r="F45"/>
  <c r="I45" s="1"/>
  <c r="F44"/>
  <c r="I44" s="1"/>
  <c r="F43"/>
  <c r="I43" s="1"/>
  <c r="H42"/>
  <c r="F41"/>
  <c r="I41" s="1"/>
  <c r="I40"/>
  <c r="H40"/>
  <c r="F38"/>
  <c r="H38" s="1"/>
  <c r="F28"/>
  <c r="I28" s="1"/>
  <c r="H37"/>
  <c r="H36"/>
  <c r="F27"/>
  <c r="I27" s="1"/>
  <c r="H35"/>
  <c r="F35"/>
  <c r="I35" s="1"/>
  <c r="F34"/>
  <c r="H34" s="1"/>
  <c r="F33"/>
  <c r="H33" s="1"/>
  <c r="F32"/>
  <c r="H32" s="1"/>
  <c r="F31"/>
  <c r="H31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I16" s="1"/>
  <c r="H54" i="21" l="1"/>
  <c r="I54"/>
  <c r="H53"/>
  <c r="I53"/>
  <c r="H53" i="18"/>
  <c r="I53"/>
  <c r="I102" i="26"/>
  <c r="I86" i="25"/>
  <c r="I98" s="1"/>
  <c r="H64" i="24"/>
  <c r="H69"/>
  <c r="H73"/>
  <c r="H71"/>
  <c r="H59"/>
  <c r="H52"/>
  <c r="H45"/>
  <c r="H18"/>
  <c r="I18"/>
  <c r="H20"/>
  <c r="I21"/>
  <c r="H27"/>
  <c r="I28"/>
  <c r="H31"/>
  <c r="I32"/>
  <c r="H33"/>
  <c r="I34"/>
  <c r="I41"/>
  <c r="I43"/>
  <c r="H44"/>
  <c r="H60"/>
  <c r="I68"/>
  <c r="I70"/>
  <c r="I72"/>
  <c r="I84"/>
  <c r="I85"/>
  <c r="H64" i="23"/>
  <c r="H34"/>
  <c r="H16"/>
  <c r="H21"/>
  <c r="H28"/>
  <c r="H41"/>
  <c r="H59"/>
  <c r="H43"/>
  <c r="H45"/>
  <c r="H32"/>
  <c r="H85"/>
  <c r="I85"/>
  <c r="H18"/>
  <c r="I18"/>
  <c r="H20"/>
  <c r="H27"/>
  <c r="H31"/>
  <c r="H33"/>
  <c r="H44"/>
  <c r="H52"/>
  <c r="H60"/>
  <c r="I68"/>
  <c r="H69"/>
  <c r="I70"/>
  <c r="H71"/>
  <c r="I72"/>
  <c r="H73"/>
  <c r="I84"/>
  <c r="H18" i="22"/>
  <c r="I18"/>
  <c r="H85"/>
  <c r="I85"/>
  <c r="I16"/>
  <c r="H20"/>
  <c r="I21"/>
  <c r="H27"/>
  <c r="I28"/>
  <c r="H31"/>
  <c r="I32"/>
  <c r="H33"/>
  <c r="I34"/>
  <c r="I41"/>
  <c r="I43"/>
  <c r="H44"/>
  <c r="I45"/>
  <c r="H52"/>
  <c r="I59"/>
  <c r="H60"/>
  <c r="I64"/>
  <c r="I68"/>
  <c r="H69"/>
  <c r="I70"/>
  <c r="H71"/>
  <c r="I72"/>
  <c r="H73"/>
  <c r="I84"/>
  <c r="I19" i="21"/>
  <c r="I26"/>
  <c r="I24"/>
  <c r="I51"/>
  <c r="I49"/>
  <c r="H64"/>
  <c r="I22"/>
  <c r="I25"/>
  <c r="I23"/>
  <c r="I50"/>
  <c r="I48"/>
  <c r="H18"/>
  <c r="I18"/>
  <c r="H85"/>
  <c r="I85"/>
  <c r="I16"/>
  <c r="H20"/>
  <c r="I21"/>
  <c r="H27"/>
  <c r="I28"/>
  <c r="H31"/>
  <c r="I32"/>
  <c r="H33"/>
  <c r="I34"/>
  <c r="I41"/>
  <c r="I43"/>
  <c r="H44"/>
  <c r="I45"/>
  <c r="H52"/>
  <c r="I59"/>
  <c r="H60"/>
  <c r="I68"/>
  <c r="H69"/>
  <c r="I70"/>
  <c r="H71"/>
  <c r="I72"/>
  <c r="H73"/>
  <c r="I84"/>
  <c r="H71" i="20"/>
  <c r="H16"/>
  <c r="H44"/>
  <c r="H60"/>
  <c r="H69"/>
  <c r="H73"/>
  <c r="I53"/>
  <c r="I54"/>
  <c r="H52"/>
  <c r="H18"/>
  <c r="I18"/>
  <c r="H20"/>
  <c r="I21"/>
  <c r="H27"/>
  <c r="I28"/>
  <c r="H31"/>
  <c r="I32"/>
  <c r="H33"/>
  <c r="I34"/>
  <c r="I41"/>
  <c r="I43"/>
  <c r="I59"/>
  <c r="I64"/>
  <c r="I68"/>
  <c r="I70"/>
  <c r="I72"/>
  <c r="I84"/>
  <c r="I85"/>
  <c r="H69" i="19"/>
  <c r="H73"/>
  <c r="H71"/>
  <c r="H60"/>
  <c r="H18"/>
  <c r="I18"/>
  <c r="I16"/>
  <c r="H20"/>
  <c r="I21"/>
  <c r="H27"/>
  <c r="I28"/>
  <c r="H31"/>
  <c r="I32"/>
  <c r="H33"/>
  <c r="I34"/>
  <c r="I41"/>
  <c r="I43"/>
  <c r="H44"/>
  <c r="H52"/>
  <c r="I59"/>
  <c r="I64"/>
  <c r="I68"/>
  <c r="I70"/>
  <c r="I72"/>
  <c r="I84"/>
  <c r="I85"/>
  <c r="H64" i="18"/>
  <c r="H18"/>
  <c r="I18"/>
  <c r="H85"/>
  <c r="I85"/>
  <c r="I16"/>
  <c r="H20"/>
  <c r="I21"/>
  <c r="H27"/>
  <c r="I28"/>
  <c r="H31"/>
  <c r="I32"/>
  <c r="H33"/>
  <c r="I34"/>
  <c r="I41"/>
  <c r="I43"/>
  <c r="H44"/>
  <c r="I45"/>
  <c r="H52"/>
  <c r="I59"/>
  <c r="H60"/>
  <c r="I68"/>
  <c r="H69"/>
  <c r="I70"/>
  <c r="H71"/>
  <c r="I72"/>
  <c r="H73"/>
  <c r="I84"/>
  <c r="I73" i="17"/>
  <c r="I71"/>
  <c r="I69"/>
  <c r="I68"/>
  <c r="I72"/>
  <c r="I70"/>
  <c r="I31"/>
  <c r="I34"/>
  <c r="I33"/>
  <c r="I32"/>
  <c r="H28"/>
  <c r="H43"/>
  <c r="H16"/>
  <c r="H41"/>
  <c r="H45"/>
  <c r="H52"/>
  <c r="H59"/>
  <c r="H64"/>
  <c r="I18"/>
  <c r="I120" s="1"/>
  <c r="H18"/>
  <c r="I85"/>
  <c r="H85"/>
  <c r="I20"/>
  <c r="H21"/>
  <c r="H27"/>
  <c r="H44"/>
  <c r="H60"/>
  <c r="I84"/>
  <c r="I92" i="21" l="1"/>
  <c r="I86" i="19"/>
  <c r="I114" s="1"/>
  <c r="I92" i="18"/>
  <c r="I105" i="24"/>
  <c r="I101" i="23"/>
  <c r="I93" i="22"/>
  <c r="I96" i="20"/>
</calcChain>
</file>

<file path=xl/sharedStrings.xml><?xml version="1.0" encoding="utf-8"?>
<sst xmlns="http://schemas.openxmlformats.org/spreadsheetml/2006/main" count="2892" uniqueCount="292">
  <si>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</si>
  <si>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</si>
  <si>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</si>
  <si>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</si>
  <si>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</si>
  <si>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</si>
  <si>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</si>
  <si>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</si>
  <si>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</si>
  <si>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</si>
  <si>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</si>
  <si>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</si>
  <si>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</si>
  <si>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</si>
  <si>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</si>
  <si>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</si>
  <si>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</si>
  <si>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</si>
  <si>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</si>
  <si>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</si>
  <si>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</si>
  <si>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</si>
  <si>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</si>
  <si>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</si>
  <si>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</si>
  <si>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</si>
  <si>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</si>
  <si>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</si>
  <si>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</si>
  <si>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</si>
  <si>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</si>
  <si>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</si>
  <si>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10 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</si>
  <si>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</si>
  <si>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</si>
  <si>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</si>
  <si>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</si>
  <si>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</si>
  <si>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</si>
  <si>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</si>
  <si>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</si>
  <si>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</si>
  <si>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</si>
  <si>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</si>
  <si>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</si>
  <si>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</si>
  <si>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</si>
  <si>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</si>
  <si>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</si>
  <si>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</si>
  <si>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</si>
  <si>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</si>
  <si>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</si>
  <si>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</si>
  <si>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</si>
  <si>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10 м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</si>
  <si>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</si>
  <si>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</si>
  <si>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</si>
  <si>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</si>
  <si>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</si>
  <si>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</si>
  <si>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</si>
  <si>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</si>
  <si>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</si>
  <si>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</si>
  <si>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</si>
  <si>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</si>
  <si>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</si>
  <si>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</si>
  <si>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</si>
  <si>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</si>
  <si>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</si>
  <si>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</si>
  <si>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</si>
  <si>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</si>
  <si>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</si>
  <si>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</si>
  <si>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</si>
  <si>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</si>
  <si>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</si>
  <si>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</si>
  <si>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</si>
  <si>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</si>
  <si>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</si>
  <si>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</si>
  <si>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</si>
  <si>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</si>
  <si>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</si>
  <si>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дверных приборов (замки навесные)</t>
  </si>
  <si>
    <t>II. Уборка земельного участка</t>
  </si>
  <si>
    <t xml:space="preserve">ежедневно </t>
  </si>
  <si>
    <t>ООО «Жилсервис»</t>
  </si>
  <si>
    <t>Влажное подметание лестничных клеток 1 этажа</t>
  </si>
  <si>
    <t>Замена ламп ДРЛ</t>
  </si>
  <si>
    <t>Смена арматуры - вентилей и клапанов обратных муфтовых диаметром до 20 мм</t>
  </si>
  <si>
    <t>генеральный директор Куканов Ю.Л.</t>
  </si>
  <si>
    <t>Прочистка засоров ГВС, XВC</t>
  </si>
  <si>
    <t>3м</t>
  </si>
  <si>
    <t>1 шт</t>
  </si>
  <si>
    <t>Влажное подметание лестничных клеток 2-5 этажа</t>
  </si>
  <si>
    <t>Мытье лестничных  площадок и маршей 1-5 этаж.</t>
  </si>
  <si>
    <t>Вывоз снега с придомовой территории</t>
  </si>
  <si>
    <t>Дератизация</t>
  </si>
  <si>
    <t>Заделка окон фанерой</t>
  </si>
  <si>
    <t>10 м2</t>
  </si>
  <si>
    <t>Влажная протирка перил</t>
  </si>
  <si>
    <t>Влажная протирка почтовых ящиков</t>
  </si>
  <si>
    <t>Очистка внутреннего водостока</t>
  </si>
  <si>
    <t>водосток</t>
  </si>
  <si>
    <t>Влажная протирка подоконников</t>
  </si>
  <si>
    <t>Влажная протирка отопительных приборов</t>
  </si>
  <si>
    <t>1 соединение</t>
  </si>
  <si>
    <t>Смена светодиодных светильников</t>
  </si>
  <si>
    <t>1 раз в 2 месяца</t>
  </si>
  <si>
    <t>100м2</t>
  </si>
  <si>
    <t>156 раз в год</t>
  </si>
  <si>
    <t>104 раза в год</t>
  </si>
  <si>
    <t xml:space="preserve">24 раза в год 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</si>
  <si>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</si>
  <si>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</si>
  <si>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</si>
  <si>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</si>
  <si>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</si>
  <si>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Влажная протирка шкафов для щитов и слаботочн.устройств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</si>
  <si>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</si>
  <si>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</si>
  <si>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</si>
  <si>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</si>
  <si>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</si>
  <si>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30 раз за сезон</t>
  </si>
  <si>
    <t>155 раз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</si>
  <si>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</si>
  <si>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</si>
  <si>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</si>
  <si>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</si>
  <si>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</si>
  <si>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</si>
  <si>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</si>
  <si>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</si>
  <si>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</si>
  <si>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</si>
  <si>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</si>
  <si>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 xml:space="preserve"> 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</si>
  <si>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</si>
  <si>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</si>
  <si>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№10 по ул.Нефтяников пгт.Ярега
</t>
  </si>
  <si>
    <t>1м3</t>
  </si>
  <si>
    <t>35 раз за сезон</t>
  </si>
  <si>
    <t>Очистка оголовков дымоходов и вентканалов от наледи и снега (по необходимости) зимой</t>
  </si>
  <si>
    <t>Спуск воды после промывки СО в канализацию</t>
  </si>
  <si>
    <t>Обслуживание прибора тепловой энергии</t>
  </si>
  <si>
    <r>
      <t xml:space="preserve">    Собственники помещений в многоквартирном доме,  расположенном по адресу:  пгт.Ярега, ул.Нефтяников, д.10,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25.03.2014г. стороны,  и ООО «Жилсервис»,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</si>
  <si>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</si>
  <si>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</si>
  <si>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</si>
  <si>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</si>
  <si>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>Очистка урн от мусора</t>
  </si>
  <si>
    <t>155 раз в год</t>
  </si>
  <si>
    <t>Дополнительная подборка мусора</t>
  </si>
  <si>
    <t>договор</t>
  </si>
  <si>
    <t>Мелкий ремонт электропроводки</t>
  </si>
  <si>
    <t>Устройство хомута диаметром до 50мм</t>
  </si>
  <si>
    <t>Ремонт и регулировка доводчика (со стоимостью доводчика)</t>
  </si>
  <si>
    <t>1шт.</t>
  </si>
  <si>
    <t>Крепление кабеля на тепловычислитель</t>
  </si>
  <si>
    <t>10шт</t>
  </si>
  <si>
    <t>Внеплановый осмотр электросетей, армазуры и электрооборудования на лестничных клетках</t>
  </si>
  <si>
    <t>Замена чугунного тройника Dy-100</t>
  </si>
  <si>
    <t>Ремонт дверных полотен со сменой брусков обвязки горизонтальных на 2 сопряжения верхних (+ 3 листа железа и уголок 30*30 20м)</t>
  </si>
  <si>
    <t>брусок</t>
  </si>
  <si>
    <t>Настройка таймера освещения ТО-2</t>
  </si>
  <si>
    <t>100шт</t>
  </si>
  <si>
    <t>Ремонт ограждений контейнерной площадки</t>
  </si>
  <si>
    <t>тыс.руб.</t>
  </si>
  <si>
    <t>Установка хомута диаметром до 50 мм</t>
  </si>
  <si>
    <t>Ремонт металлической двери</t>
  </si>
  <si>
    <t>Смена полиэтиленовых канализационных труб 110×1000 мм</t>
  </si>
  <si>
    <t>Патрубок компенсационный Ду 100</t>
  </si>
  <si>
    <t>Ревизия 110</t>
  </si>
  <si>
    <t>Тройник 100</t>
  </si>
  <si>
    <t>Смена трубопроводов на полипропиленовые трубы PN25 диаметром 20мм</t>
  </si>
  <si>
    <t>Ремонт отдельными местами рулонного покрытия, промазка битумными составами отдельными местами рулонного покрытия, замена 1 слоя</t>
  </si>
  <si>
    <t>Работы автовышки</t>
  </si>
  <si>
    <t>маш-час</t>
  </si>
  <si>
    <t xml:space="preserve">Уплотнение сгонов с применением льняной пряди или асбестового шнура (без разборки сгонов) </t>
  </si>
  <si>
    <t>Смена стекол в деревянных переплетах при площади стекла до 1,0 м2</t>
  </si>
  <si>
    <t>Переход чугун-пластик 119×110</t>
  </si>
  <si>
    <t>Переход 100×50</t>
  </si>
  <si>
    <t>Крестовина 100×50 (левая)</t>
  </si>
  <si>
    <t xml:space="preserve">ПРЭМ Ду-65 ГФ Кл. D расходомер электромагнитный 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</si>
  <si>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</si>
  <si>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</si>
  <si>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</si>
  <si>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</si>
  <si>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</si>
  <si>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</si>
  <si>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</si>
  <si>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</si>
  <si>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</si>
  <si>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</si>
  <si>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</si>
  <si>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</si>
  <si>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</si>
  <si>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t>за период с 01.01.2017 г. по 31.01.2017 г.</t>
  </si>
  <si>
    <t xml:space="preserve">Смена внутренних трубопроводов из стальных труб диаметром до 40 мм </t>
  </si>
  <si>
    <t>Смена внутренних трубопроводов из стальных труб диаметром до 25 мм</t>
  </si>
  <si>
    <t>Укрепление притвора</t>
  </si>
  <si>
    <t>1 полотно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</si>
  <si>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д.10</t>
    </r>
  </si>
  <si>
    <t>Итого затраты за месяц</t>
  </si>
  <si>
    <t>за период с 01.02.2017 г. по 28.02.2017 г.</t>
  </si>
  <si>
    <t>Прочистка засоров канализации</t>
  </si>
  <si>
    <t>за период с 01.03.2017 г. по 31.03.2017 г.</t>
  </si>
  <si>
    <t>Смена арматуры - вентилей и клапанов обратных муфтовых диаметром до 32 мм</t>
  </si>
  <si>
    <t>Смена вентилей диаметром до 32 мм (без учёта материалов)</t>
  </si>
  <si>
    <t>Смена полиэтиленовых канализационных труб 110×2000 мм</t>
  </si>
  <si>
    <t>Переход чугун-пластик Ду 50 с манжетой</t>
  </si>
  <si>
    <t>Переход чугун-пластик Ду 110 с манжетой</t>
  </si>
  <si>
    <t>Отвод 110*90°</t>
  </si>
  <si>
    <t>Отвод 110*45°</t>
  </si>
  <si>
    <t>Установка заглушек диаметром трубопроводов до 100 мм</t>
  </si>
  <si>
    <t>заглушка</t>
  </si>
  <si>
    <t>Тройник 100-45°</t>
  </si>
  <si>
    <t>Манжета 100</t>
  </si>
  <si>
    <t>Тройник 100-90°</t>
  </si>
  <si>
    <t>Муфта 110</t>
  </si>
  <si>
    <t>Смена патронов</t>
  </si>
  <si>
    <t>Заделка трещин в кипичных стенах монтажной пеной</t>
  </si>
  <si>
    <t>1 место</t>
  </si>
  <si>
    <t>Отвод 50×90°</t>
  </si>
  <si>
    <t xml:space="preserve">Смена полипропиленовых канализационных труб 50×2000 мм </t>
  </si>
  <si>
    <t xml:space="preserve">Смена полипропиленовых канализационных труб 50×1000 мм </t>
  </si>
  <si>
    <t>Тройник 100×50/90°</t>
  </si>
  <si>
    <t>за период с 01.04.2017 г. по 30.04.2017 г.</t>
  </si>
  <si>
    <t>Смена трубопроводов на полипропиленовые трубы PN25 диаметром 25мм</t>
  </si>
  <si>
    <t>Внеплановый осмотр вводных электрических щитков</t>
  </si>
  <si>
    <t>Смена мелких покрытий из листовой стали в кровлях из рулонных и штучных материалов - желобов</t>
  </si>
  <si>
    <t>2. Всего за период с 01.04.2017 по 30.04.2017 выполнено работ (оказано услуг) на общую сумму: 120225,49 руб.</t>
  </si>
  <si>
    <t>(сто двадцать тысяч двести двадцать пять рублей 49 копеек)</t>
  </si>
  <si>
    <t>за период с 01.05.2017 г. по 31.05.2017 г.</t>
  </si>
  <si>
    <t>2. Всего за период с 01.05.2017 по 31.05.2017 выполнено работ (оказано услуг) на общую сумму: 248541,68 руб.</t>
  </si>
  <si>
    <t>(двести сорок восемь тысяч пятьсот сорок один рубль 68 копеек)</t>
  </si>
  <si>
    <t>за период с 01.06.2017 г. по 30.06.2017 г.</t>
  </si>
  <si>
    <t>за период с 01.07.2017 г. по 31.07.2017 г.</t>
  </si>
  <si>
    <t>Демонтаж тепловычислителя на госповерку</t>
  </si>
  <si>
    <t>Прочистка засоров ливневки</t>
  </si>
  <si>
    <t>за период с 01.08.2017 г. по 31.08.2017 г.</t>
  </si>
  <si>
    <t>ежедневно</t>
  </si>
  <si>
    <t>Патрубок компенсационный ПП Ду 100</t>
  </si>
  <si>
    <t>Простая масляная окраска ранее окрашенных входных металлических дверей (I-V под.)</t>
  </si>
  <si>
    <t>Поверка средств измерений: тепловычислитель СПТ941</t>
  </si>
  <si>
    <t>2. Всего за период с 01.08.2017 по 31.08.2017 выполнено работ (оказано услуг) на общую сумму: 102977,16 руб.</t>
  </si>
  <si>
    <t>(сто две тысячи девятьсот семьдесят семь рублей 16 копеек)</t>
  </si>
  <si>
    <t>за период с 01.09.2017 г. по 30.09.2017 г.</t>
  </si>
  <si>
    <t>Монтаж тепловычислителя после госповерки</t>
  </si>
  <si>
    <t>Смена отдельных участков наружной проводки</t>
  </si>
  <si>
    <t>м</t>
  </si>
  <si>
    <t>2. Всего за период с 01.09.2017 по 30.09.2017 выполнено работ (оказано услуг) на общую сумму: 102105,67 руб.</t>
  </si>
  <si>
    <t>(сто две тысячи сто пять рублей 67 копеек)</t>
  </si>
  <si>
    <t>за период с 01.10.2017 г. по 31.10.2017 г.</t>
  </si>
  <si>
    <t>2. Всего за период с 01.03.2017 по 31.03.2017 выполнено работ (оказано услуг) на общую сумму: 183364,85 руб.</t>
  </si>
  <si>
    <t>(сто восемьдесят три тысячи триста шестьдесят четыре рубля 85 копеек)</t>
  </si>
  <si>
    <t>Демонтаж винипластовых труб, проложенных на скобах, диаметром до 25 мм</t>
  </si>
  <si>
    <t>Демонтаж проводов из труб суммарным сечением до 6 мм2</t>
  </si>
  <si>
    <t>10 м.</t>
  </si>
  <si>
    <t>2. Всего за период с 01.07.2017 по 31.07.2017 выполнено работ (оказано услуг) на общую сумму: 95493,33 руб.</t>
  </si>
  <si>
    <t>(девяносто пять тысяч четыреста девяносто три рубля 33 копейки)</t>
  </si>
  <si>
    <t>Смена мелких покрытий из листовой стали в кровлях из рулонных и штучных материалов - желобов, отливов</t>
  </si>
  <si>
    <t>Смена вентилей диаметром до 20 мм (без учёта материалов)</t>
  </si>
  <si>
    <t>Смена сгонов у трубопроводов диаметром до 32 мм</t>
  </si>
  <si>
    <t>1 сгон</t>
  </si>
  <si>
    <t>Смена светодиодных светильников в.о.</t>
  </si>
  <si>
    <t>Косметический ремонт подъездов (III-V под.)</t>
  </si>
  <si>
    <t>2. Всего за период с 01.10.2017 по 31.10.2017 выполнено работ (оказано услуг) на общую сумму: 728954,84 руб.</t>
  </si>
  <si>
    <t>(семьсот двадцать восемь тысяч девятьсот пятьдесят четыре рубля 84 копейки)</t>
  </si>
  <si>
    <t>АКТ №11</t>
  </si>
  <si>
    <t>за период с 01.11.2017 г. по 30.11.2017 г.</t>
  </si>
  <si>
    <t>АКТ №12</t>
  </si>
  <si>
    <t>за период с 01.12.2017 г. по 31.12.2017 г.</t>
  </si>
  <si>
    <t>2. Всего за период с 01.01.2017 по 31.01.2017 выполнено работ (оказано услуг) на общую сумму: 107568,94 руб.</t>
  </si>
  <si>
    <t>(сто семь тысяч пятьсот шестьдесят восемь рублей 94 копейки)</t>
  </si>
  <si>
    <t>2. Всего за период с 01.02.2017 по 28.02.2017 выполнено работ (оказано услуг) на общую сумму: 114284,83 руб.</t>
  </si>
  <si>
    <t>(сто четырнадцать тысяч двести восемьдесят четыре рубля 83 копейки)</t>
  </si>
  <si>
    <t>15 раз за сезон</t>
  </si>
  <si>
    <t>Сверхнормативы по ОДП за 1 полугодие</t>
  </si>
  <si>
    <t>2. Всего за период с 01.06.2017 по 30.06.2017 выполнено работ (оказано услуг) на общую сумму: 105899,95 руб.</t>
  </si>
  <si>
    <t>(сто пять тысяч восемьсот девяносто девять рублей 95 копеек)</t>
  </si>
  <si>
    <t>2. Всего за период с 01.11.2017 по 30.11.2017 выполнено работ (оказано услуг) на общую сумму: 115490,19 руб.</t>
  </si>
  <si>
    <t>(сто пятнадцать тысяч четыреста девяносто рублей 19 копеек)</t>
  </si>
  <si>
    <t>2. Всего за период с 01.12.2017 по 31.12.2017 выполнено работ (оказано услуг) на общую сумму: 162527,77 руб.</t>
  </si>
  <si>
    <t>(сто шестьдесят две тысячи пятьсот двадцать семь рублей 77 копеек)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</si>
</sst>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4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8" fillId="0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 applyProtection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3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4" fontId="11" fillId="2" borderId="5" xfId="0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1" fillId="2" borderId="7" xfId="0" applyFont="1" applyFill="1" applyBorder="1" applyAlignment="1">
      <alignment horizontal="left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4" fontId="11" fillId="4" borderId="7" xfId="0" applyNumberFormat="1" applyFont="1" applyFill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4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92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14" t="s">
        <v>156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146</v>
      </c>
      <c r="B4" s="115"/>
      <c r="C4" s="115"/>
      <c r="D4" s="115"/>
      <c r="E4" s="115"/>
      <c r="F4" s="115"/>
      <c r="G4" s="115"/>
      <c r="H4" s="115"/>
      <c r="I4" s="115"/>
    </row>
    <row r="5" spans="1:13" ht="15.75" customHeight="1">
      <c r="A5" s="114" t="s">
        <v>204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 customHeight="1">
      <c r="A6" s="2"/>
      <c r="B6" s="55"/>
      <c r="C6" s="55"/>
      <c r="D6" s="55"/>
      <c r="E6" s="55"/>
      <c r="F6" s="55"/>
      <c r="G6" s="55"/>
      <c r="H6" s="55"/>
      <c r="I6" s="30">
        <v>42766</v>
      </c>
      <c r="J6" s="2"/>
      <c r="K6" s="2"/>
      <c r="L6" s="2"/>
      <c r="M6" s="2"/>
    </row>
    <row r="7" spans="1:13" ht="15.75" customHeight="1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7" t="s">
        <v>152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8" t="s">
        <v>209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19" t="s">
        <v>61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29">
        <v>1</v>
      </c>
      <c r="B16" s="69" t="s">
        <v>93</v>
      </c>
      <c r="C16" s="70" t="s">
        <v>115</v>
      </c>
      <c r="D16" s="69" t="s">
        <v>116</v>
      </c>
      <c r="E16" s="71">
        <v>176.24</v>
      </c>
      <c r="F16" s="72">
        <f>SUM(E16*156/100)</f>
        <v>274.93440000000004</v>
      </c>
      <c r="G16" s="72">
        <v>187.48</v>
      </c>
      <c r="H16" s="73">
        <f t="shared" ref="H16:H26" si="0">SUM(F16*G16/1000)</f>
        <v>51.544701312000008</v>
      </c>
      <c r="I16" s="13">
        <f>F16/12*G16</f>
        <v>4295.3917760000004</v>
      </c>
      <c r="J16" s="8"/>
      <c r="K16" s="8"/>
      <c r="L16" s="8"/>
      <c r="M16" s="8"/>
    </row>
    <row r="17" spans="1:13" ht="15.75" customHeight="1">
      <c r="A17" s="29">
        <v>2</v>
      </c>
      <c r="B17" s="69" t="s">
        <v>100</v>
      </c>
      <c r="C17" s="70" t="s">
        <v>115</v>
      </c>
      <c r="D17" s="69" t="s">
        <v>117</v>
      </c>
      <c r="E17" s="71">
        <v>704.96</v>
      </c>
      <c r="F17" s="72">
        <f>SUM(E17*104/100)</f>
        <v>733.15839999999992</v>
      </c>
      <c r="G17" s="72">
        <v>187.48</v>
      </c>
      <c r="H17" s="73">
        <v>137.453</v>
      </c>
      <c r="I17" s="13">
        <f>F17/12*G17</f>
        <v>11454.378069333332</v>
      </c>
      <c r="J17" s="22"/>
      <c r="K17" s="8"/>
      <c r="L17" s="8"/>
      <c r="M17" s="8"/>
    </row>
    <row r="18" spans="1:13" ht="15.75" customHeight="1">
      <c r="A18" s="29">
        <v>3</v>
      </c>
      <c r="B18" s="69" t="s">
        <v>101</v>
      </c>
      <c r="C18" s="70" t="s">
        <v>115</v>
      </c>
      <c r="D18" s="69" t="s">
        <v>118</v>
      </c>
      <c r="E18" s="71">
        <f>SUM(E16+E17)</f>
        <v>881.2</v>
      </c>
      <c r="F18" s="72">
        <f>SUM(E18*24/100)</f>
        <v>211.48800000000003</v>
      </c>
      <c r="G18" s="72">
        <v>539.30999999999995</v>
      </c>
      <c r="H18" s="73">
        <f t="shared" si="0"/>
        <v>114.05759328000001</v>
      </c>
      <c r="I18" s="13">
        <f>F18/12*G18</f>
        <v>9504.7994400000007</v>
      </c>
      <c r="J18" s="22"/>
      <c r="K18" s="8"/>
      <c r="L18" s="8"/>
      <c r="M18" s="8"/>
    </row>
    <row r="19" spans="1:13" ht="15.75" hidden="1" customHeight="1">
      <c r="A19" s="29">
        <v>4</v>
      </c>
      <c r="B19" s="69" t="s">
        <v>119</v>
      </c>
      <c r="C19" s="70" t="s">
        <v>120</v>
      </c>
      <c r="D19" s="69" t="s">
        <v>121</v>
      </c>
      <c r="E19" s="71">
        <v>28.8</v>
      </c>
      <c r="F19" s="72">
        <f>SUM(E19/10)</f>
        <v>2.88</v>
      </c>
      <c r="G19" s="72">
        <v>181.91</v>
      </c>
      <c r="H19" s="73">
        <f t="shared" si="0"/>
        <v>0.52390080000000006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69" t="s">
        <v>106</v>
      </c>
      <c r="C20" s="70" t="s">
        <v>115</v>
      </c>
      <c r="D20" s="69" t="s">
        <v>30</v>
      </c>
      <c r="E20" s="71">
        <v>17.5</v>
      </c>
      <c r="F20" s="72">
        <f>SUM(E20*12/100)</f>
        <v>2.1</v>
      </c>
      <c r="G20" s="72">
        <v>232.92</v>
      </c>
      <c r="H20" s="73">
        <f t="shared" si="0"/>
        <v>0.48913200000000001</v>
      </c>
      <c r="I20" s="13">
        <f>F20/12*G20</f>
        <v>40.761000000000003</v>
      </c>
      <c r="J20" s="22"/>
      <c r="K20" s="8"/>
      <c r="L20" s="8"/>
      <c r="M20" s="8"/>
    </row>
    <row r="21" spans="1:13" ht="15.75" customHeight="1">
      <c r="A21" s="29">
        <v>5</v>
      </c>
      <c r="B21" s="69" t="s">
        <v>107</v>
      </c>
      <c r="C21" s="70" t="s">
        <v>115</v>
      </c>
      <c r="D21" s="69" t="s">
        <v>114</v>
      </c>
      <c r="E21" s="71">
        <v>5.94</v>
      </c>
      <c r="F21" s="72">
        <f>SUM(E21*6/100)</f>
        <v>0.35639999999999999</v>
      </c>
      <c r="G21" s="72">
        <v>231.03</v>
      </c>
      <c r="H21" s="73">
        <f t="shared" si="0"/>
        <v>8.2339091999999989E-2</v>
      </c>
      <c r="I21" s="13">
        <f>F21/6*G21</f>
        <v>13.723182</v>
      </c>
      <c r="J21" s="22"/>
      <c r="K21" s="8"/>
      <c r="L21" s="8"/>
      <c r="M21" s="8"/>
    </row>
    <row r="22" spans="1:13" ht="15.75" hidden="1" customHeight="1">
      <c r="A22" s="29">
        <v>7</v>
      </c>
      <c r="B22" s="69" t="s">
        <v>122</v>
      </c>
      <c r="C22" s="70" t="s">
        <v>53</v>
      </c>
      <c r="D22" s="69" t="s">
        <v>121</v>
      </c>
      <c r="E22" s="71">
        <v>376</v>
      </c>
      <c r="F22" s="72">
        <f>SUM(E22/100)</f>
        <v>3.76</v>
      </c>
      <c r="G22" s="72">
        <v>287.83999999999997</v>
      </c>
      <c r="H22" s="73">
        <f t="shared" si="0"/>
        <v>1.0822783999999999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9" t="s">
        <v>123</v>
      </c>
      <c r="C23" s="70" t="s">
        <v>53</v>
      </c>
      <c r="D23" s="69" t="s">
        <v>121</v>
      </c>
      <c r="E23" s="74">
        <v>60.4</v>
      </c>
      <c r="F23" s="72">
        <f>SUM(E23/100)</f>
        <v>0.60399999999999998</v>
      </c>
      <c r="G23" s="72">
        <v>47.34</v>
      </c>
      <c r="H23" s="73">
        <f t="shared" si="0"/>
        <v>2.8593360000000002E-2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9" t="s">
        <v>110</v>
      </c>
      <c r="C24" s="70" t="s">
        <v>53</v>
      </c>
      <c r="D24" s="69" t="s">
        <v>54</v>
      </c>
      <c r="E24" s="18">
        <v>25</v>
      </c>
      <c r="F24" s="75">
        <f>E24/100</f>
        <v>0.25</v>
      </c>
      <c r="G24" s="72">
        <v>416.62</v>
      </c>
      <c r="H24" s="73">
        <f>F24*G24/1000</f>
        <v>0.104155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9" t="s">
        <v>124</v>
      </c>
      <c r="C25" s="70" t="s">
        <v>53</v>
      </c>
      <c r="D25" s="69" t="s">
        <v>121</v>
      </c>
      <c r="E25" s="74">
        <v>23.75</v>
      </c>
      <c r="F25" s="72">
        <f>E25/100</f>
        <v>0.23749999999999999</v>
      </c>
      <c r="G25" s="72">
        <v>231.03</v>
      </c>
      <c r="H25" s="73">
        <f>F25*G25/1000</f>
        <v>5.4869624999999998E-2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11</v>
      </c>
      <c r="B26" s="69" t="s">
        <v>111</v>
      </c>
      <c r="C26" s="70" t="s">
        <v>53</v>
      </c>
      <c r="D26" s="69" t="s">
        <v>121</v>
      </c>
      <c r="E26" s="71">
        <v>10.63</v>
      </c>
      <c r="F26" s="72">
        <f>SUM(E26/100)</f>
        <v>0.10630000000000001</v>
      </c>
      <c r="G26" s="72">
        <v>556.74</v>
      </c>
      <c r="H26" s="73">
        <f t="shared" si="0"/>
        <v>5.9181462000000004E-2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6</v>
      </c>
      <c r="B27" s="69" t="s">
        <v>66</v>
      </c>
      <c r="C27" s="70" t="s">
        <v>34</v>
      </c>
      <c r="D27" s="69" t="s">
        <v>91</v>
      </c>
      <c r="E27" s="71">
        <v>0.1</v>
      </c>
      <c r="F27" s="72">
        <f>SUM(E27*365)</f>
        <v>36.5</v>
      </c>
      <c r="G27" s="72">
        <v>157.18</v>
      </c>
      <c r="H27" s="73">
        <f>SUM(F27*G27/1000)</f>
        <v>5.737070000000001</v>
      </c>
      <c r="I27" s="13">
        <f>F27/12*G27</f>
        <v>478.08916666666664</v>
      </c>
      <c r="J27" s="23"/>
    </row>
    <row r="28" spans="1:13" ht="15.75" customHeight="1">
      <c r="A28" s="29">
        <v>7</v>
      </c>
      <c r="B28" s="77" t="s">
        <v>23</v>
      </c>
      <c r="C28" s="70" t="s">
        <v>24</v>
      </c>
      <c r="D28" s="69" t="s">
        <v>91</v>
      </c>
      <c r="E28" s="71">
        <v>5816.5</v>
      </c>
      <c r="F28" s="72">
        <f>SUM(E28*12)</f>
        <v>69798</v>
      </c>
      <c r="G28" s="72">
        <v>4.72</v>
      </c>
      <c r="H28" s="73">
        <f>SUM(F28*G28/1000)</f>
        <v>329.44655999999998</v>
      </c>
      <c r="I28" s="13">
        <f>F28/12*G28</f>
        <v>27453.879999999997</v>
      </c>
      <c r="J28" s="23"/>
    </row>
    <row r="29" spans="1:13" ht="15.75" customHeight="1">
      <c r="A29" s="121" t="s">
        <v>90</v>
      </c>
      <c r="B29" s="121"/>
      <c r="C29" s="121"/>
      <c r="D29" s="121"/>
      <c r="E29" s="121"/>
      <c r="F29" s="121"/>
      <c r="G29" s="121"/>
      <c r="H29" s="121"/>
      <c r="I29" s="121"/>
      <c r="J29" s="22"/>
      <c r="K29" s="8"/>
      <c r="L29" s="8"/>
      <c r="M29" s="8"/>
    </row>
    <row r="30" spans="1:13" ht="15.75" hidden="1" customHeight="1">
      <c r="A30" s="29"/>
      <c r="B30" s="90" t="s">
        <v>28</v>
      </c>
      <c r="C30" s="70"/>
      <c r="D30" s="69"/>
      <c r="E30" s="71"/>
      <c r="F30" s="72"/>
      <c r="G30" s="72"/>
      <c r="H30" s="73"/>
      <c r="I30" s="13"/>
      <c r="J30" s="22"/>
      <c r="K30" s="8"/>
      <c r="L30" s="8"/>
      <c r="M30" s="8"/>
    </row>
    <row r="31" spans="1:13" ht="15.75" hidden="1" customHeight="1">
      <c r="A31" s="29">
        <v>7</v>
      </c>
      <c r="B31" s="69" t="s">
        <v>125</v>
      </c>
      <c r="C31" s="70" t="s">
        <v>126</v>
      </c>
      <c r="D31" s="69" t="s">
        <v>127</v>
      </c>
      <c r="E31" s="72">
        <v>357.22</v>
      </c>
      <c r="F31" s="72">
        <f>SUM(E31*52/1000)</f>
        <v>18.575440000000004</v>
      </c>
      <c r="G31" s="72">
        <v>166.65</v>
      </c>
      <c r="H31" s="73">
        <f t="shared" ref="H31:H38" si="1">SUM(F31*G31/1000)</f>
        <v>3.0955970760000011</v>
      </c>
      <c r="I31" s="13">
        <f>F31/6*G31</f>
        <v>515.93284600000015</v>
      </c>
      <c r="J31" s="22"/>
      <c r="K31" s="8"/>
      <c r="L31" s="8"/>
      <c r="M31" s="8"/>
    </row>
    <row r="32" spans="1:13" ht="31.5" hidden="1" customHeight="1">
      <c r="A32" s="29">
        <v>8</v>
      </c>
      <c r="B32" s="69" t="s">
        <v>191</v>
      </c>
      <c r="C32" s="70" t="s">
        <v>126</v>
      </c>
      <c r="D32" s="69" t="s">
        <v>128</v>
      </c>
      <c r="E32" s="72">
        <v>475.06</v>
      </c>
      <c r="F32" s="72">
        <f>SUM(E32*78/1000)</f>
        <v>37.054679999999998</v>
      </c>
      <c r="G32" s="72">
        <v>276.48</v>
      </c>
      <c r="H32" s="73">
        <f t="shared" si="1"/>
        <v>10.244877926400001</v>
      </c>
      <c r="I32" s="13">
        <f t="shared" ref="I32:I35" si="2">F32/6*G32</f>
        <v>1707.4796544000001</v>
      </c>
      <c r="J32" s="22"/>
      <c r="K32" s="8"/>
      <c r="L32" s="8"/>
      <c r="M32" s="8"/>
    </row>
    <row r="33" spans="1:14" ht="15.75" hidden="1" customHeight="1">
      <c r="A33" s="29">
        <v>16</v>
      </c>
      <c r="B33" s="69" t="s">
        <v>27</v>
      </c>
      <c r="C33" s="70" t="s">
        <v>126</v>
      </c>
      <c r="D33" s="69" t="s">
        <v>54</v>
      </c>
      <c r="E33" s="72">
        <v>357.22</v>
      </c>
      <c r="F33" s="72">
        <f>SUM(E33/1000)</f>
        <v>0.35722000000000004</v>
      </c>
      <c r="G33" s="72">
        <v>3228.73</v>
      </c>
      <c r="H33" s="73">
        <f t="shared" si="1"/>
        <v>1.1533669306000001</v>
      </c>
      <c r="I33" s="13">
        <f>F33*G33</f>
        <v>1153.3669306000002</v>
      </c>
      <c r="J33" s="22"/>
      <c r="K33" s="8"/>
      <c r="L33" s="8"/>
      <c r="M33" s="8"/>
    </row>
    <row r="34" spans="1:14" ht="15.75" hidden="1" customHeight="1">
      <c r="A34" s="29">
        <v>9</v>
      </c>
      <c r="B34" s="69" t="s">
        <v>157</v>
      </c>
      <c r="C34" s="70" t="s">
        <v>40</v>
      </c>
      <c r="D34" s="69" t="s">
        <v>158</v>
      </c>
      <c r="E34" s="72">
        <v>5</v>
      </c>
      <c r="F34" s="72">
        <f>E34*155/100</f>
        <v>7.75</v>
      </c>
      <c r="G34" s="72">
        <v>1391.86</v>
      </c>
      <c r="H34" s="73">
        <f>G34*F34/1000</f>
        <v>10.786914999999999</v>
      </c>
      <c r="I34" s="13">
        <f t="shared" si="2"/>
        <v>1797.8191666666667</v>
      </c>
      <c r="J34" s="22"/>
      <c r="K34" s="8"/>
      <c r="L34" s="8"/>
      <c r="M34" s="8"/>
    </row>
    <row r="35" spans="1:14" ht="15.75" hidden="1" customHeight="1">
      <c r="A35" s="29">
        <v>10</v>
      </c>
      <c r="B35" s="69" t="s">
        <v>129</v>
      </c>
      <c r="C35" s="70" t="s">
        <v>31</v>
      </c>
      <c r="D35" s="69" t="s">
        <v>65</v>
      </c>
      <c r="E35" s="76">
        <v>0.33333333333333331</v>
      </c>
      <c r="F35" s="72">
        <f>155/3</f>
        <v>51.666666666666664</v>
      </c>
      <c r="G35" s="72">
        <v>60.6</v>
      </c>
      <c r="H35" s="73">
        <f>SUM(G35*155/3/1000)</f>
        <v>3.1309999999999998</v>
      </c>
      <c r="I35" s="13">
        <f t="shared" si="2"/>
        <v>521.83333333333337</v>
      </c>
      <c r="J35" s="22"/>
      <c r="K35" s="8"/>
    </row>
    <row r="36" spans="1:14" ht="15.75" hidden="1" customHeight="1">
      <c r="A36" s="29"/>
      <c r="B36" s="69" t="s">
        <v>67</v>
      </c>
      <c r="C36" s="70" t="s">
        <v>34</v>
      </c>
      <c r="D36" s="69" t="s">
        <v>69</v>
      </c>
      <c r="E36" s="71"/>
      <c r="F36" s="72">
        <v>3</v>
      </c>
      <c r="G36" s="72">
        <v>204.52</v>
      </c>
      <c r="H36" s="73">
        <f t="shared" si="1"/>
        <v>0.61356000000000011</v>
      </c>
      <c r="I36" s="13">
        <v>0</v>
      </c>
      <c r="J36" s="23"/>
    </row>
    <row r="37" spans="1:14" ht="15.75" hidden="1" customHeight="1">
      <c r="A37" s="29"/>
      <c r="B37" s="69" t="s">
        <v>68</v>
      </c>
      <c r="C37" s="70" t="s">
        <v>33</v>
      </c>
      <c r="D37" s="69" t="s">
        <v>69</v>
      </c>
      <c r="E37" s="71"/>
      <c r="F37" s="72">
        <v>2</v>
      </c>
      <c r="G37" s="72">
        <v>1214.74</v>
      </c>
      <c r="H37" s="73">
        <f t="shared" si="1"/>
        <v>2.4294799999999999</v>
      </c>
      <c r="I37" s="13">
        <v>0</v>
      </c>
      <c r="J37" s="23"/>
    </row>
    <row r="38" spans="1:14" ht="15.75" hidden="1" customHeight="1">
      <c r="A38" s="29"/>
      <c r="B38" s="46" t="s">
        <v>159</v>
      </c>
      <c r="C38" s="65" t="s">
        <v>29</v>
      </c>
      <c r="D38" s="69"/>
      <c r="E38" s="71">
        <v>360.36</v>
      </c>
      <c r="F38" s="72">
        <f>E38*36/1000</f>
        <v>12.97296</v>
      </c>
      <c r="G38" s="72">
        <v>3228.73</v>
      </c>
      <c r="H38" s="73">
        <f t="shared" si="1"/>
        <v>41.886185140800002</v>
      </c>
      <c r="I38" s="13">
        <v>0</v>
      </c>
      <c r="J38" s="23"/>
    </row>
    <row r="39" spans="1:14" ht="15.75" customHeight="1">
      <c r="A39" s="29"/>
      <c r="B39" s="90" t="s">
        <v>5</v>
      </c>
      <c r="C39" s="70"/>
      <c r="D39" s="69"/>
      <c r="E39" s="71"/>
      <c r="F39" s="72"/>
      <c r="G39" s="72"/>
      <c r="H39" s="73" t="s">
        <v>143</v>
      </c>
      <c r="I39" s="13"/>
      <c r="J39" s="23"/>
    </row>
    <row r="40" spans="1:14" ht="15.75" customHeight="1">
      <c r="A40" s="29">
        <v>8</v>
      </c>
      <c r="B40" s="69" t="s">
        <v>26</v>
      </c>
      <c r="C40" s="70" t="s">
        <v>33</v>
      </c>
      <c r="D40" s="69"/>
      <c r="E40" s="71"/>
      <c r="F40" s="72">
        <v>10</v>
      </c>
      <c r="G40" s="72">
        <v>1632.6</v>
      </c>
      <c r="H40" s="73">
        <f t="shared" ref="H40:H46" si="3">SUM(F40*G40/1000)</f>
        <v>16.326000000000001</v>
      </c>
      <c r="I40" s="13">
        <f>F40/6*G40</f>
        <v>2721</v>
      </c>
      <c r="J40" s="23"/>
      <c r="L40" s="19"/>
      <c r="M40" s="20"/>
      <c r="N40" s="21"/>
    </row>
    <row r="41" spans="1:14" ht="15.75" customHeight="1">
      <c r="A41" s="29">
        <v>9</v>
      </c>
      <c r="B41" s="69" t="s">
        <v>70</v>
      </c>
      <c r="C41" s="70" t="s">
        <v>29</v>
      </c>
      <c r="D41" s="69" t="s">
        <v>130</v>
      </c>
      <c r="E41" s="72">
        <v>469.73</v>
      </c>
      <c r="F41" s="72">
        <f>SUM(E41*30/1000)</f>
        <v>14.091900000000001</v>
      </c>
      <c r="G41" s="72">
        <v>2247.8000000000002</v>
      </c>
      <c r="H41" s="73">
        <f t="shared" si="3"/>
        <v>31.675772820000006</v>
      </c>
      <c r="I41" s="13">
        <f>F41/6*G41</f>
        <v>5279.2954700000009</v>
      </c>
      <c r="J41" s="23"/>
      <c r="L41" s="19"/>
      <c r="M41" s="20"/>
      <c r="N41" s="21"/>
    </row>
    <row r="42" spans="1:14" ht="15.75" hidden="1" customHeight="1">
      <c r="A42" s="29"/>
      <c r="B42" s="69" t="s">
        <v>102</v>
      </c>
      <c r="C42" s="70" t="s">
        <v>147</v>
      </c>
      <c r="D42" s="69" t="s">
        <v>69</v>
      </c>
      <c r="E42" s="71"/>
      <c r="F42" s="72">
        <v>120</v>
      </c>
      <c r="G42" s="72">
        <v>213.2</v>
      </c>
      <c r="H42" s="73">
        <f t="shared" si="3"/>
        <v>25.584</v>
      </c>
      <c r="I42" s="13">
        <v>0</v>
      </c>
      <c r="J42" s="23"/>
      <c r="L42" s="19"/>
      <c r="M42" s="20"/>
      <c r="N42" s="21"/>
    </row>
    <row r="43" spans="1:14" ht="15.75" customHeight="1">
      <c r="A43" s="29">
        <v>10</v>
      </c>
      <c r="B43" s="69" t="s">
        <v>71</v>
      </c>
      <c r="C43" s="70" t="s">
        <v>29</v>
      </c>
      <c r="D43" s="69" t="s">
        <v>131</v>
      </c>
      <c r="E43" s="72">
        <v>475.06</v>
      </c>
      <c r="F43" s="72">
        <f>SUM(E43*155/1000)</f>
        <v>73.634299999999996</v>
      </c>
      <c r="G43" s="72">
        <v>374.95</v>
      </c>
      <c r="H43" s="73">
        <f t="shared" si="3"/>
        <v>27.609180784999996</v>
      </c>
      <c r="I43" s="13">
        <f>F43/6*G43</f>
        <v>4601.5301308333328</v>
      </c>
      <c r="J43" s="23"/>
      <c r="L43" s="19"/>
      <c r="M43" s="20"/>
      <c r="N43" s="21"/>
    </row>
    <row r="44" spans="1:14" ht="47.25" customHeight="1">
      <c r="A44" s="29">
        <v>11</v>
      </c>
      <c r="B44" s="69" t="s">
        <v>87</v>
      </c>
      <c r="C44" s="70" t="s">
        <v>126</v>
      </c>
      <c r="D44" s="69" t="s">
        <v>148</v>
      </c>
      <c r="E44" s="72">
        <v>40.6</v>
      </c>
      <c r="F44" s="72">
        <f>SUM(E44*35/1000)</f>
        <v>1.421</v>
      </c>
      <c r="G44" s="72">
        <v>6203.7</v>
      </c>
      <c r="H44" s="73">
        <f t="shared" si="3"/>
        <v>8.8154577000000014</v>
      </c>
      <c r="I44" s="13">
        <f>F44/6*G44</f>
        <v>1469.2429500000001</v>
      </c>
      <c r="J44" s="23"/>
      <c r="L44" s="19"/>
      <c r="M44" s="20"/>
      <c r="N44" s="21"/>
    </row>
    <row r="45" spans="1:14" ht="15.75" hidden="1" customHeight="1">
      <c r="A45" s="29">
        <v>12</v>
      </c>
      <c r="B45" s="69" t="s">
        <v>132</v>
      </c>
      <c r="C45" s="70" t="s">
        <v>126</v>
      </c>
      <c r="D45" s="69" t="s">
        <v>72</v>
      </c>
      <c r="E45" s="72">
        <v>167.03</v>
      </c>
      <c r="F45" s="72">
        <f>SUM(E45*45/1000)</f>
        <v>7.5163500000000001</v>
      </c>
      <c r="G45" s="72">
        <v>458.28</v>
      </c>
      <c r="H45" s="73">
        <f t="shared" si="3"/>
        <v>3.4445928779999999</v>
      </c>
      <c r="I45" s="13">
        <f>F45/6*G45</f>
        <v>574.09881299999995</v>
      </c>
      <c r="J45" s="23"/>
      <c r="L45" s="19"/>
      <c r="M45" s="20"/>
      <c r="N45" s="21"/>
    </row>
    <row r="46" spans="1:14" ht="15.75" customHeight="1">
      <c r="A46" s="29">
        <v>12</v>
      </c>
      <c r="B46" s="69" t="s">
        <v>73</v>
      </c>
      <c r="C46" s="70" t="s">
        <v>34</v>
      </c>
      <c r="D46" s="69"/>
      <c r="E46" s="71"/>
      <c r="F46" s="72">
        <v>1.2</v>
      </c>
      <c r="G46" s="72">
        <v>853.06</v>
      </c>
      <c r="H46" s="73">
        <f t="shared" si="3"/>
        <v>1.0236719999999999</v>
      </c>
      <c r="I46" s="13">
        <f>F46/6*G46</f>
        <v>170.61199999999997</v>
      </c>
      <c r="J46" s="23"/>
      <c r="L46" s="19"/>
      <c r="M46" s="20"/>
      <c r="N46" s="21"/>
    </row>
    <row r="47" spans="1:14" ht="15.75" customHeight="1">
      <c r="A47" s="122" t="s">
        <v>153</v>
      </c>
      <c r="B47" s="123"/>
      <c r="C47" s="123"/>
      <c r="D47" s="123"/>
      <c r="E47" s="123"/>
      <c r="F47" s="123"/>
      <c r="G47" s="123"/>
      <c r="H47" s="123"/>
      <c r="I47" s="124"/>
      <c r="J47" s="23"/>
      <c r="L47" s="19"/>
      <c r="M47" s="20"/>
      <c r="N47" s="21"/>
    </row>
    <row r="48" spans="1:14" ht="15.75" hidden="1" customHeight="1">
      <c r="A48" s="29"/>
      <c r="B48" s="69" t="s">
        <v>133</v>
      </c>
      <c r="C48" s="70" t="s">
        <v>126</v>
      </c>
      <c r="D48" s="69" t="s">
        <v>42</v>
      </c>
      <c r="E48" s="71">
        <v>1603.6</v>
      </c>
      <c r="F48" s="72">
        <f>SUM(E48*2/1000)</f>
        <v>3.2071999999999998</v>
      </c>
      <c r="G48" s="13">
        <v>908.11</v>
      </c>
      <c r="H48" s="73">
        <f t="shared" ref="H48:H56" si="4">SUM(F48*G48/1000)</f>
        <v>2.9124903919999996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9" t="s">
        <v>35</v>
      </c>
      <c r="C49" s="70" t="s">
        <v>126</v>
      </c>
      <c r="D49" s="69" t="s">
        <v>42</v>
      </c>
      <c r="E49" s="71">
        <v>65</v>
      </c>
      <c r="F49" s="72">
        <f>SUM(E49*2/1000)</f>
        <v>0.13</v>
      </c>
      <c r="G49" s="13">
        <v>619.46</v>
      </c>
      <c r="H49" s="73">
        <f t="shared" si="4"/>
        <v>8.0529800000000012E-2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9" t="s">
        <v>36</v>
      </c>
      <c r="C50" s="70" t="s">
        <v>126</v>
      </c>
      <c r="D50" s="69" t="s">
        <v>42</v>
      </c>
      <c r="E50" s="71">
        <v>1825.8</v>
      </c>
      <c r="F50" s="72">
        <f>SUM(E50*2/1000)</f>
        <v>3.6515999999999997</v>
      </c>
      <c r="G50" s="13">
        <v>619.46</v>
      </c>
      <c r="H50" s="73">
        <f t="shared" si="4"/>
        <v>2.2620201360000003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69" t="s">
        <v>37</v>
      </c>
      <c r="C51" s="70" t="s">
        <v>126</v>
      </c>
      <c r="D51" s="69" t="s">
        <v>42</v>
      </c>
      <c r="E51" s="71">
        <v>3163.96</v>
      </c>
      <c r="F51" s="72">
        <f>SUM(E51*2/1000)</f>
        <v>6.3279199999999998</v>
      </c>
      <c r="G51" s="13">
        <v>648.64</v>
      </c>
      <c r="H51" s="73">
        <f t="shared" si="4"/>
        <v>4.1045420287999992</v>
      </c>
      <c r="I51" s="13">
        <v>0</v>
      </c>
      <c r="J51" s="23"/>
      <c r="L51" s="19"/>
      <c r="M51" s="20"/>
      <c r="N51" s="21"/>
    </row>
    <row r="52" spans="1:22" ht="15.75" customHeight="1">
      <c r="A52" s="29">
        <v>13</v>
      </c>
      <c r="B52" s="69" t="s">
        <v>58</v>
      </c>
      <c r="C52" s="70" t="s">
        <v>126</v>
      </c>
      <c r="D52" s="69" t="s">
        <v>192</v>
      </c>
      <c r="E52" s="71">
        <v>1583</v>
      </c>
      <c r="F52" s="72">
        <f>SUM(E52*5/1000)</f>
        <v>7.915</v>
      </c>
      <c r="G52" s="13">
        <v>1297.28</v>
      </c>
      <c r="H52" s="73">
        <f t="shared" si="4"/>
        <v>10.2679712</v>
      </c>
      <c r="I52" s="13">
        <f>F52/5*G52</f>
        <v>2053.5942399999999</v>
      </c>
      <c r="J52" s="23"/>
      <c r="L52" s="19"/>
      <c r="M52" s="20"/>
      <c r="N52" s="21"/>
    </row>
    <row r="53" spans="1:22" ht="31.5" hidden="1" customHeight="1">
      <c r="A53" s="29"/>
      <c r="B53" s="69" t="s">
        <v>134</v>
      </c>
      <c r="C53" s="70" t="s">
        <v>126</v>
      </c>
      <c r="D53" s="69" t="s">
        <v>42</v>
      </c>
      <c r="E53" s="71">
        <v>1583</v>
      </c>
      <c r="F53" s="72">
        <f>SUM(E53*2/1000)</f>
        <v>3.1659999999999999</v>
      </c>
      <c r="G53" s="13">
        <v>1297.28</v>
      </c>
      <c r="H53" s="73">
        <f t="shared" si="4"/>
        <v>4.1071884799999996</v>
      </c>
      <c r="I53" s="13">
        <v>0</v>
      </c>
      <c r="J53" s="23"/>
      <c r="L53" s="19"/>
      <c r="M53" s="20"/>
      <c r="N53" s="21"/>
    </row>
    <row r="54" spans="1:22" ht="31.5" hidden="1" customHeight="1">
      <c r="A54" s="29"/>
      <c r="B54" s="69" t="s">
        <v>135</v>
      </c>
      <c r="C54" s="70" t="s">
        <v>38</v>
      </c>
      <c r="D54" s="69" t="s">
        <v>42</v>
      </c>
      <c r="E54" s="71">
        <v>25</v>
      </c>
      <c r="F54" s="72">
        <f>SUM(E54*2/100)</f>
        <v>0.5</v>
      </c>
      <c r="G54" s="13">
        <v>2918.89</v>
      </c>
      <c r="H54" s="73">
        <f t="shared" si="4"/>
        <v>1.4594449999999999</v>
      </c>
      <c r="I54" s="13">
        <v>0</v>
      </c>
      <c r="J54" s="23"/>
      <c r="L54" s="19"/>
      <c r="M54" s="20"/>
      <c r="N54" s="21"/>
    </row>
    <row r="55" spans="1:22" ht="15.75" hidden="1" customHeight="1">
      <c r="A55" s="29"/>
      <c r="B55" s="69" t="s">
        <v>39</v>
      </c>
      <c r="C55" s="70" t="s">
        <v>40</v>
      </c>
      <c r="D55" s="69" t="s">
        <v>42</v>
      </c>
      <c r="E55" s="71">
        <v>1</v>
      </c>
      <c r="F55" s="72">
        <v>0.02</v>
      </c>
      <c r="G55" s="13">
        <v>6042.12</v>
      </c>
      <c r="H55" s="73">
        <f t="shared" si="4"/>
        <v>0.1208424</v>
      </c>
      <c r="I55" s="13">
        <v>0</v>
      </c>
      <c r="J55" s="23"/>
      <c r="L55" s="19"/>
      <c r="M55" s="20"/>
      <c r="N55" s="21"/>
    </row>
    <row r="56" spans="1:22" ht="15.75" customHeight="1">
      <c r="A56" s="29">
        <v>14</v>
      </c>
      <c r="B56" s="69" t="s">
        <v>41</v>
      </c>
      <c r="C56" s="70" t="s">
        <v>31</v>
      </c>
      <c r="D56" s="69" t="s">
        <v>74</v>
      </c>
      <c r="E56" s="71">
        <v>36</v>
      </c>
      <c r="F56" s="72">
        <f>SUM(E56)*3</f>
        <v>108</v>
      </c>
      <c r="G56" s="13">
        <v>70.209999999999994</v>
      </c>
      <c r="H56" s="73">
        <f t="shared" si="4"/>
        <v>7.582679999999999</v>
      </c>
      <c r="I56" s="13">
        <f>E56*G56</f>
        <v>2527.56</v>
      </c>
      <c r="J56" s="23"/>
      <c r="L56" s="19"/>
      <c r="M56" s="20"/>
      <c r="N56" s="21"/>
    </row>
    <row r="57" spans="1:22" ht="15.75" customHeight="1">
      <c r="A57" s="122" t="s">
        <v>154</v>
      </c>
      <c r="B57" s="123"/>
      <c r="C57" s="123"/>
      <c r="D57" s="123"/>
      <c r="E57" s="123"/>
      <c r="F57" s="123"/>
      <c r="G57" s="123"/>
      <c r="H57" s="123"/>
      <c r="I57" s="124"/>
      <c r="J57" s="23"/>
      <c r="L57" s="19"/>
      <c r="M57" s="20"/>
      <c r="N57" s="21"/>
    </row>
    <row r="58" spans="1:22" ht="15.75" customHeight="1">
      <c r="A58" s="29"/>
      <c r="B58" s="90" t="s">
        <v>43</v>
      </c>
      <c r="C58" s="70"/>
      <c r="D58" s="69"/>
      <c r="E58" s="71"/>
      <c r="F58" s="72"/>
      <c r="G58" s="72"/>
      <c r="H58" s="73"/>
      <c r="I58" s="13"/>
      <c r="J58" s="23"/>
      <c r="L58" s="19"/>
      <c r="M58" s="20"/>
      <c r="N58" s="21"/>
    </row>
    <row r="59" spans="1:22" ht="31.5" customHeight="1">
      <c r="A59" s="29">
        <v>15</v>
      </c>
      <c r="B59" s="69" t="s">
        <v>149</v>
      </c>
      <c r="C59" s="70" t="s">
        <v>115</v>
      </c>
      <c r="D59" s="69" t="s">
        <v>75</v>
      </c>
      <c r="E59" s="78">
        <v>3.78</v>
      </c>
      <c r="F59" s="13">
        <f>E59*6/100</f>
        <v>0.2268</v>
      </c>
      <c r="G59" s="72">
        <v>1654.04</v>
      </c>
      <c r="H59" s="73">
        <f>SUM(F59*G59/1000)</f>
        <v>0.37513627199999999</v>
      </c>
      <c r="I59" s="13">
        <f>F59/6*G59</f>
        <v>62.522711999999999</v>
      </c>
      <c r="J59" s="23"/>
      <c r="L59" s="19"/>
      <c r="M59" s="20"/>
      <c r="N59" s="21"/>
    </row>
    <row r="60" spans="1:22" ht="31.5" customHeight="1">
      <c r="A60" s="29">
        <v>16</v>
      </c>
      <c r="B60" s="69" t="s">
        <v>137</v>
      </c>
      <c r="C60" s="70" t="s">
        <v>115</v>
      </c>
      <c r="D60" s="69" t="s">
        <v>75</v>
      </c>
      <c r="E60" s="71">
        <v>185.36</v>
      </c>
      <c r="F60" s="72">
        <f>E60*6/100</f>
        <v>11.121600000000001</v>
      </c>
      <c r="G60" s="79">
        <v>1654.04</v>
      </c>
      <c r="H60" s="73">
        <f>F60*G60/1000</f>
        <v>18.395571264000001</v>
      </c>
      <c r="I60" s="13">
        <f>F60/6*G60</f>
        <v>3065.9285440000003</v>
      </c>
      <c r="J60" s="23"/>
      <c r="L60" s="19"/>
    </row>
    <row r="61" spans="1:22" ht="15.75" hidden="1" customHeight="1">
      <c r="A61" s="29"/>
      <c r="B61" s="80" t="s">
        <v>108</v>
      </c>
      <c r="C61" s="70" t="s">
        <v>109</v>
      </c>
      <c r="D61" s="80" t="s">
        <v>42</v>
      </c>
      <c r="E61" s="81">
        <v>5</v>
      </c>
      <c r="F61" s="82">
        <v>10</v>
      </c>
      <c r="G61" s="79">
        <v>198.25</v>
      </c>
      <c r="H61" s="83">
        <v>0.99099999999999999</v>
      </c>
      <c r="I61" s="13">
        <v>0</v>
      </c>
      <c r="J61" s="23"/>
      <c r="L61" s="19"/>
    </row>
    <row r="62" spans="1:22" ht="15.75" customHeight="1">
      <c r="A62" s="29"/>
      <c r="B62" s="91" t="s">
        <v>44</v>
      </c>
      <c r="C62" s="84"/>
      <c r="D62" s="80"/>
      <c r="E62" s="81"/>
      <c r="F62" s="82"/>
      <c r="G62" s="85"/>
      <c r="H62" s="83"/>
      <c r="I62" s="13"/>
    </row>
    <row r="63" spans="1:22" ht="15.75" hidden="1" customHeight="1">
      <c r="A63" s="29"/>
      <c r="B63" s="80" t="s">
        <v>45</v>
      </c>
      <c r="C63" s="84" t="s">
        <v>53</v>
      </c>
      <c r="D63" s="80" t="s">
        <v>54</v>
      </c>
      <c r="E63" s="81">
        <v>1752</v>
      </c>
      <c r="F63" s="82">
        <f>E63/100</f>
        <v>17.52</v>
      </c>
      <c r="G63" s="72">
        <v>848.37</v>
      </c>
      <c r="H63" s="83">
        <f>G63*F63/1000</f>
        <v>14.8634424</v>
      </c>
      <c r="I63" s="13">
        <v>0</v>
      </c>
    </row>
    <row r="64" spans="1:22" ht="15.75" customHeight="1">
      <c r="A64" s="29">
        <v>17</v>
      </c>
      <c r="B64" s="80" t="s">
        <v>103</v>
      </c>
      <c r="C64" s="84" t="s">
        <v>25</v>
      </c>
      <c r="D64" s="80" t="s">
        <v>160</v>
      </c>
      <c r="E64" s="81">
        <v>352</v>
      </c>
      <c r="F64" s="82">
        <f>E64*12</f>
        <v>4224</v>
      </c>
      <c r="G64" s="72">
        <v>2.6</v>
      </c>
      <c r="H64" s="83">
        <f>G64*F64/1000</f>
        <v>10.9824</v>
      </c>
      <c r="I64" s="13">
        <f>F64/12*G64</f>
        <v>915.2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29"/>
      <c r="B65" s="91" t="s">
        <v>46</v>
      </c>
      <c r="C65" s="84"/>
      <c r="D65" s="80"/>
      <c r="E65" s="81"/>
      <c r="F65" s="82"/>
      <c r="G65" s="92"/>
      <c r="H65" s="83" t="s">
        <v>143</v>
      </c>
      <c r="I65" s="13"/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29">
        <v>18</v>
      </c>
      <c r="B66" s="14" t="s">
        <v>47</v>
      </c>
      <c r="C66" s="16" t="s">
        <v>136</v>
      </c>
      <c r="D66" s="14" t="s">
        <v>69</v>
      </c>
      <c r="E66" s="18">
        <v>10</v>
      </c>
      <c r="F66" s="72">
        <v>10</v>
      </c>
      <c r="G66" s="13">
        <v>237.74</v>
      </c>
      <c r="H66" s="66">
        <f t="shared" ref="H66:H80" si="5">SUM(F66*G66/1000)</f>
        <v>2.3774000000000002</v>
      </c>
      <c r="I66" s="13">
        <f>G66</f>
        <v>237.74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48</v>
      </c>
      <c r="C67" s="16" t="s">
        <v>136</v>
      </c>
      <c r="D67" s="14" t="s">
        <v>69</v>
      </c>
      <c r="E67" s="18">
        <v>5</v>
      </c>
      <c r="F67" s="72">
        <v>5</v>
      </c>
      <c r="G67" s="13">
        <v>81.510000000000005</v>
      </c>
      <c r="H67" s="66">
        <f t="shared" si="5"/>
        <v>0.40755000000000002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10"/>
      <c r="S67" s="110"/>
      <c r="T67" s="110"/>
      <c r="U67" s="110"/>
    </row>
    <row r="68" spans="1:21" ht="15.75" hidden="1" customHeight="1">
      <c r="A68" s="29"/>
      <c r="B68" s="14" t="s">
        <v>49</v>
      </c>
      <c r="C68" s="16" t="s">
        <v>138</v>
      </c>
      <c r="D68" s="14" t="s">
        <v>54</v>
      </c>
      <c r="E68" s="71">
        <v>23808</v>
      </c>
      <c r="F68" s="13">
        <f>SUM(E68/100)</f>
        <v>238.08</v>
      </c>
      <c r="G68" s="13">
        <v>226.79</v>
      </c>
      <c r="H68" s="66">
        <f t="shared" si="5"/>
        <v>53.994163200000003</v>
      </c>
      <c r="I68" s="13">
        <f>F68*G68</f>
        <v>53994.163200000003</v>
      </c>
    </row>
    <row r="69" spans="1:21" ht="15.75" hidden="1" customHeight="1">
      <c r="A69" s="29"/>
      <c r="B69" s="14" t="s">
        <v>50</v>
      </c>
      <c r="C69" s="16" t="s">
        <v>139</v>
      </c>
      <c r="D69" s="14"/>
      <c r="E69" s="71">
        <v>23808</v>
      </c>
      <c r="F69" s="13">
        <f>SUM(E69/1000)</f>
        <v>23.808</v>
      </c>
      <c r="G69" s="13">
        <v>176.61</v>
      </c>
      <c r="H69" s="66">
        <f t="shared" si="5"/>
        <v>4.2047308800000005</v>
      </c>
      <c r="I69" s="13">
        <f t="shared" ref="I69:I73" si="6">F69*G69</f>
        <v>4204.7308800000001</v>
      </c>
    </row>
    <row r="70" spans="1:21" ht="15.75" hidden="1" customHeight="1">
      <c r="A70" s="29"/>
      <c r="B70" s="14" t="s">
        <v>51</v>
      </c>
      <c r="C70" s="16" t="s">
        <v>80</v>
      </c>
      <c r="D70" s="14" t="s">
        <v>54</v>
      </c>
      <c r="E70" s="71">
        <v>3810</v>
      </c>
      <c r="F70" s="13">
        <f>SUM(E70/100)</f>
        <v>38.1</v>
      </c>
      <c r="G70" s="13">
        <v>2217.7800000000002</v>
      </c>
      <c r="H70" s="66">
        <f t="shared" si="5"/>
        <v>84.49741800000001</v>
      </c>
      <c r="I70" s="13">
        <f t="shared" si="6"/>
        <v>84497.418000000005</v>
      </c>
    </row>
    <row r="71" spans="1:21" ht="15.75" hidden="1" customHeight="1">
      <c r="A71" s="29"/>
      <c r="B71" s="86" t="s">
        <v>140</v>
      </c>
      <c r="C71" s="16" t="s">
        <v>34</v>
      </c>
      <c r="D71" s="14"/>
      <c r="E71" s="71">
        <v>23.4</v>
      </c>
      <c r="F71" s="13">
        <f>SUM(E71)</f>
        <v>23.4</v>
      </c>
      <c r="G71" s="13">
        <v>42.67</v>
      </c>
      <c r="H71" s="66">
        <f t="shared" si="5"/>
        <v>0.99847799999999998</v>
      </c>
      <c r="I71" s="13">
        <f t="shared" si="6"/>
        <v>998.47799999999995</v>
      </c>
    </row>
    <row r="72" spans="1:21" ht="15.75" hidden="1" customHeight="1">
      <c r="A72" s="29"/>
      <c r="B72" s="86" t="s">
        <v>150</v>
      </c>
      <c r="C72" s="16" t="s">
        <v>34</v>
      </c>
      <c r="D72" s="14"/>
      <c r="E72" s="71">
        <v>23.4</v>
      </c>
      <c r="F72" s="13">
        <f>SUM(E72)</f>
        <v>23.4</v>
      </c>
      <c r="G72" s="13">
        <v>39.81</v>
      </c>
      <c r="H72" s="66">
        <f t="shared" si="5"/>
        <v>0.93155399999999999</v>
      </c>
      <c r="I72" s="13">
        <f t="shared" si="6"/>
        <v>931.55399999999997</v>
      </c>
    </row>
    <row r="73" spans="1:21" ht="15.75" hidden="1" customHeight="1">
      <c r="A73" s="29"/>
      <c r="B73" s="14" t="s">
        <v>59</v>
      </c>
      <c r="C73" s="16" t="s">
        <v>60</v>
      </c>
      <c r="D73" s="14" t="s">
        <v>54</v>
      </c>
      <c r="E73" s="18">
        <v>5</v>
      </c>
      <c r="F73" s="72">
        <f>SUM(E73)</f>
        <v>5</v>
      </c>
      <c r="G73" s="13">
        <v>53.32</v>
      </c>
      <c r="H73" s="66">
        <f t="shared" si="5"/>
        <v>0.2666</v>
      </c>
      <c r="I73" s="13">
        <f t="shared" si="6"/>
        <v>266.60000000000002</v>
      </c>
    </row>
    <row r="74" spans="1:21" ht="15.75" customHeight="1">
      <c r="A74" s="29">
        <v>19</v>
      </c>
      <c r="B74" s="14" t="s">
        <v>151</v>
      </c>
      <c r="C74" s="16" t="s">
        <v>60</v>
      </c>
      <c r="D74" s="14" t="s">
        <v>30</v>
      </c>
      <c r="E74" s="18">
        <v>1</v>
      </c>
      <c r="F74" s="59">
        <v>12</v>
      </c>
      <c r="G74" s="13">
        <v>711</v>
      </c>
      <c r="H74" s="66">
        <v>8.5310000000000006</v>
      </c>
      <c r="I74" s="13">
        <f>F74/12*G74</f>
        <v>711</v>
      </c>
    </row>
    <row r="75" spans="1:21" ht="15.75" customHeight="1">
      <c r="A75" s="29"/>
      <c r="B75" s="54" t="s">
        <v>76</v>
      </c>
      <c r="C75" s="16"/>
      <c r="D75" s="14"/>
      <c r="E75" s="18"/>
      <c r="F75" s="13"/>
      <c r="G75" s="13"/>
      <c r="H75" s="66" t="s">
        <v>143</v>
      </c>
      <c r="I75" s="13"/>
    </row>
    <row r="76" spans="1:21" ht="15.75" hidden="1" customHeight="1">
      <c r="A76" s="29"/>
      <c r="B76" s="14" t="s">
        <v>77</v>
      </c>
      <c r="C76" s="16" t="s">
        <v>32</v>
      </c>
      <c r="D76" s="14" t="s">
        <v>69</v>
      </c>
      <c r="E76" s="18">
        <v>2</v>
      </c>
      <c r="F76" s="59">
        <v>0.2</v>
      </c>
      <c r="G76" s="13">
        <v>536.23</v>
      </c>
      <c r="H76" s="66">
        <v>0.107</v>
      </c>
      <c r="I76" s="13">
        <v>0</v>
      </c>
    </row>
    <row r="77" spans="1:21" ht="15.75" customHeight="1">
      <c r="A77" s="29">
        <v>20</v>
      </c>
      <c r="B77" s="14" t="s">
        <v>94</v>
      </c>
      <c r="C77" s="16" t="s">
        <v>31</v>
      </c>
      <c r="D77" s="14"/>
      <c r="E77" s="18">
        <v>1</v>
      </c>
      <c r="F77" s="72">
        <f>SUM(E77)</f>
        <v>1</v>
      </c>
      <c r="G77" s="13">
        <v>383.25</v>
      </c>
      <c r="H77" s="66">
        <f t="shared" si="5"/>
        <v>0.38324999999999998</v>
      </c>
      <c r="I77" s="13">
        <f>G77</f>
        <v>383.25</v>
      </c>
    </row>
    <row r="78" spans="1:21" ht="15.75" hidden="1" customHeight="1">
      <c r="A78" s="29"/>
      <c r="B78" s="14" t="s">
        <v>78</v>
      </c>
      <c r="C78" s="16" t="s">
        <v>31</v>
      </c>
      <c r="D78" s="14"/>
      <c r="E78" s="18">
        <v>1</v>
      </c>
      <c r="F78" s="13">
        <v>1</v>
      </c>
      <c r="G78" s="13">
        <v>911.85</v>
      </c>
      <c r="H78" s="66">
        <f>F78*G78/1000</f>
        <v>0.91185000000000005</v>
      </c>
      <c r="I78" s="13">
        <v>0</v>
      </c>
    </row>
    <row r="79" spans="1:21" ht="15.75" hidden="1" customHeight="1">
      <c r="A79" s="29"/>
      <c r="B79" s="87" t="s">
        <v>79</v>
      </c>
      <c r="C79" s="16"/>
      <c r="D79" s="14"/>
      <c r="E79" s="18"/>
      <c r="F79" s="13"/>
      <c r="G79" s="13" t="s">
        <v>143</v>
      </c>
      <c r="H79" s="66" t="s">
        <v>143</v>
      </c>
      <c r="I79" s="13"/>
    </row>
    <row r="80" spans="1:21" ht="15.75" hidden="1" customHeight="1">
      <c r="A80" s="29"/>
      <c r="B80" s="42" t="s">
        <v>144</v>
      </c>
      <c r="C80" s="16" t="s">
        <v>80</v>
      </c>
      <c r="D80" s="14"/>
      <c r="E80" s="18"/>
      <c r="F80" s="13">
        <v>0.6</v>
      </c>
      <c r="G80" s="13">
        <v>2949.85</v>
      </c>
      <c r="H80" s="66">
        <f t="shared" si="5"/>
        <v>1.7699099999999999</v>
      </c>
      <c r="I80" s="13">
        <v>0</v>
      </c>
      <c r="J80" s="5"/>
      <c r="K80" s="5"/>
      <c r="L80" s="5"/>
      <c r="M80" s="5"/>
      <c r="N80" s="5"/>
      <c r="O80" s="5"/>
      <c r="P80" s="5"/>
      <c r="Q80" s="5"/>
      <c r="R80" s="53"/>
      <c r="S80" s="53"/>
      <c r="T80" s="53"/>
      <c r="U80" s="53"/>
    </row>
    <row r="81" spans="1:21" ht="15.75" hidden="1" customHeight="1">
      <c r="A81" s="43"/>
      <c r="B81" s="54" t="s">
        <v>141</v>
      </c>
      <c r="C81" s="54"/>
      <c r="D81" s="54"/>
      <c r="E81" s="54"/>
      <c r="F81" s="54"/>
      <c r="G81" s="54"/>
      <c r="H81" s="54"/>
      <c r="I81" s="18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29"/>
      <c r="B82" s="69" t="s">
        <v>142</v>
      </c>
      <c r="C82" s="16"/>
      <c r="D82" s="14"/>
      <c r="E82" s="60"/>
      <c r="F82" s="13">
        <v>1</v>
      </c>
      <c r="G82" s="13">
        <v>21062.799999999999</v>
      </c>
      <c r="H82" s="66">
        <f>G82*F82/1000</f>
        <v>21.062799999999999</v>
      </c>
      <c r="I82" s="13">
        <v>0</v>
      </c>
      <c r="J82" s="5"/>
      <c r="K82" s="5"/>
      <c r="L82" s="5"/>
      <c r="M82" s="5"/>
      <c r="N82" s="5"/>
      <c r="O82" s="5"/>
      <c r="P82" s="5"/>
      <c r="Q82" s="5"/>
      <c r="R82" s="53"/>
      <c r="S82" s="53"/>
      <c r="T82" s="53"/>
      <c r="U82" s="53"/>
    </row>
    <row r="83" spans="1:21" ht="15.75" customHeight="1">
      <c r="A83" s="111" t="s">
        <v>155</v>
      </c>
      <c r="B83" s="112"/>
      <c r="C83" s="112"/>
      <c r="D83" s="112"/>
      <c r="E83" s="112"/>
      <c r="F83" s="112"/>
      <c r="G83" s="112"/>
      <c r="H83" s="112"/>
      <c r="I83" s="113"/>
    </row>
    <row r="84" spans="1:21" ht="15.75" customHeight="1">
      <c r="A84" s="29">
        <v>21</v>
      </c>
      <c r="B84" s="69" t="s">
        <v>145</v>
      </c>
      <c r="C84" s="16" t="s">
        <v>56</v>
      </c>
      <c r="D84" s="88" t="s">
        <v>57</v>
      </c>
      <c r="E84" s="13">
        <v>5816.5</v>
      </c>
      <c r="F84" s="13">
        <f>SUM(E84*12)</f>
        <v>69798</v>
      </c>
      <c r="G84" s="13">
        <v>2.54</v>
      </c>
      <c r="H84" s="66">
        <f>SUM(F84*G84/1000)</f>
        <v>177.28692000000001</v>
      </c>
      <c r="I84" s="13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53"/>
      <c r="S84" s="53"/>
      <c r="T84" s="53"/>
      <c r="U84" s="53"/>
    </row>
    <row r="85" spans="1:21" ht="31.5" customHeight="1">
      <c r="A85" s="29">
        <v>22</v>
      </c>
      <c r="B85" s="14" t="s">
        <v>81</v>
      </c>
      <c r="C85" s="16"/>
      <c r="D85" s="88" t="s">
        <v>57</v>
      </c>
      <c r="E85" s="71">
        <f>E84</f>
        <v>5816.5</v>
      </c>
      <c r="F85" s="13">
        <f>E85*12</f>
        <v>69798</v>
      </c>
      <c r="G85" s="13">
        <v>2.0499999999999998</v>
      </c>
      <c r="H85" s="66">
        <f>F85*G85/1000</f>
        <v>143.08589999999998</v>
      </c>
      <c r="I85" s="13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53"/>
      <c r="S85" s="53"/>
      <c r="T85" s="53"/>
      <c r="U85" s="53"/>
    </row>
    <row r="86" spans="1:21" ht="15.75" customHeight="1">
      <c r="A86" s="43"/>
      <c r="B86" s="34" t="s">
        <v>84</v>
      </c>
      <c r="C86" s="35"/>
      <c r="D86" s="15"/>
      <c r="E86" s="15"/>
      <c r="F86" s="15"/>
      <c r="G86" s="18"/>
      <c r="H86" s="18"/>
      <c r="I86" s="31">
        <f>I16+I17+I18+I20+I21+I27+I28+I40+I41+I43+I44+I46+I52+I56+I59+I60+I64+I66+I74+I77+I84+I85</f>
        <v>104137.23368083332</v>
      </c>
    </row>
    <row r="87" spans="1:21" ht="15.75" customHeight="1">
      <c r="A87" s="125" t="s">
        <v>62</v>
      </c>
      <c r="B87" s="126"/>
      <c r="C87" s="126"/>
      <c r="D87" s="126"/>
      <c r="E87" s="126"/>
      <c r="F87" s="126"/>
      <c r="G87" s="126"/>
      <c r="H87" s="126"/>
      <c r="I87" s="127"/>
    </row>
    <row r="88" spans="1:21" ht="31.5" customHeight="1">
      <c r="A88" s="29">
        <v>23</v>
      </c>
      <c r="B88" s="46" t="s">
        <v>205</v>
      </c>
      <c r="C88" s="65" t="s">
        <v>85</v>
      </c>
      <c r="D88" s="42"/>
      <c r="E88" s="13"/>
      <c r="F88" s="13">
        <v>1.5</v>
      </c>
      <c r="G88" s="13">
        <v>1183.51</v>
      </c>
      <c r="H88" s="66">
        <f t="shared" ref="H88:H93" si="7">G88*F88/1000</f>
        <v>1.7752649999999999</v>
      </c>
      <c r="I88" s="13">
        <f>G88*1.5</f>
        <v>1775.2649999999999</v>
      </c>
      <c r="J88" s="5"/>
      <c r="K88" s="5"/>
      <c r="L88" s="5"/>
      <c r="M88" s="5"/>
      <c r="N88" s="5"/>
      <c r="O88" s="5"/>
      <c r="P88" s="5"/>
      <c r="Q88" s="5"/>
      <c r="R88" s="53"/>
      <c r="S88" s="53"/>
      <c r="T88" s="53"/>
      <c r="U88" s="53"/>
    </row>
    <row r="89" spans="1:21" ht="31.5" customHeight="1">
      <c r="A89" s="29">
        <v>24</v>
      </c>
      <c r="B89" s="46" t="s">
        <v>206</v>
      </c>
      <c r="C89" s="65" t="s">
        <v>85</v>
      </c>
      <c r="D89" s="42"/>
      <c r="E89" s="13"/>
      <c r="F89" s="13">
        <v>1.5</v>
      </c>
      <c r="G89" s="13">
        <v>897.94</v>
      </c>
      <c r="H89" s="66">
        <f t="shared" si="7"/>
        <v>1.3469100000000001</v>
      </c>
      <c r="I89" s="13">
        <f>G89*1.5</f>
        <v>1346.91</v>
      </c>
      <c r="J89" s="5"/>
      <c r="K89" s="5"/>
      <c r="L89" s="5"/>
      <c r="M89" s="5"/>
      <c r="N89" s="5"/>
      <c r="O89" s="5"/>
      <c r="P89" s="5"/>
      <c r="Q89" s="5"/>
      <c r="R89" s="53"/>
      <c r="S89" s="53"/>
      <c r="T89" s="53"/>
      <c r="U89" s="53"/>
    </row>
    <row r="90" spans="1:21" ht="15.75" customHeight="1">
      <c r="A90" s="29">
        <v>25</v>
      </c>
      <c r="B90" s="46" t="s">
        <v>86</v>
      </c>
      <c r="C90" s="65" t="s">
        <v>136</v>
      </c>
      <c r="D90" s="42"/>
      <c r="E90" s="13"/>
      <c r="F90" s="13">
        <v>26</v>
      </c>
      <c r="G90" s="13">
        <v>189.88</v>
      </c>
      <c r="H90" s="66">
        <f t="shared" si="7"/>
        <v>4.9368800000000004</v>
      </c>
      <c r="I90" s="13">
        <f>G90</f>
        <v>189.88</v>
      </c>
      <c r="J90" s="5"/>
      <c r="K90" s="5"/>
      <c r="L90" s="5"/>
      <c r="M90" s="5"/>
      <c r="N90" s="5"/>
      <c r="O90" s="5"/>
      <c r="P90" s="5"/>
      <c r="Q90" s="5"/>
      <c r="R90" s="53"/>
      <c r="S90" s="53"/>
      <c r="T90" s="53"/>
      <c r="U90" s="53"/>
    </row>
    <row r="91" spans="1:21" ht="15.75" customHeight="1">
      <c r="A91" s="29">
        <v>26</v>
      </c>
      <c r="B91" s="46" t="s">
        <v>207</v>
      </c>
      <c r="C91" s="65" t="s">
        <v>208</v>
      </c>
      <c r="D91" s="42"/>
      <c r="E91" s="13"/>
      <c r="F91" s="13">
        <v>1</v>
      </c>
      <c r="G91" s="13">
        <v>119.65</v>
      </c>
      <c r="H91" s="66">
        <f t="shared" si="7"/>
        <v>0.11965000000000001</v>
      </c>
      <c r="I91" s="13">
        <f>G91</f>
        <v>119.65</v>
      </c>
      <c r="J91" s="5"/>
      <c r="K91" s="5"/>
      <c r="L91" s="5"/>
      <c r="M91" s="5"/>
      <c r="N91" s="5"/>
      <c r="O91" s="5"/>
      <c r="P91" s="5"/>
      <c r="Q91" s="5"/>
      <c r="R91" s="53"/>
      <c r="S91" s="53"/>
      <c r="T91" s="53"/>
      <c r="U91" s="53"/>
    </row>
    <row r="92" spans="1:21" ht="15.75" hidden="1" customHeight="1">
      <c r="A92" s="29"/>
      <c r="B92" s="46" t="s">
        <v>161</v>
      </c>
      <c r="C92" s="50" t="s">
        <v>85</v>
      </c>
      <c r="D92" s="42"/>
      <c r="E92" s="13"/>
      <c r="F92" s="13">
        <v>1</v>
      </c>
      <c r="G92" s="13">
        <v>18</v>
      </c>
      <c r="H92" s="66">
        <f t="shared" si="7"/>
        <v>1.7999999999999999E-2</v>
      </c>
      <c r="I92" s="13">
        <v>0</v>
      </c>
      <c r="J92" s="5"/>
      <c r="K92" s="5"/>
      <c r="L92" s="5"/>
      <c r="M92" s="5"/>
      <c r="N92" s="5"/>
      <c r="O92" s="5"/>
      <c r="P92" s="5"/>
      <c r="Q92" s="5"/>
      <c r="R92" s="53"/>
      <c r="S92" s="53"/>
      <c r="T92" s="53"/>
      <c r="U92" s="53"/>
    </row>
    <row r="93" spans="1:21" ht="15.75" hidden="1" customHeight="1">
      <c r="A93" s="29"/>
      <c r="B93" s="64" t="s">
        <v>104</v>
      </c>
      <c r="C93" s="29" t="s">
        <v>120</v>
      </c>
      <c r="D93" s="42"/>
      <c r="E93" s="13"/>
      <c r="F93" s="13">
        <f>0.297/10</f>
        <v>2.9699999999999997E-2</v>
      </c>
      <c r="G93" s="13">
        <v>3113.97</v>
      </c>
      <c r="H93" s="66">
        <f t="shared" si="7"/>
        <v>9.248490899999999E-2</v>
      </c>
      <c r="I93" s="13">
        <v>0</v>
      </c>
      <c r="J93" s="5"/>
      <c r="K93" s="5"/>
      <c r="L93" s="5"/>
      <c r="M93" s="5"/>
      <c r="N93" s="5"/>
      <c r="O93" s="5"/>
      <c r="P93" s="5"/>
      <c r="Q93" s="5"/>
      <c r="R93" s="53"/>
      <c r="S93" s="53"/>
      <c r="T93" s="53"/>
      <c r="U93" s="53"/>
    </row>
    <row r="94" spans="1:21" ht="15.75" hidden="1" customHeight="1">
      <c r="A94" s="29"/>
      <c r="B94" s="49" t="s">
        <v>165</v>
      </c>
      <c r="C94" s="50" t="s">
        <v>166</v>
      </c>
      <c r="D94" s="89"/>
      <c r="E94" s="13"/>
      <c r="F94" s="13">
        <f>40/10</f>
        <v>4</v>
      </c>
      <c r="G94" s="13">
        <v>3800</v>
      </c>
      <c r="H94" s="66">
        <f>G94*F94/1000</f>
        <v>15.2</v>
      </c>
      <c r="I94" s="13">
        <v>0</v>
      </c>
      <c r="J94" s="5"/>
      <c r="K94" s="5"/>
      <c r="L94" s="5"/>
      <c r="M94" s="5"/>
      <c r="N94" s="5"/>
      <c r="O94" s="5"/>
      <c r="P94" s="5"/>
      <c r="Q94" s="5"/>
      <c r="R94" s="53"/>
      <c r="S94" s="53"/>
      <c r="T94" s="53"/>
      <c r="U94" s="53"/>
    </row>
    <row r="95" spans="1:21" ht="31.5" hidden="1" customHeight="1">
      <c r="A95" s="29"/>
      <c r="B95" s="46" t="s">
        <v>167</v>
      </c>
      <c r="C95" s="65" t="s">
        <v>38</v>
      </c>
      <c r="D95" s="89"/>
      <c r="E95" s="13"/>
      <c r="F95" s="13">
        <f>4/100</f>
        <v>0.04</v>
      </c>
      <c r="G95" s="13">
        <v>3397.65</v>
      </c>
      <c r="H95" s="66">
        <f>G95*F95/1000</f>
        <v>0.135906</v>
      </c>
      <c r="I95" s="13">
        <v>0</v>
      </c>
      <c r="J95" s="5"/>
      <c r="K95" s="5"/>
      <c r="L95" s="5"/>
      <c r="M95" s="5"/>
      <c r="N95" s="5"/>
      <c r="O95" s="5"/>
      <c r="P95" s="5"/>
      <c r="Q95" s="5"/>
      <c r="R95" s="53"/>
      <c r="S95" s="53"/>
      <c r="T95" s="53"/>
      <c r="U95" s="53"/>
    </row>
    <row r="96" spans="1:21" ht="15.75" hidden="1" customHeight="1">
      <c r="A96" s="29"/>
      <c r="B96" s="46" t="s">
        <v>168</v>
      </c>
      <c r="C96" s="65" t="s">
        <v>99</v>
      </c>
      <c r="D96" s="89"/>
      <c r="E96" s="13"/>
      <c r="F96" s="13">
        <v>1</v>
      </c>
      <c r="G96" s="13">
        <f>735.26+(282.5/2)</f>
        <v>876.51</v>
      </c>
      <c r="H96" s="66">
        <f>G96*F96/1000</f>
        <v>0.87651000000000001</v>
      </c>
      <c r="I96" s="13">
        <v>0</v>
      </c>
      <c r="J96" s="5"/>
      <c r="K96" s="5"/>
      <c r="L96" s="5"/>
      <c r="M96" s="5"/>
      <c r="N96" s="5"/>
      <c r="O96" s="5"/>
      <c r="P96" s="5"/>
      <c r="Q96" s="5"/>
      <c r="R96" s="53"/>
      <c r="S96" s="53"/>
      <c r="T96" s="53"/>
      <c r="U96" s="53"/>
    </row>
    <row r="97" spans="1:21" ht="15.75" hidden="1" customHeight="1">
      <c r="A97" s="29"/>
      <c r="B97" s="49" t="s">
        <v>89</v>
      </c>
      <c r="C97" s="65" t="s">
        <v>136</v>
      </c>
      <c r="D97" s="89"/>
      <c r="E97" s="13"/>
      <c r="F97" s="13">
        <v>5</v>
      </c>
      <c r="G97" s="13">
        <v>179.96</v>
      </c>
      <c r="H97" s="66">
        <f>G97*F97/1000</f>
        <v>0.89980000000000004</v>
      </c>
      <c r="I97" s="13">
        <v>0</v>
      </c>
      <c r="J97" s="5"/>
      <c r="K97" s="5"/>
      <c r="L97" s="5"/>
      <c r="M97" s="5"/>
      <c r="N97" s="5"/>
      <c r="O97" s="5"/>
      <c r="P97" s="5"/>
      <c r="Q97" s="5"/>
      <c r="R97" s="53"/>
      <c r="S97" s="53"/>
      <c r="T97" s="53"/>
      <c r="U97" s="53"/>
    </row>
    <row r="98" spans="1:21" ht="47.25" hidden="1" customHeight="1">
      <c r="A98" s="29"/>
      <c r="B98" s="46" t="s">
        <v>169</v>
      </c>
      <c r="C98" s="50" t="s">
        <v>170</v>
      </c>
      <c r="D98" s="42"/>
      <c r="E98" s="13"/>
      <c r="F98" s="13">
        <v>2</v>
      </c>
      <c r="G98" s="13">
        <v>4408.12</v>
      </c>
      <c r="H98" s="66">
        <f t="shared" ref="H98:H115" si="8">G98*F98/1000</f>
        <v>8.8162400000000005</v>
      </c>
      <c r="I98" s="13">
        <v>0</v>
      </c>
      <c r="J98" s="5"/>
      <c r="K98" s="5"/>
      <c r="L98" s="5"/>
      <c r="M98" s="5"/>
      <c r="N98" s="5"/>
      <c r="O98" s="5"/>
      <c r="P98" s="5"/>
      <c r="Q98" s="5"/>
      <c r="R98" s="53"/>
      <c r="S98" s="53"/>
      <c r="T98" s="53"/>
      <c r="U98" s="53"/>
    </row>
    <row r="99" spans="1:21" ht="15.75" hidden="1" customHeight="1">
      <c r="A99" s="29"/>
      <c r="B99" s="46" t="s">
        <v>171</v>
      </c>
      <c r="C99" s="65" t="s">
        <v>172</v>
      </c>
      <c r="D99" s="42"/>
      <c r="E99" s="13"/>
      <c r="F99" s="13">
        <f>1/100</f>
        <v>0.01</v>
      </c>
      <c r="G99" s="13">
        <v>7033.13</v>
      </c>
      <c r="H99" s="66">
        <f t="shared" si="8"/>
        <v>7.0331299999999999E-2</v>
      </c>
      <c r="I99" s="13">
        <v>0</v>
      </c>
      <c r="J99" s="5"/>
      <c r="K99" s="5"/>
      <c r="L99" s="5"/>
      <c r="M99" s="5"/>
      <c r="N99" s="5"/>
      <c r="O99" s="5"/>
      <c r="P99" s="5"/>
      <c r="Q99" s="5"/>
      <c r="R99" s="53"/>
      <c r="S99" s="53"/>
      <c r="T99" s="53"/>
      <c r="U99" s="53"/>
    </row>
    <row r="100" spans="1:21" ht="15.75" hidden="1" customHeight="1">
      <c r="A100" s="29"/>
      <c r="B100" s="46" t="s">
        <v>173</v>
      </c>
      <c r="C100" s="65" t="s">
        <v>174</v>
      </c>
      <c r="D100" s="42"/>
      <c r="E100" s="13"/>
      <c r="F100" s="13">
        <v>1</v>
      </c>
      <c r="G100" s="13">
        <v>730</v>
      </c>
      <c r="H100" s="66">
        <f t="shared" si="8"/>
        <v>0.73</v>
      </c>
      <c r="I100" s="13">
        <v>0</v>
      </c>
      <c r="J100" s="5"/>
      <c r="K100" s="5"/>
      <c r="L100" s="5"/>
      <c r="M100" s="5"/>
      <c r="N100" s="5"/>
      <c r="O100" s="5"/>
      <c r="P100" s="5"/>
      <c r="Q100" s="5"/>
      <c r="R100" s="53"/>
      <c r="S100" s="53"/>
      <c r="T100" s="53"/>
      <c r="U100" s="53"/>
    </row>
    <row r="101" spans="1:21" ht="15.75" hidden="1" customHeight="1">
      <c r="A101" s="29"/>
      <c r="B101" s="67" t="s">
        <v>97</v>
      </c>
      <c r="C101" s="68" t="s">
        <v>98</v>
      </c>
      <c r="D101" s="42"/>
      <c r="E101" s="13"/>
      <c r="F101" s="13">
        <f>50/3</f>
        <v>16.666666666666668</v>
      </c>
      <c r="G101" s="13">
        <v>1063.47</v>
      </c>
      <c r="H101" s="66">
        <f t="shared" si="8"/>
        <v>17.724499999999999</v>
      </c>
      <c r="I101" s="13">
        <v>0</v>
      </c>
      <c r="J101" s="5"/>
      <c r="K101" s="5"/>
      <c r="L101" s="5"/>
      <c r="M101" s="5"/>
      <c r="N101" s="5"/>
      <c r="O101" s="5"/>
      <c r="P101" s="5"/>
      <c r="Q101" s="5"/>
      <c r="R101" s="53"/>
      <c r="S101" s="53"/>
      <c r="T101" s="53"/>
      <c r="U101" s="53"/>
    </row>
    <row r="102" spans="1:21" ht="15.75" hidden="1" customHeight="1">
      <c r="A102" s="29"/>
      <c r="B102" s="46" t="s">
        <v>86</v>
      </c>
      <c r="C102" s="65" t="s">
        <v>136</v>
      </c>
      <c r="D102" s="42"/>
      <c r="E102" s="13"/>
      <c r="F102" s="13">
        <v>1</v>
      </c>
      <c r="G102" s="13">
        <v>180.15</v>
      </c>
      <c r="H102" s="66">
        <f t="shared" si="8"/>
        <v>0.18015</v>
      </c>
      <c r="I102" s="13">
        <v>0</v>
      </c>
      <c r="J102" s="5"/>
      <c r="K102" s="5"/>
      <c r="L102" s="5"/>
      <c r="M102" s="5"/>
      <c r="N102" s="5"/>
      <c r="O102" s="5"/>
      <c r="P102" s="5"/>
      <c r="Q102" s="5"/>
      <c r="R102" s="53"/>
      <c r="S102" s="53"/>
      <c r="T102" s="53"/>
      <c r="U102" s="53"/>
    </row>
    <row r="103" spans="1:21" ht="15.75" hidden="1" customHeight="1">
      <c r="A103" s="29"/>
      <c r="B103" s="46" t="s">
        <v>175</v>
      </c>
      <c r="C103" s="65" t="s">
        <v>88</v>
      </c>
      <c r="D103" s="42"/>
      <c r="E103" s="13"/>
      <c r="F103" s="13">
        <v>2</v>
      </c>
      <c r="G103" s="13">
        <v>185.81</v>
      </c>
      <c r="H103" s="66">
        <f t="shared" si="8"/>
        <v>0.37162000000000001</v>
      </c>
      <c r="I103" s="13">
        <v>0</v>
      </c>
      <c r="J103" s="5"/>
      <c r="K103" s="5"/>
      <c r="L103" s="5"/>
      <c r="M103" s="5"/>
      <c r="N103" s="5"/>
      <c r="O103" s="5"/>
      <c r="P103" s="5"/>
      <c r="Q103" s="5"/>
      <c r="R103" s="53"/>
      <c r="S103" s="53"/>
      <c r="T103" s="53"/>
      <c r="U103" s="53"/>
    </row>
    <row r="104" spans="1:21" ht="15.75" hidden="1" customHeight="1">
      <c r="A104" s="29"/>
      <c r="B104" s="46" t="s">
        <v>176</v>
      </c>
      <c r="C104" s="50" t="s">
        <v>170</v>
      </c>
      <c r="D104" s="14"/>
      <c r="E104" s="18"/>
      <c r="F104" s="13">
        <v>1</v>
      </c>
      <c r="G104" s="13">
        <v>901.61</v>
      </c>
      <c r="H104" s="66">
        <f t="shared" si="8"/>
        <v>0.90161000000000002</v>
      </c>
      <c r="I104" s="13">
        <v>0</v>
      </c>
      <c r="J104" s="5"/>
      <c r="K104" s="5"/>
      <c r="L104" s="5"/>
      <c r="M104" s="5"/>
      <c r="N104" s="5"/>
      <c r="O104" s="5"/>
      <c r="P104" s="5"/>
      <c r="Q104" s="5"/>
      <c r="R104" s="53"/>
      <c r="S104" s="53"/>
      <c r="T104" s="53"/>
      <c r="U104" s="53"/>
    </row>
    <row r="105" spans="1:21" ht="31.5" hidden="1" customHeight="1">
      <c r="A105" s="29"/>
      <c r="B105" s="46" t="s">
        <v>177</v>
      </c>
      <c r="C105" s="65" t="s">
        <v>85</v>
      </c>
      <c r="D105" s="42"/>
      <c r="E105" s="13"/>
      <c r="F105" s="13">
        <v>2</v>
      </c>
      <c r="G105" s="13">
        <v>771.29</v>
      </c>
      <c r="H105" s="66">
        <f t="shared" si="8"/>
        <v>1.5425799999999998</v>
      </c>
      <c r="I105" s="13">
        <v>0</v>
      </c>
      <c r="J105" s="5"/>
      <c r="K105" s="5"/>
      <c r="L105" s="5"/>
      <c r="M105" s="5"/>
      <c r="N105" s="5"/>
      <c r="O105" s="5"/>
      <c r="P105" s="5"/>
      <c r="Q105" s="5"/>
      <c r="R105" s="53"/>
      <c r="S105" s="53"/>
      <c r="T105" s="53"/>
      <c r="U105" s="53"/>
    </row>
    <row r="106" spans="1:21" ht="15.75" hidden="1" customHeight="1">
      <c r="A106" s="29"/>
      <c r="B106" s="46" t="s">
        <v>178</v>
      </c>
      <c r="C106" s="65" t="s">
        <v>136</v>
      </c>
      <c r="D106" s="42"/>
      <c r="E106" s="13"/>
      <c r="F106" s="13">
        <v>1</v>
      </c>
      <c r="G106" s="13">
        <v>78.89</v>
      </c>
      <c r="H106" s="66">
        <f t="shared" si="8"/>
        <v>7.8890000000000002E-2</v>
      </c>
      <c r="I106" s="13">
        <v>0</v>
      </c>
      <c r="J106" s="5"/>
      <c r="K106" s="5"/>
      <c r="L106" s="5"/>
      <c r="M106" s="5"/>
      <c r="N106" s="5"/>
      <c r="O106" s="5"/>
      <c r="P106" s="5"/>
      <c r="Q106" s="5"/>
      <c r="R106" s="53"/>
      <c r="S106" s="53"/>
      <c r="T106" s="53"/>
      <c r="U106" s="53"/>
    </row>
    <row r="107" spans="1:21" ht="15.75" hidden="1" customHeight="1">
      <c r="A107" s="29"/>
      <c r="B107" s="46" t="s">
        <v>179</v>
      </c>
      <c r="C107" s="65" t="s">
        <v>136</v>
      </c>
      <c r="D107" s="42"/>
      <c r="E107" s="13"/>
      <c r="F107" s="13">
        <v>1</v>
      </c>
      <c r="G107" s="13">
        <v>89.15</v>
      </c>
      <c r="H107" s="66">
        <f t="shared" si="8"/>
        <v>8.9150000000000007E-2</v>
      </c>
      <c r="I107" s="13">
        <v>0</v>
      </c>
      <c r="J107" s="5"/>
      <c r="K107" s="5"/>
      <c r="L107" s="5"/>
      <c r="M107" s="5"/>
      <c r="N107" s="5"/>
      <c r="O107" s="5"/>
      <c r="P107" s="5"/>
      <c r="Q107" s="5"/>
      <c r="R107" s="53"/>
      <c r="S107" s="53"/>
      <c r="T107" s="53"/>
      <c r="U107" s="53"/>
    </row>
    <row r="108" spans="1:21" ht="15.75" hidden="1" customHeight="1">
      <c r="A108" s="29"/>
      <c r="B108" s="46" t="s">
        <v>187</v>
      </c>
      <c r="C108" s="65" t="s">
        <v>136</v>
      </c>
      <c r="D108" s="42"/>
      <c r="E108" s="13"/>
      <c r="F108" s="13">
        <v>2</v>
      </c>
      <c r="G108" s="13">
        <v>70</v>
      </c>
      <c r="H108" s="66">
        <f t="shared" si="8"/>
        <v>0.14000000000000001</v>
      </c>
      <c r="I108" s="13">
        <v>0</v>
      </c>
      <c r="J108" s="5"/>
      <c r="K108" s="5"/>
      <c r="L108" s="5"/>
      <c r="M108" s="5"/>
      <c r="N108" s="5"/>
      <c r="O108" s="5"/>
      <c r="P108" s="5"/>
      <c r="Q108" s="5"/>
      <c r="R108" s="53"/>
      <c r="S108" s="53"/>
      <c r="T108" s="53"/>
      <c r="U108" s="53"/>
    </row>
    <row r="109" spans="1:21" ht="15.75" hidden="1" customHeight="1">
      <c r="A109" s="29"/>
      <c r="B109" s="46" t="s">
        <v>188</v>
      </c>
      <c r="C109" s="65" t="s">
        <v>136</v>
      </c>
      <c r="D109" s="42"/>
      <c r="E109" s="13"/>
      <c r="F109" s="13">
        <v>1</v>
      </c>
      <c r="G109" s="13">
        <v>50</v>
      </c>
      <c r="H109" s="66">
        <f t="shared" si="8"/>
        <v>0.05</v>
      </c>
      <c r="I109" s="13">
        <v>0</v>
      </c>
      <c r="J109" s="5"/>
      <c r="K109" s="5"/>
      <c r="L109" s="5"/>
      <c r="M109" s="5"/>
      <c r="N109" s="5"/>
      <c r="O109" s="5"/>
      <c r="P109" s="5"/>
      <c r="Q109" s="5"/>
      <c r="R109" s="53"/>
      <c r="S109" s="53"/>
      <c r="T109" s="53"/>
      <c r="U109" s="53"/>
    </row>
    <row r="110" spans="1:21" ht="15.75" hidden="1" customHeight="1">
      <c r="A110" s="29"/>
      <c r="B110" s="46" t="s">
        <v>189</v>
      </c>
      <c r="C110" s="65" t="s">
        <v>136</v>
      </c>
      <c r="D110" s="42"/>
      <c r="E110" s="13"/>
      <c r="F110" s="13">
        <v>1</v>
      </c>
      <c r="G110" s="13">
        <v>238</v>
      </c>
      <c r="H110" s="66">
        <f t="shared" si="8"/>
        <v>0.23799999999999999</v>
      </c>
      <c r="I110" s="13">
        <v>0</v>
      </c>
      <c r="J110" s="5"/>
      <c r="K110" s="5"/>
      <c r="L110" s="5"/>
      <c r="M110" s="5"/>
      <c r="N110" s="5"/>
      <c r="O110" s="5"/>
      <c r="P110" s="5"/>
      <c r="Q110" s="5"/>
      <c r="R110" s="53"/>
      <c r="S110" s="53"/>
      <c r="T110" s="53"/>
      <c r="U110" s="53"/>
    </row>
    <row r="111" spans="1:21" ht="15.75" hidden="1" customHeight="1">
      <c r="A111" s="29"/>
      <c r="B111" s="46" t="s">
        <v>180</v>
      </c>
      <c r="C111" s="65" t="s">
        <v>136</v>
      </c>
      <c r="D111" s="42"/>
      <c r="E111" s="13"/>
      <c r="F111" s="13">
        <v>1</v>
      </c>
      <c r="G111" s="13">
        <v>86.15</v>
      </c>
      <c r="H111" s="66">
        <f t="shared" si="8"/>
        <v>8.6150000000000004E-2</v>
      </c>
      <c r="I111" s="13">
        <v>0</v>
      </c>
      <c r="J111" s="5"/>
      <c r="K111" s="5"/>
      <c r="L111" s="5"/>
      <c r="M111" s="5"/>
      <c r="N111" s="5"/>
      <c r="O111" s="5"/>
      <c r="P111" s="5"/>
      <c r="Q111" s="5"/>
      <c r="R111" s="53"/>
      <c r="S111" s="53"/>
      <c r="T111" s="53"/>
      <c r="U111" s="53"/>
    </row>
    <row r="112" spans="1:21" ht="15.75" hidden="1" customHeight="1">
      <c r="A112" s="29"/>
      <c r="B112" s="46" t="s">
        <v>190</v>
      </c>
      <c r="C112" s="65" t="s">
        <v>136</v>
      </c>
      <c r="D112" s="42"/>
      <c r="E112" s="13"/>
      <c r="F112" s="13">
        <v>2</v>
      </c>
      <c r="G112" s="13">
        <v>29282.880000000001</v>
      </c>
      <c r="H112" s="66">
        <f t="shared" si="8"/>
        <v>58.565760000000004</v>
      </c>
      <c r="I112" s="13">
        <v>0</v>
      </c>
      <c r="J112" s="5"/>
      <c r="K112" s="5"/>
      <c r="L112" s="5"/>
      <c r="M112" s="5"/>
      <c r="N112" s="5"/>
      <c r="O112" s="5"/>
      <c r="P112" s="5"/>
      <c r="Q112" s="5"/>
      <c r="R112" s="53"/>
      <c r="S112" s="53"/>
      <c r="T112" s="53"/>
      <c r="U112" s="53"/>
    </row>
    <row r="113" spans="1:21" ht="31.5" hidden="1" customHeight="1">
      <c r="A113" s="29"/>
      <c r="B113" s="46" t="s">
        <v>181</v>
      </c>
      <c r="C113" s="65" t="s">
        <v>85</v>
      </c>
      <c r="D113" s="42"/>
      <c r="E113" s="13"/>
      <c r="F113" s="13">
        <v>6</v>
      </c>
      <c r="G113" s="13">
        <v>1187</v>
      </c>
      <c r="H113" s="66">
        <f t="shared" si="8"/>
        <v>7.1219999999999999</v>
      </c>
      <c r="I113" s="13">
        <v>0</v>
      </c>
      <c r="J113" s="5"/>
      <c r="K113" s="5"/>
      <c r="L113" s="5"/>
      <c r="M113" s="5"/>
      <c r="N113" s="5"/>
      <c r="O113" s="5"/>
      <c r="P113" s="5"/>
      <c r="Q113" s="5"/>
      <c r="R113" s="53"/>
      <c r="S113" s="53"/>
      <c r="T113" s="53"/>
      <c r="U113" s="53"/>
    </row>
    <row r="114" spans="1:21" ht="31.5" hidden="1" customHeight="1">
      <c r="A114" s="29"/>
      <c r="B114" s="46" t="s">
        <v>182</v>
      </c>
      <c r="C114" s="65" t="s">
        <v>105</v>
      </c>
      <c r="D114" s="42"/>
      <c r="E114" s="13"/>
      <c r="F114" s="13">
        <f>70/10</f>
        <v>7</v>
      </c>
      <c r="G114" s="13">
        <v>2055.5300000000002</v>
      </c>
      <c r="H114" s="66">
        <f t="shared" si="8"/>
        <v>14.388710000000001</v>
      </c>
      <c r="I114" s="13">
        <v>0</v>
      </c>
      <c r="J114" s="5"/>
      <c r="K114" s="5"/>
      <c r="L114" s="5"/>
      <c r="M114" s="5"/>
      <c r="N114" s="5"/>
      <c r="O114" s="5"/>
      <c r="P114" s="5"/>
      <c r="Q114" s="5"/>
      <c r="R114" s="53"/>
      <c r="S114" s="53"/>
      <c r="T114" s="53"/>
      <c r="U114" s="53"/>
    </row>
    <row r="115" spans="1:21" ht="15.75" hidden="1" customHeight="1">
      <c r="A115" s="29"/>
      <c r="B115" s="46" t="s">
        <v>183</v>
      </c>
      <c r="C115" s="65" t="s">
        <v>184</v>
      </c>
      <c r="D115" s="42"/>
      <c r="E115" s="13"/>
      <c r="F115" s="13">
        <v>3</v>
      </c>
      <c r="G115" s="13">
        <v>1501</v>
      </c>
      <c r="H115" s="66">
        <f t="shared" si="8"/>
        <v>4.5030000000000001</v>
      </c>
      <c r="I115" s="13">
        <v>0</v>
      </c>
      <c r="J115" s="5"/>
      <c r="K115" s="5"/>
      <c r="L115" s="5"/>
      <c r="M115" s="5"/>
      <c r="N115" s="5"/>
      <c r="O115" s="5"/>
      <c r="P115" s="5"/>
      <c r="Q115" s="5"/>
      <c r="R115" s="53"/>
      <c r="S115" s="53"/>
      <c r="T115" s="53"/>
      <c r="U115" s="53"/>
    </row>
    <row r="116" spans="1:21" ht="32.25" hidden="1" customHeight="1">
      <c r="A116" s="29"/>
      <c r="B116" s="46" t="s">
        <v>185</v>
      </c>
      <c r="C116" s="65" t="s">
        <v>112</v>
      </c>
      <c r="D116" s="42"/>
      <c r="E116" s="13"/>
      <c r="F116" s="13">
        <v>2</v>
      </c>
      <c r="G116" s="13">
        <v>51.39</v>
      </c>
      <c r="H116" s="66">
        <v>0.05</v>
      </c>
      <c r="I116" s="13">
        <v>0</v>
      </c>
      <c r="J116" s="5"/>
      <c r="K116" s="5"/>
      <c r="L116" s="5"/>
      <c r="M116" s="5"/>
      <c r="N116" s="5"/>
      <c r="O116" s="5"/>
      <c r="P116" s="5"/>
      <c r="Q116" s="5"/>
      <c r="R116" s="53"/>
      <c r="S116" s="53"/>
      <c r="T116" s="53"/>
      <c r="U116" s="53"/>
    </row>
    <row r="117" spans="1:21" ht="32.25" hidden="1" customHeight="1">
      <c r="A117" s="29"/>
      <c r="B117" s="46" t="s">
        <v>186</v>
      </c>
      <c r="C117" s="50" t="s">
        <v>105</v>
      </c>
      <c r="D117" s="42"/>
      <c r="E117" s="13"/>
      <c r="F117" s="13">
        <f>0.33/10</f>
        <v>3.3000000000000002E-2</v>
      </c>
      <c r="G117" s="13">
        <v>8916.31</v>
      </c>
      <c r="H117" s="66">
        <f t="shared" ref="H117" si="9">G117*F117/1000</f>
        <v>0.29423822999999999</v>
      </c>
      <c r="I117" s="13">
        <v>0</v>
      </c>
      <c r="J117" s="5"/>
      <c r="K117" s="5"/>
      <c r="L117" s="5"/>
      <c r="M117" s="5"/>
      <c r="N117" s="5"/>
      <c r="O117" s="5"/>
      <c r="P117" s="5"/>
      <c r="Q117" s="5"/>
      <c r="R117" s="53"/>
      <c r="S117" s="53"/>
      <c r="T117" s="53"/>
      <c r="U117" s="53"/>
    </row>
    <row r="118" spans="1:21" ht="15.75" customHeight="1">
      <c r="A118" s="29"/>
      <c r="B118" s="40" t="s">
        <v>52</v>
      </c>
      <c r="C118" s="36"/>
      <c r="D118" s="44"/>
      <c r="E118" s="36">
        <v>1</v>
      </c>
      <c r="F118" s="36"/>
      <c r="G118" s="36"/>
      <c r="H118" s="36"/>
      <c r="I118" s="31">
        <f>SUM(I88:I117)</f>
        <v>3431.7050000000004</v>
      </c>
    </row>
    <row r="119" spans="1:21" ht="15.75" customHeight="1">
      <c r="A119" s="29"/>
      <c r="B119" s="42" t="s">
        <v>82</v>
      </c>
      <c r="C119" s="15"/>
      <c r="D119" s="15"/>
      <c r="E119" s="37"/>
      <c r="F119" s="37"/>
      <c r="G119" s="38"/>
      <c r="H119" s="38"/>
      <c r="I119" s="17">
        <v>0</v>
      </c>
    </row>
    <row r="120" spans="1:21" ht="15.75" customHeight="1">
      <c r="A120" s="45"/>
      <c r="B120" s="41" t="s">
        <v>210</v>
      </c>
      <c r="C120" s="32"/>
      <c r="D120" s="32"/>
      <c r="E120" s="32"/>
      <c r="F120" s="32"/>
      <c r="G120" s="32"/>
      <c r="H120" s="32"/>
      <c r="I120" s="39">
        <f>I86+I118</f>
        <v>107568.93868083332</v>
      </c>
    </row>
    <row r="121" spans="1:21" ht="15.75" customHeight="1">
      <c r="A121" s="128" t="s">
        <v>280</v>
      </c>
      <c r="B121" s="128"/>
      <c r="C121" s="128"/>
      <c r="D121" s="128"/>
      <c r="E121" s="128"/>
      <c r="F121" s="128"/>
      <c r="G121" s="128"/>
      <c r="H121" s="128"/>
      <c r="I121" s="128"/>
    </row>
    <row r="122" spans="1:21" ht="15.75" customHeight="1">
      <c r="A122" s="57"/>
      <c r="B122" s="129" t="s">
        <v>281</v>
      </c>
      <c r="C122" s="129"/>
      <c r="D122" s="129"/>
      <c r="E122" s="129"/>
      <c r="F122" s="129"/>
      <c r="G122" s="129"/>
      <c r="H122" s="63"/>
      <c r="I122" s="3"/>
    </row>
    <row r="123" spans="1:21" ht="15.75" customHeight="1">
      <c r="A123" s="53"/>
      <c r="B123" s="130" t="s">
        <v>6</v>
      </c>
      <c r="C123" s="130"/>
      <c r="D123" s="130"/>
      <c r="E123" s="130"/>
      <c r="F123" s="130"/>
      <c r="G123" s="130"/>
      <c r="H123" s="24"/>
      <c r="I123" s="5"/>
    </row>
    <row r="124" spans="1:21" ht="15.75" customHeight="1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21" ht="15.75" customHeight="1">
      <c r="A125" s="131" t="s">
        <v>7</v>
      </c>
      <c r="B125" s="131"/>
      <c r="C125" s="131"/>
      <c r="D125" s="131"/>
      <c r="E125" s="131"/>
      <c r="F125" s="131"/>
      <c r="G125" s="131"/>
      <c r="H125" s="131"/>
      <c r="I125" s="131"/>
    </row>
    <row r="126" spans="1:21" ht="15.75" customHeight="1">
      <c r="A126" s="131" t="s">
        <v>8</v>
      </c>
      <c r="B126" s="131"/>
      <c r="C126" s="131"/>
      <c r="D126" s="131"/>
      <c r="E126" s="131"/>
      <c r="F126" s="131"/>
      <c r="G126" s="131"/>
      <c r="H126" s="131"/>
      <c r="I126" s="131"/>
    </row>
    <row r="127" spans="1:21" ht="15.75" customHeight="1">
      <c r="A127" s="120" t="s">
        <v>63</v>
      </c>
      <c r="B127" s="120"/>
      <c r="C127" s="120"/>
      <c r="D127" s="120"/>
      <c r="E127" s="120"/>
      <c r="F127" s="120"/>
      <c r="G127" s="120"/>
      <c r="H127" s="120"/>
      <c r="I127" s="120"/>
    </row>
    <row r="128" spans="1:21" ht="15.75" customHeight="1">
      <c r="A128" s="11"/>
    </row>
    <row r="129" spans="1:9" ht="15.75" customHeight="1">
      <c r="A129" s="133" t="s">
        <v>9</v>
      </c>
      <c r="B129" s="133"/>
      <c r="C129" s="133"/>
      <c r="D129" s="133"/>
      <c r="E129" s="133"/>
      <c r="F129" s="133"/>
      <c r="G129" s="133"/>
      <c r="H129" s="133"/>
      <c r="I129" s="133"/>
    </row>
    <row r="130" spans="1:9" ht="15.75" customHeight="1">
      <c r="A130" s="4"/>
    </row>
    <row r="131" spans="1:9" ht="15.75" customHeight="1">
      <c r="B131" s="56" t="s">
        <v>10</v>
      </c>
      <c r="C131" s="134" t="s">
        <v>96</v>
      </c>
      <c r="D131" s="134"/>
      <c r="E131" s="134"/>
      <c r="F131" s="61"/>
      <c r="I131" s="52"/>
    </row>
    <row r="132" spans="1:9" ht="15.75" customHeight="1">
      <c r="A132" s="53"/>
      <c r="C132" s="130" t="s">
        <v>11</v>
      </c>
      <c r="D132" s="130"/>
      <c r="E132" s="130"/>
      <c r="F132" s="24"/>
      <c r="I132" s="51" t="s">
        <v>12</v>
      </c>
    </row>
    <row r="133" spans="1:9" ht="15.75" customHeight="1">
      <c r="A133" s="25"/>
      <c r="C133" s="12"/>
      <c r="D133" s="12"/>
      <c r="G133" s="12"/>
      <c r="H133" s="12"/>
    </row>
    <row r="134" spans="1:9" ht="15.75" customHeight="1">
      <c r="B134" s="56" t="s">
        <v>13</v>
      </c>
      <c r="C134" s="135"/>
      <c r="D134" s="135"/>
      <c r="E134" s="135"/>
      <c r="F134" s="62"/>
      <c r="I134" s="52"/>
    </row>
    <row r="135" spans="1:9" ht="15.75" customHeight="1">
      <c r="A135" s="53"/>
      <c r="C135" s="110" t="s">
        <v>11</v>
      </c>
      <c r="D135" s="110"/>
      <c r="E135" s="110"/>
      <c r="F135" s="53"/>
      <c r="I135" s="51" t="s">
        <v>12</v>
      </c>
    </row>
    <row r="136" spans="1:9" ht="15.75" customHeight="1">
      <c r="A136" s="4" t="s">
        <v>14</v>
      </c>
    </row>
    <row r="137" spans="1:9" ht="15.75" customHeight="1">
      <c r="A137" s="136" t="s">
        <v>15</v>
      </c>
      <c r="B137" s="136"/>
      <c r="C137" s="136"/>
      <c r="D137" s="136"/>
      <c r="E137" s="136"/>
      <c r="F137" s="136"/>
      <c r="G137" s="136"/>
      <c r="H137" s="136"/>
      <c r="I137" s="136"/>
    </row>
    <row r="138" spans="1:9" ht="45" customHeight="1">
      <c r="A138" s="132" t="s">
        <v>16</v>
      </c>
      <c r="B138" s="132"/>
      <c r="C138" s="132"/>
      <c r="D138" s="132"/>
      <c r="E138" s="132"/>
      <c r="F138" s="132"/>
      <c r="G138" s="132"/>
      <c r="H138" s="132"/>
      <c r="I138" s="132"/>
    </row>
    <row r="139" spans="1:9" ht="30" customHeight="1">
      <c r="A139" s="132" t="s">
        <v>17</v>
      </c>
      <c r="B139" s="132"/>
      <c r="C139" s="132"/>
      <c r="D139" s="132"/>
      <c r="E139" s="132"/>
      <c r="F139" s="132"/>
      <c r="G139" s="132"/>
      <c r="H139" s="132"/>
      <c r="I139" s="132"/>
    </row>
    <row r="140" spans="1:9" ht="30" customHeight="1">
      <c r="A140" s="132" t="s">
        <v>21</v>
      </c>
      <c r="B140" s="132"/>
      <c r="C140" s="132"/>
      <c r="D140" s="132"/>
      <c r="E140" s="132"/>
      <c r="F140" s="132"/>
      <c r="G140" s="132"/>
      <c r="H140" s="132"/>
      <c r="I140" s="132"/>
    </row>
    <row r="141" spans="1:9" ht="15" customHeight="1">
      <c r="A141" s="132" t="s">
        <v>20</v>
      </c>
      <c r="B141" s="132"/>
      <c r="C141" s="132"/>
      <c r="D141" s="132"/>
      <c r="E141" s="132"/>
      <c r="F141" s="132"/>
      <c r="G141" s="132"/>
      <c r="H141" s="132"/>
      <c r="I141" s="132"/>
    </row>
  </sheetData>
  <autoFilter ref="I12:I62"/>
  <mergeCells count="29">
    <mergeCell ref="A138:I138"/>
    <mergeCell ref="A139:I139"/>
    <mergeCell ref="A140:I140"/>
    <mergeCell ref="A141:I141"/>
    <mergeCell ref="A129:I129"/>
    <mergeCell ref="C131:E131"/>
    <mergeCell ref="C132:E132"/>
    <mergeCell ref="C134:E134"/>
    <mergeCell ref="C135:E135"/>
    <mergeCell ref="A137:I137"/>
    <mergeCell ref="A127:I127"/>
    <mergeCell ref="A15:I15"/>
    <mergeCell ref="A29:I29"/>
    <mergeCell ref="A47:I47"/>
    <mergeCell ref="A57:I57"/>
    <mergeCell ref="A87:I87"/>
    <mergeCell ref="A121:I121"/>
    <mergeCell ref="B122:G122"/>
    <mergeCell ref="B123:G123"/>
    <mergeCell ref="A125:I125"/>
    <mergeCell ref="A126:I126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2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92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14" t="s">
        <v>203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146</v>
      </c>
      <c r="B4" s="115"/>
      <c r="C4" s="115"/>
      <c r="D4" s="115"/>
      <c r="E4" s="115"/>
      <c r="F4" s="115"/>
      <c r="G4" s="115"/>
      <c r="H4" s="115"/>
      <c r="I4" s="115"/>
    </row>
    <row r="5" spans="1:13" ht="15.75" customHeight="1">
      <c r="A5" s="114" t="s">
        <v>260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 customHeight="1">
      <c r="A6" s="2"/>
      <c r="B6" s="55"/>
      <c r="C6" s="55"/>
      <c r="D6" s="55"/>
      <c r="E6" s="55"/>
      <c r="F6" s="55"/>
      <c r="G6" s="55"/>
      <c r="H6" s="55"/>
      <c r="I6" s="30">
        <v>43039</v>
      </c>
      <c r="J6" s="2"/>
      <c r="K6" s="2"/>
      <c r="L6" s="2"/>
      <c r="M6" s="2"/>
    </row>
    <row r="7" spans="1:13" ht="15.75" customHeight="1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7" t="s">
        <v>152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8" t="s">
        <v>209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19" t="s">
        <v>61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29">
        <v>1</v>
      </c>
      <c r="B16" s="69" t="s">
        <v>93</v>
      </c>
      <c r="C16" s="70" t="s">
        <v>115</v>
      </c>
      <c r="D16" s="69" t="s">
        <v>116</v>
      </c>
      <c r="E16" s="71">
        <v>176.24</v>
      </c>
      <c r="F16" s="72">
        <f>SUM(E16*156/100)</f>
        <v>274.93440000000004</v>
      </c>
      <c r="G16" s="72">
        <v>187.48</v>
      </c>
      <c r="H16" s="73">
        <f t="shared" ref="H16:H26" si="0">SUM(F16*G16/1000)</f>
        <v>51.544701312000008</v>
      </c>
      <c r="I16" s="13">
        <f>F16/12*G16</f>
        <v>4295.3917760000004</v>
      </c>
      <c r="J16" s="8"/>
      <c r="K16" s="8"/>
      <c r="L16" s="8"/>
      <c r="M16" s="8"/>
    </row>
    <row r="17" spans="1:13" ht="15.75" customHeight="1">
      <c r="A17" s="29">
        <v>2</v>
      </c>
      <c r="B17" s="69" t="s">
        <v>100</v>
      </c>
      <c r="C17" s="70" t="s">
        <v>115</v>
      </c>
      <c r="D17" s="69" t="s">
        <v>117</v>
      </c>
      <c r="E17" s="71">
        <v>704.96</v>
      </c>
      <c r="F17" s="72">
        <f>SUM(E17*104/100)</f>
        <v>733.15839999999992</v>
      </c>
      <c r="G17" s="72">
        <v>187.48</v>
      </c>
      <c r="H17" s="73">
        <v>137.453</v>
      </c>
      <c r="I17" s="13">
        <f>F17/12*G17</f>
        <v>11454.378069333332</v>
      </c>
      <c r="J17" s="22"/>
      <c r="K17" s="8"/>
      <c r="L17" s="8"/>
      <c r="M17" s="8"/>
    </row>
    <row r="18" spans="1:13" ht="15.75" customHeight="1">
      <c r="A18" s="29">
        <v>3</v>
      </c>
      <c r="B18" s="69" t="s">
        <v>101</v>
      </c>
      <c r="C18" s="70" t="s">
        <v>115</v>
      </c>
      <c r="D18" s="69" t="s">
        <v>118</v>
      </c>
      <c r="E18" s="71">
        <f>SUM(E16+E17)</f>
        <v>881.2</v>
      </c>
      <c r="F18" s="72">
        <f>SUM(E18*24/100)</f>
        <v>211.48800000000003</v>
      </c>
      <c r="G18" s="72">
        <v>539.30999999999995</v>
      </c>
      <c r="H18" s="73">
        <f t="shared" si="0"/>
        <v>114.05759328000001</v>
      </c>
      <c r="I18" s="13">
        <f>F18/12*G18</f>
        <v>9504.7994400000007</v>
      </c>
      <c r="J18" s="22"/>
      <c r="K18" s="8"/>
      <c r="L18" s="8"/>
      <c r="M18" s="8"/>
    </row>
    <row r="19" spans="1:13" ht="15.75" hidden="1" customHeight="1">
      <c r="A19" s="29">
        <v>4</v>
      </c>
      <c r="B19" s="69" t="s">
        <v>119</v>
      </c>
      <c r="C19" s="70" t="s">
        <v>120</v>
      </c>
      <c r="D19" s="69" t="s">
        <v>121</v>
      </c>
      <c r="E19" s="71">
        <v>28.8</v>
      </c>
      <c r="F19" s="72">
        <f>SUM(E19/10)</f>
        <v>2.88</v>
      </c>
      <c r="G19" s="72">
        <v>181.91</v>
      </c>
      <c r="H19" s="73">
        <f t="shared" si="0"/>
        <v>0.52390080000000006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69" t="s">
        <v>106</v>
      </c>
      <c r="C20" s="70" t="s">
        <v>115</v>
      </c>
      <c r="D20" s="69" t="s">
        <v>30</v>
      </c>
      <c r="E20" s="71">
        <v>17.5</v>
      </c>
      <c r="F20" s="72">
        <f>SUM(E20*12/100)</f>
        <v>2.1</v>
      </c>
      <c r="G20" s="72">
        <v>232.92</v>
      </c>
      <c r="H20" s="73">
        <f t="shared" si="0"/>
        <v>0.48913200000000001</v>
      </c>
      <c r="I20" s="13">
        <f>F20/12*G20</f>
        <v>40.761000000000003</v>
      </c>
      <c r="J20" s="22"/>
      <c r="K20" s="8"/>
      <c r="L20" s="8"/>
      <c r="M20" s="8"/>
    </row>
    <row r="21" spans="1:13" ht="15.75" hidden="1" customHeight="1">
      <c r="A21" s="29">
        <v>5</v>
      </c>
      <c r="B21" s="69" t="s">
        <v>107</v>
      </c>
      <c r="C21" s="70" t="s">
        <v>115</v>
      </c>
      <c r="D21" s="69" t="s">
        <v>114</v>
      </c>
      <c r="E21" s="71">
        <v>5.94</v>
      </c>
      <c r="F21" s="72">
        <f>SUM(E21*6/100)</f>
        <v>0.35639999999999999</v>
      </c>
      <c r="G21" s="72">
        <v>231.03</v>
      </c>
      <c r="H21" s="73">
        <f t="shared" si="0"/>
        <v>8.2339091999999989E-2</v>
      </c>
      <c r="I21" s="13">
        <f>F21/6*G21</f>
        <v>13.723182</v>
      </c>
      <c r="J21" s="22"/>
      <c r="K21" s="8"/>
      <c r="L21" s="8"/>
      <c r="M21" s="8"/>
    </row>
    <row r="22" spans="1:13" ht="15.75" hidden="1" customHeight="1">
      <c r="A22" s="29">
        <v>7</v>
      </c>
      <c r="B22" s="69" t="s">
        <v>122</v>
      </c>
      <c r="C22" s="70" t="s">
        <v>53</v>
      </c>
      <c r="D22" s="69" t="s">
        <v>121</v>
      </c>
      <c r="E22" s="71">
        <v>376</v>
      </c>
      <c r="F22" s="72">
        <f>SUM(E22/100)</f>
        <v>3.76</v>
      </c>
      <c r="G22" s="72">
        <v>287.83999999999997</v>
      </c>
      <c r="H22" s="73">
        <f t="shared" si="0"/>
        <v>1.0822783999999999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9" t="s">
        <v>123</v>
      </c>
      <c r="C23" s="70" t="s">
        <v>53</v>
      </c>
      <c r="D23" s="69" t="s">
        <v>121</v>
      </c>
      <c r="E23" s="74">
        <v>60.4</v>
      </c>
      <c r="F23" s="72">
        <f>SUM(E23/100)</f>
        <v>0.60399999999999998</v>
      </c>
      <c r="G23" s="72">
        <v>47.34</v>
      </c>
      <c r="H23" s="73">
        <f t="shared" si="0"/>
        <v>2.8593360000000002E-2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9" t="s">
        <v>110</v>
      </c>
      <c r="C24" s="70" t="s">
        <v>53</v>
      </c>
      <c r="D24" s="69" t="s">
        <v>54</v>
      </c>
      <c r="E24" s="18">
        <v>25</v>
      </c>
      <c r="F24" s="75">
        <f>E24/100</f>
        <v>0.25</v>
      </c>
      <c r="G24" s="72">
        <v>416.62</v>
      </c>
      <c r="H24" s="73">
        <f>F24*G24/1000</f>
        <v>0.104155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9" t="s">
        <v>124</v>
      </c>
      <c r="C25" s="70" t="s">
        <v>53</v>
      </c>
      <c r="D25" s="69" t="s">
        <v>121</v>
      </c>
      <c r="E25" s="74">
        <v>23.75</v>
      </c>
      <c r="F25" s="72">
        <f>E25/100</f>
        <v>0.23749999999999999</v>
      </c>
      <c r="G25" s="72">
        <v>231.03</v>
      </c>
      <c r="H25" s="73">
        <f>F25*G25/1000</f>
        <v>5.4869624999999998E-2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11</v>
      </c>
      <c r="B26" s="69" t="s">
        <v>111</v>
      </c>
      <c r="C26" s="70" t="s">
        <v>53</v>
      </c>
      <c r="D26" s="69" t="s">
        <v>121</v>
      </c>
      <c r="E26" s="71">
        <v>10.63</v>
      </c>
      <c r="F26" s="72">
        <f>SUM(E26/100)</f>
        <v>0.10630000000000001</v>
      </c>
      <c r="G26" s="72">
        <v>556.74</v>
      </c>
      <c r="H26" s="73">
        <f t="shared" si="0"/>
        <v>5.9181462000000004E-2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5</v>
      </c>
      <c r="B27" s="69" t="s">
        <v>66</v>
      </c>
      <c r="C27" s="70" t="s">
        <v>34</v>
      </c>
      <c r="D27" s="69" t="s">
        <v>248</v>
      </c>
      <c r="E27" s="71">
        <v>0.1</v>
      </c>
      <c r="F27" s="72">
        <f>SUM(E27*365)</f>
        <v>36.5</v>
      </c>
      <c r="G27" s="72">
        <v>157.18</v>
      </c>
      <c r="H27" s="73">
        <f>SUM(F27*G27/1000)</f>
        <v>5.737070000000001</v>
      </c>
      <c r="I27" s="13">
        <f>F27/12*G27</f>
        <v>478.08916666666664</v>
      </c>
      <c r="J27" s="23"/>
    </row>
    <row r="28" spans="1:13" ht="15.75" customHeight="1">
      <c r="A28" s="29">
        <v>6</v>
      </c>
      <c r="B28" s="77" t="s">
        <v>23</v>
      </c>
      <c r="C28" s="70" t="s">
        <v>24</v>
      </c>
      <c r="D28" s="69" t="s">
        <v>248</v>
      </c>
      <c r="E28" s="71">
        <v>5816.5</v>
      </c>
      <c r="F28" s="72">
        <f>SUM(E28*12)</f>
        <v>69798</v>
      </c>
      <c r="G28" s="72">
        <v>4.72</v>
      </c>
      <c r="H28" s="73">
        <f>SUM(F28*G28/1000)</f>
        <v>329.44655999999998</v>
      </c>
      <c r="I28" s="13">
        <f>F28/12*G28</f>
        <v>27453.879999999997</v>
      </c>
      <c r="J28" s="23"/>
    </row>
    <row r="29" spans="1:13" ht="15.75" customHeight="1">
      <c r="A29" s="121" t="s">
        <v>90</v>
      </c>
      <c r="B29" s="121"/>
      <c r="C29" s="121"/>
      <c r="D29" s="121"/>
      <c r="E29" s="121"/>
      <c r="F29" s="121"/>
      <c r="G29" s="121"/>
      <c r="H29" s="121"/>
      <c r="I29" s="121"/>
      <c r="J29" s="22"/>
      <c r="K29" s="8"/>
      <c r="L29" s="8"/>
      <c r="M29" s="8"/>
    </row>
    <row r="30" spans="1:13" ht="15.75" customHeight="1">
      <c r="A30" s="29"/>
      <c r="B30" s="90" t="s">
        <v>28</v>
      </c>
      <c r="C30" s="70"/>
      <c r="D30" s="69"/>
      <c r="E30" s="71"/>
      <c r="F30" s="72"/>
      <c r="G30" s="72"/>
      <c r="H30" s="73"/>
      <c r="I30" s="13"/>
      <c r="J30" s="22"/>
      <c r="K30" s="8"/>
      <c r="L30" s="8"/>
      <c r="M30" s="8"/>
    </row>
    <row r="31" spans="1:13" ht="15.75" customHeight="1">
      <c r="A31" s="29">
        <v>7</v>
      </c>
      <c r="B31" s="69" t="s">
        <v>125</v>
      </c>
      <c r="C31" s="70" t="s">
        <v>126</v>
      </c>
      <c r="D31" s="69" t="s">
        <v>127</v>
      </c>
      <c r="E31" s="72">
        <v>357.22</v>
      </c>
      <c r="F31" s="72">
        <f>SUM(E31*52/1000)</f>
        <v>18.575440000000004</v>
      </c>
      <c r="G31" s="72">
        <v>166.65</v>
      </c>
      <c r="H31" s="73">
        <f t="shared" ref="H31:H38" si="1">SUM(F31*G31/1000)</f>
        <v>3.0955970760000011</v>
      </c>
      <c r="I31" s="13">
        <f>F31/6*G31</f>
        <v>515.93284600000015</v>
      </c>
      <c r="J31" s="22"/>
      <c r="K31" s="8"/>
      <c r="L31" s="8"/>
      <c r="M31" s="8"/>
    </row>
    <row r="32" spans="1:13" ht="31.5" customHeight="1">
      <c r="A32" s="29">
        <v>8</v>
      </c>
      <c r="B32" s="69" t="s">
        <v>191</v>
      </c>
      <c r="C32" s="70" t="s">
        <v>126</v>
      </c>
      <c r="D32" s="69" t="s">
        <v>128</v>
      </c>
      <c r="E32" s="72">
        <v>475.06</v>
      </c>
      <c r="F32" s="72">
        <f>SUM(E32*78/1000)</f>
        <v>37.054679999999998</v>
      </c>
      <c r="G32" s="72">
        <v>276.48</v>
      </c>
      <c r="H32" s="73">
        <f t="shared" si="1"/>
        <v>10.244877926400001</v>
      </c>
      <c r="I32" s="13">
        <f t="shared" ref="I32:I35" si="2">F32/6*G32</f>
        <v>1707.4796544000001</v>
      </c>
      <c r="J32" s="22"/>
      <c r="K32" s="8"/>
      <c r="L32" s="8"/>
      <c r="M32" s="8"/>
    </row>
    <row r="33" spans="1:14" ht="15.75" hidden="1" customHeight="1">
      <c r="A33" s="29">
        <v>16</v>
      </c>
      <c r="B33" s="69" t="s">
        <v>27</v>
      </c>
      <c r="C33" s="70" t="s">
        <v>126</v>
      </c>
      <c r="D33" s="69" t="s">
        <v>54</v>
      </c>
      <c r="E33" s="72">
        <v>357.22</v>
      </c>
      <c r="F33" s="72">
        <f>SUM(E33/1000)</f>
        <v>0.35722000000000004</v>
      </c>
      <c r="G33" s="72">
        <v>3228.73</v>
      </c>
      <c r="H33" s="73">
        <f t="shared" si="1"/>
        <v>1.1533669306000001</v>
      </c>
      <c r="I33" s="13">
        <f>F33*G33</f>
        <v>1153.3669306000002</v>
      </c>
      <c r="J33" s="22"/>
      <c r="K33" s="8"/>
      <c r="L33" s="8"/>
      <c r="M33" s="8"/>
    </row>
    <row r="34" spans="1:14" ht="15.75" customHeight="1">
      <c r="A34" s="29">
        <v>9</v>
      </c>
      <c r="B34" s="69" t="s">
        <v>157</v>
      </c>
      <c r="C34" s="70" t="s">
        <v>40</v>
      </c>
      <c r="D34" s="69" t="s">
        <v>158</v>
      </c>
      <c r="E34" s="72">
        <v>5</v>
      </c>
      <c r="F34" s="72">
        <f>E34*155/100</f>
        <v>7.75</v>
      </c>
      <c r="G34" s="72">
        <v>1391.86</v>
      </c>
      <c r="H34" s="73">
        <f>G34*F34/1000</f>
        <v>10.786914999999999</v>
      </c>
      <c r="I34" s="13">
        <f t="shared" si="2"/>
        <v>1797.8191666666667</v>
      </c>
      <c r="J34" s="22"/>
      <c r="K34" s="8"/>
      <c r="L34" s="8"/>
      <c r="M34" s="8"/>
    </row>
    <row r="35" spans="1:14" ht="15.75" customHeight="1">
      <c r="A35" s="29">
        <v>10</v>
      </c>
      <c r="B35" s="69" t="s">
        <v>129</v>
      </c>
      <c r="C35" s="70" t="s">
        <v>31</v>
      </c>
      <c r="D35" s="69" t="s">
        <v>65</v>
      </c>
      <c r="E35" s="76">
        <v>0.33333333333333331</v>
      </c>
      <c r="F35" s="72">
        <f>155/3</f>
        <v>51.666666666666664</v>
      </c>
      <c r="G35" s="72">
        <v>60.6</v>
      </c>
      <c r="H35" s="73">
        <f>SUM(G35*155/3/1000)</f>
        <v>3.1309999999999998</v>
      </c>
      <c r="I35" s="13">
        <f t="shared" si="2"/>
        <v>521.83333333333337</v>
      </c>
      <c r="J35" s="22"/>
      <c r="K35" s="8"/>
    </row>
    <row r="36" spans="1:14" ht="15.75" hidden="1" customHeight="1">
      <c r="A36" s="29"/>
      <c r="B36" s="69" t="s">
        <v>67</v>
      </c>
      <c r="C36" s="70" t="s">
        <v>34</v>
      </c>
      <c r="D36" s="69" t="s">
        <v>69</v>
      </c>
      <c r="E36" s="71"/>
      <c r="F36" s="72">
        <v>3</v>
      </c>
      <c r="G36" s="72">
        <v>204.52</v>
      </c>
      <c r="H36" s="73">
        <f t="shared" si="1"/>
        <v>0.61356000000000011</v>
      </c>
      <c r="I36" s="13">
        <v>0</v>
      </c>
      <c r="J36" s="23"/>
    </row>
    <row r="37" spans="1:14" ht="15.75" hidden="1" customHeight="1">
      <c r="A37" s="29"/>
      <c r="B37" s="69" t="s">
        <v>68</v>
      </c>
      <c r="C37" s="70" t="s">
        <v>33</v>
      </c>
      <c r="D37" s="69" t="s">
        <v>69</v>
      </c>
      <c r="E37" s="71"/>
      <c r="F37" s="72">
        <v>2</v>
      </c>
      <c r="G37" s="72">
        <v>1214.74</v>
      </c>
      <c r="H37" s="73">
        <f t="shared" si="1"/>
        <v>2.4294799999999999</v>
      </c>
      <c r="I37" s="13">
        <v>0</v>
      </c>
      <c r="J37" s="23"/>
    </row>
    <row r="38" spans="1:14" ht="15.75" hidden="1" customHeight="1">
      <c r="A38" s="29"/>
      <c r="B38" s="46" t="s">
        <v>159</v>
      </c>
      <c r="C38" s="65" t="s">
        <v>29</v>
      </c>
      <c r="D38" s="69"/>
      <c r="E38" s="71">
        <v>360.36</v>
      </c>
      <c r="F38" s="72">
        <f>E38*36/1000</f>
        <v>12.97296</v>
      </c>
      <c r="G38" s="72">
        <v>3228.73</v>
      </c>
      <c r="H38" s="73">
        <f t="shared" si="1"/>
        <v>41.886185140800002</v>
      </c>
      <c r="I38" s="13">
        <v>0</v>
      </c>
      <c r="J38" s="23"/>
    </row>
    <row r="39" spans="1:14" ht="15.75" hidden="1" customHeight="1">
      <c r="A39" s="29"/>
      <c r="B39" s="90" t="s">
        <v>5</v>
      </c>
      <c r="C39" s="70"/>
      <c r="D39" s="69"/>
      <c r="E39" s="71"/>
      <c r="F39" s="72"/>
      <c r="G39" s="72"/>
      <c r="H39" s="73" t="s">
        <v>143</v>
      </c>
      <c r="I39" s="13"/>
      <c r="J39" s="23"/>
    </row>
    <row r="40" spans="1:14" ht="15.75" hidden="1" customHeight="1">
      <c r="A40" s="29">
        <v>8</v>
      </c>
      <c r="B40" s="69" t="s">
        <v>26</v>
      </c>
      <c r="C40" s="70" t="s">
        <v>33</v>
      </c>
      <c r="D40" s="69"/>
      <c r="E40" s="71"/>
      <c r="F40" s="72">
        <v>10</v>
      </c>
      <c r="G40" s="72">
        <v>1632.6</v>
      </c>
      <c r="H40" s="73">
        <f t="shared" ref="H40:H46" si="3">SUM(F40*G40/1000)</f>
        <v>16.326000000000001</v>
      </c>
      <c r="I40" s="13">
        <f>F40/6*G40</f>
        <v>2721</v>
      </c>
      <c r="J40" s="23"/>
      <c r="L40" s="19"/>
      <c r="M40" s="20"/>
      <c r="N40" s="21"/>
    </row>
    <row r="41" spans="1:14" ht="15.75" hidden="1" customHeight="1">
      <c r="A41" s="29">
        <v>9</v>
      </c>
      <c r="B41" s="69" t="s">
        <v>70</v>
      </c>
      <c r="C41" s="70" t="s">
        <v>29</v>
      </c>
      <c r="D41" s="69" t="s">
        <v>130</v>
      </c>
      <c r="E41" s="72">
        <v>469.73</v>
      </c>
      <c r="F41" s="72">
        <f>SUM(E41*30/1000)</f>
        <v>14.091900000000001</v>
      </c>
      <c r="G41" s="72">
        <v>2247.8000000000002</v>
      </c>
      <c r="H41" s="73">
        <f t="shared" si="3"/>
        <v>31.675772820000006</v>
      </c>
      <c r="I41" s="13">
        <f>F41/6*G41</f>
        <v>5279.2954700000009</v>
      </c>
      <c r="J41" s="23"/>
      <c r="L41" s="19"/>
      <c r="M41" s="20"/>
      <c r="N41" s="21"/>
    </row>
    <row r="42" spans="1:14" ht="15.75" hidden="1" customHeight="1">
      <c r="A42" s="29"/>
      <c r="B42" s="69" t="s">
        <v>102</v>
      </c>
      <c r="C42" s="70" t="s">
        <v>147</v>
      </c>
      <c r="D42" s="69" t="s">
        <v>69</v>
      </c>
      <c r="E42" s="71"/>
      <c r="F42" s="72">
        <v>120</v>
      </c>
      <c r="G42" s="72">
        <v>213.2</v>
      </c>
      <c r="H42" s="73">
        <f t="shared" si="3"/>
        <v>25.584</v>
      </c>
      <c r="I42" s="13">
        <v>0</v>
      </c>
      <c r="J42" s="23"/>
      <c r="L42" s="19"/>
      <c r="M42" s="20"/>
      <c r="N42" s="21"/>
    </row>
    <row r="43" spans="1:14" ht="15.75" hidden="1" customHeight="1">
      <c r="A43" s="29">
        <v>10</v>
      </c>
      <c r="B43" s="69" t="s">
        <v>71</v>
      </c>
      <c r="C43" s="70" t="s">
        <v>29</v>
      </c>
      <c r="D43" s="69" t="s">
        <v>131</v>
      </c>
      <c r="E43" s="72">
        <v>475.06</v>
      </c>
      <c r="F43" s="72">
        <f>SUM(E43*155/1000)</f>
        <v>73.634299999999996</v>
      </c>
      <c r="G43" s="72">
        <v>374.95</v>
      </c>
      <c r="H43" s="73">
        <f t="shared" si="3"/>
        <v>27.609180784999996</v>
      </c>
      <c r="I43" s="13">
        <f>F43/6*G43</f>
        <v>4601.5301308333328</v>
      </c>
      <c r="J43" s="23"/>
      <c r="L43" s="19"/>
      <c r="M43" s="20"/>
      <c r="N43" s="21"/>
    </row>
    <row r="44" spans="1:14" ht="47.25" hidden="1" customHeight="1">
      <c r="A44" s="29">
        <v>11</v>
      </c>
      <c r="B44" s="69" t="s">
        <v>87</v>
      </c>
      <c r="C44" s="70" t="s">
        <v>126</v>
      </c>
      <c r="D44" s="69" t="s">
        <v>148</v>
      </c>
      <c r="E44" s="72">
        <v>40.6</v>
      </c>
      <c r="F44" s="72">
        <f>SUM(E44*35/1000)</f>
        <v>1.421</v>
      </c>
      <c r="G44" s="72">
        <v>6203.7</v>
      </c>
      <c r="H44" s="73">
        <f t="shared" si="3"/>
        <v>8.8154577000000014</v>
      </c>
      <c r="I44" s="13">
        <f>F44/6*G44</f>
        <v>1469.2429500000001</v>
      </c>
      <c r="J44" s="23"/>
      <c r="L44" s="19"/>
      <c r="M44" s="20"/>
      <c r="N44" s="21"/>
    </row>
    <row r="45" spans="1:14" ht="15.75" hidden="1" customHeight="1">
      <c r="A45" s="29">
        <v>12</v>
      </c>
      <c r="B45" s="69" t="s">
        <v>132</v>
      </c>
      <c r="C45" s="70" t="s">
        <v>126</v>
      </c>
      <c r="D45" s="69" t="s">
        <v>72</v>
      </c>
      <c r="E45" s="72">
        <v>167.03</v>
      </c>
      <c r="F45" s="72">
        <f>SUM(E45*45/1000)</f>
        <v>7.5163500000000001</v>
      </c>
      <c r="G45" s="72">
        <v>458.28</v>
      </c>
      <c r="H45" s="73">
        <f t="shared" si="3"/>
        <v>3.4445928779999999</v>
      </c>
      <c r="I45" s="13">
        <f>F45/6*G45</f>
        <v>574.09881299999995</v>
      </c>
      <c r="J45" s="23"/>
      <c r="L45" s="19"/>
      <c r="M45" s="20"/>
      <c r="N45" s="21"/>
    </row>
    <row r="46" spans="1:14" ht="15.75" hidden="1" customHeight="1">
      <c r="A46" s="29">
        <v>13</v>
      </c>
      <c r="B46" s="69" t="s">
        <v>73</v>
      </c>
      <c r="C46" s="70" t="s">
        <v>34</v>
      </c>
      <c r="D46" s="69"/>
      <c r="E46" s="71"/>
      <c r="F46" s="72">
        <v>1.2</v>
      </c>
      <c r="G46" s="72">
        <v>853.06</v>
      </c>
      <c r="H46" s="73">
        <f t="shared" si="3"/>
        <v>1.0236719999999999</v>
      </c>
      <c r="I46" s="13">
        <f>F46/6*G46</f>
        <v>170.61199999999997</v>
      </c>
      <c r="J46" s="23"/>
      <c r="L46" s="19"/>
      <c r="M46" s="20"/>
      <c r="N46" s="21"/>
    </row>
    <row r="47" spans="1:14" ht="15.75" customHeight="1">
      <c r="A47" s="122" t="s">
        <v>153</v>
      </c>
      <c r="B47" s="123"/>
      <c r="C47" s="123"/>
      <c r="D47" s="123"/>
      <c r="E47" s="123"/>
      <c r="F47" s="123"/>
      <c r="G47" s="123"/>
      <c r="H47" s="123"/>
      <c r="I47" s="124"/>
      <c r="J47" s="23"/>
      <c r="L47" s="19"/>
      <c r="M47" s="20"/>
      <c r="N47" s="21"/>
    </row>
    <row r="48" spans="1:14" ht="15.75" hidden="1" customHeight="1">
      <c r="A48" s="29"/>
      <c r="B48" s="69" t="s">
        <v>133</v>
      </c>
      <c r="C48" s="70" t="s">
        <v>126</v>
      </c>
      <c r="D48" s="69" t="s">
        <v>42</v>
      </c>
      <c r="E48" s="71">
        <v>1603.6</v>
      </c>
      <c r="F48" s="72">
        <f>SUM(E48*2/1000)</f>
        <v>3.2071999999999998</v>
      </c>
      <c r="G48" s="13">
        <v>908.11</v>
      </c>
      <c r="H48" s="73">
        <f t="shared" ref="H48:H56" si="4">SUM(F48*G48/1000)</f>
        <v>2.9124903919999996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9" t="s">
        <v>35</v>
      </c>
      <c r="C49" s="70" t="s">
        <v>126</v>
      </c>
      <c r="D49" s="69" t="s">
        <v>42</v>
      </c>
      <c r="E49" s="71">
        <v>65</v>
      </c>
      <c r="F49" s="72">
        <f>SUM(E49*2/1000)</f>
        <v>0.13</v>
      </c>
      <c r="G49" s="13">
        <v>619.46</v>
      </c>
      <c r="H49" s="73">
        <f t="shared" si="4"/>
        <v>8.0529800000000012E-2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9" t="s">
        <v>36</v>
      </c>
      <c r="C50" s="70" t="s">
        <v>126</v>
      </c>
      <c r="D50" s="69" t="s">
        <v>42</v>
      </c>
      <c r="E50" s="71">
        <v>1825.8</v>
      </c>
      <c r="F50" s="72">
        <f>SUM(E50*2/1000)</f>
        <v>3.6515999999999997</v>
      </c>
      <c r="G50" s="13">
        <v>619.46</v>
      </c>
      <c r="H50" s="73">
        <f t="shared" si="4"/>
        <v>2.2620201360000003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69" t="s">
        <v>37</v>
      </c>
      <c r="C51" s="70" t="s">
        <v>126</v>
      </c>
      <c r="D51" s="69" t="s">
        <v>42</v>
      </c>
      <c r="E51" s="71">
        <v>3163.96</v>
      </c>
      <c r="F51" s="72">
        <f>SUM(E51*2/1000)</f>
        <v>6.3279199999999998</v>
      </c>
      <c r="G51" s="13">
        <v>648.64</v>
      </c>
      <c r="H51" s="73">
        <f t="shared" si="4"/>
        <v>4.1045420287999992</v>
      </c>
      <c r="I51" s="13">
        <v>0</v>
      </c>
      <c r="J51" s="23"/>
      <c r="L51" s="19"/>
      <c r="M51" s="20"/>
      <c r="N51" s="21"/>
    </row>
    <row r="52" spans="1:22" ht="15.75" hidden="1" customHeight="1">
      <c r="A52" s="29">
        <v>14</v>
      </c>
      <c r="B52" s="69" t="s">
        <v>58</v>
      </c>
      <c r="C52" s="70" t="s">
        <v>126</v>
      </c>
      <c r="D52" s="69" t="s">
        <v>192</v>
      </c>
      <c r="E52" s="71">
        <v>1583</v>
      </c>
      <c r="F52" s="72">
        <f>SUM(E52*5/1000)</f>
        <v>7.915</v>
      </c>
      <c r="G52" s="13">
        <v>1297.28</v>
      </c>
      <c r="H52" s="73">
        <f t="shared" si="4"/>
        <v>10.2679712</v>
      </c>
      <c r="I52" s="13">
        <f>F52/5*G52</f>
        <v>2053.5942399999999</v>
      </c>
      <c r="J52" s="23"/>
      <c r="L52" s="19"/>
      <c r="M52" s="20"/>
      <c r="N52" s="21"/>
    </row>
    <row r="53" spans="1:22" ht="31.5" customHeight="1">
      <c r="A53" s="29">
        <v>11</v>
      </c>
      <c r="B53" s="69" t="s">
        <v>134</v>
      </c>
      <c r="C53" s="70" t="s">
        <v>126</v>
      </c>
      <c r="D53" s="69" t="s">
        <v>42</v>
      </c>
      <c r="E53" s="71">
        <v>1583</v>
      </c>
      <c r="F53" s="72">
        <f>SUM(E53*2/1000)</f>
        <v>3.1659999999999999</v>
      </c>
      <c r="G53" s="13">
        <v>1297.28</v>
      </c>
      <c r="H53" s="73">
        <f t="shared" si="4"/>
        <v>4.1071884799999996</v>
      </c>
      <c r="I53" s="13">
        <f>F53/2*G53</f>
        <v>2053.5942399999999</v>
      </c>
      <c r="J53" s="23"/>
      <c r="L53" s="19"/>
      <c r="M53" s="20"/>
      <c r="N53" s="21"/>
    </row>
    <row r="54" spans="1:22" ht="31.5" customHeight="1">
      <c r="A54" s="29">
        <v>12</v>
      </c>
      <c r="B54" s="69" t="s">
        <v>135</v>
      </c>
      <c r="C54" s="70" t="s">
        <v>38</v>
      </c>
      <c r="D54" s="69" t="s">
        <v>42</v>
      </c>
      <c r="E54" s="71">
        <v>25</v>
      </c>
      <c r="F54" s="72">
        <f>SUM(E54*2/100)</f>
        <v>0.5</v>
      </c>
      <c r="G54" s="13">
        <v>2918.89</v>
      </c>
      <c r="H54" s="73">
        <f t="shared" si="4"/>
        <v>1.4594449999999999</v>
      </c>
      <c r="I54" s="13">
        <f t="shared" ref="I54:I55" si="5">F54/2*G54</f>
        <v>729.72249999999997</v>
      </c>
      <c r="J54" s="23"/>
      <c r="L54" s="19"/>
      <c r="M54" s="20"/>
      <c r="N54" s="21"/>
    </row>
    <row r="55" spans="1:22" ht="15.75" customHeight="1">
      <c r="A55" s="29">
        <v>13</v>
      </c>
      <c r="B55" s="69" t="s">
        <v>39</v>
      </c>
      <c r="C55" s="70" t="s">
        <v>40</v>
      </c>
      <c r="D55" s="69" t="s">
        <v>42</v>
      </c>
      <c r="E55" s="71">
        <v>1</v>
      </c>
      <c r="F55" s="72">
        <v>0.02</v>
      </c>
      <c r="G55" s="13">
        <v>6042.12</v>
      </c>
      <c r="H55" s="73">
        <f t="shared" si="4"/>
        <v>0.1208424</v>
      </c>
      <c r="I55" s="13">
        <f t="shared" si="5"/>
        <v>60.421199999999999</v>
      </c>
      <c r="J55" s="23"/>
      <c r="L55" s="19"/>
      <c r="M55" s="20"/>
      <c r="N55" s="21"/>
    </row>
    <row r="56" spans="1:22" ht="15.75" customHeight="1">
      <c r="A56" s="29">
        <v>14</v>
      </c>
      <c r="B56" s="69" t="s">
        <v>41</v>
      </c>
      <c r="C56" s="70" t="s">
        <v>31</v>
      </c>
      <c r="D56" s="69" t="s">
        <v>74</v>
      </c>
      <c r="E56" s="71">
        <v>36</v>
      </c>
      <c r="F56" s="72">
        <f>SUM(E56)*3</f>
        <v>108</v>
      </c>
      <c r="G56" s="13">
        <v>70.209999999999994</v>
      </c>
      <c r="H56" s="73">
        <f t="shared" si="4"/>
        <v>7.582679999999999</v>
      </c>
      <c r="I56" s="13">
        <f>E56*G56</f>
        <v>2527.56</v>
      </c>
      <c r="J56" s="23"/>
      <c r="L56" s="19"/>
      <c r="M56" s="20"/>
      <c r="N56" s="21"/>
    </row>
    <row r="57" spans="1:22" ht="15.75" customHeight="1">
      <c r="A57" s="122" t="s">
        <v>154</v>
      </c>
      <c r="B57" s="123"/>
      <c r="C57" s="123"/>
      <c r="D57" s="123"/>
      <c r="E57" s="123"/>
      <c r="F57" s="123"/>
      <c r="G57" s="123"/>
      <c r="H57" s="123"/>
      <c r="I57" s="124"/>
      <c r="J57" s="23"/>
      <c r="L57" s="19"/>
      <c r="M57" s="20"/>
      <c r="N57" s="21"/>
    </row>
    <row r="58" spans="1:22" ht="15.75" hidden="1" customHeight="1">
      <c r="A58" s="29"/>
      <c r="B58" s="90" t="s">
        <v>43</v>
      </c>
      <c r="C58" s="70"/>
      <c r="D58" s="69"/>
      <c r="E58" s="71"/>
      <c r="F58" s="72"/>
      <c r="G58" s="72"/>
      <c r="H58" s="73"/>
      <c r="I58" s="13"/>
      <c r="J58" s="23"/>
      <c r="L58" s="19"/>
      <c r="M58" s="20"/>
      <c r="N58" s="21"/>
    </row>
    <row r="59" spans="1:22" ht="31.5" hidden="1" customHeight="1">
      <c r="A59" s="29">
        <v>16</v>
      </c>
      <c r="B59" s="69" t="s">
        <v>149</v>
      </c>
      <c r="C59" s="70" t="s">
        <v>115</v>
      </c>
      <c r="D59" s="69" t="s">
        <v>75</v>
      </c>
      <c r="E59" s="78">
        <v>3.78</v>
      </c>
      <c r="F59" s="13">
        <f>E59*6/100</f>
        <v>0.2268</v>
      </c>
      <c r="G59" s="72">
        <v>1654.04</v>
      </c>
      <c r="H59" s="73">
        <f>SUM(F59*G59/1000)</f>
        <v>0.37513627199999999</v>
      </c>
      <c r="I59" s="13">
        <f>F59/6*G59</f>
        <v>62.522711999999999</v>
      </c>
      <c r="J59" s="23"/>
      <c r="L59" s="19"/>
      <c r="M59" s="20"/>
      <c r="N59" s="21"/>
    </row>
    <row r="60" spans="1:22" ht="31.5" hidden="1" customHeight="1">
      <c r="A60" s="29">
        <v>17</v>
      </c>
      <c r="B60" s="69" t="s">
        <v>137</v>
      </c>
      <c r="C60" s="70" t="s">
        <v>115</v>
      </c>
      <c r="D60" s="69" t="s">
        <v>75</v>
      </c>
      <c r="E60" s="71">
        <v>185.36</v>
      </c>
      <c r="F60" s="72">
        <f>E60*6/100</f>
        <v>11.121600000000001</v>
      </c>
      <c r="G60" s="79">
        <v>1654.04</v>
      </c>
      <c r="H60" s="73">
        <f>F60*G60/1000</f>
        <v>18.395571264000001</v>
      </c>
      <c r="I60" s="13">
        <f>F60/6*G60</f>
        <v>3065.9285440000003</v>
      </c>
      <c r="J60" s="23"/>
      <c r="L60" s="19"/>
    </row>
    <row r="61" spans="1:22" ht="15.75" hidden="1" customHeight="1">
      <c r="A61" s="29"/>
      <c r="B61" s="80" t="s">
        <v>108</v>
      </c>
      <c r="C61" s="70" t="s">
        <v>109</v>
      </c>
      <c r="D61" s="80" t="s">
        <v>42</v>
      </c>
      <c r="E61" s="81">
        <v>5</v>
      </c>
      <c r="F61" s="82">
        <v>10</v>
      </c>
      <c r="G61" s="79">
        <v>198.25</v>
      </c>
      <c r="H61" s="83">
        <v>0.99099999999999999</v>
      </c>
      <c r="I61" s="13">
        <v>0</v>
      </c>
      <c r="J61" s="23"/>
      <c r="L61" s="19"/>
    </row>
    <row r="62" spans="1:22" ht="15.75" customHeight="1">
      <c r="A62" s="29"/>
      <c r="B62" s="91" t="s">
        <v>44</v>
      </c>
      <c r="C62" s="84"/>
      <c r="D62" s="80"/>
      <c r="E62" s="81"/>
      <c r="F62" s="82"/>
      <c r="G62" s="85"/>
      <c r="H62" s="83"/>
      <c r="I62" s="13"/>
    </row>
    <row r="63" spans="1:22" ht="15.75" hidden="1" customHeight="1">
      <c r="A63" s="29"/>
      <c r="B63" s="80" t="s">
        <v>45</v>
      </c>
      <c r="C63" s="84" t="s">
        <v>53</v>
      </c>
      <c r="D63" s="80" t="s">
        <v>54</v>
      </c>
      <c r="E63" s="81">
        <v>1752</v>
      </c>
      <c r="F63" s="82">
        <f>E63/100</f>
        <v>17.52</v>
      </c>
      <c r="G63" s="72">
        <v>848.37</v>
      </c>
      <c r="H63" s="83">
        <f>G63*F63/1000</f>
        <v>14.8634424</v>
      </c>
      <c r="I63" s="13">
        <v>0</v>
      </c>
    </row>
    <row r="64" spans="1:22" ht="15.75" customHeight="1">
      <c r="A64" s="29">
        <v>15</v>
      </c>
      <c r="B64" s="80" t="s">
        <v>103</v>
      </c>
      <c r="C64" s="84" t="s">
        <v>25</v>
      </c>
      <c r="D64" s="80" t="s">
        <v>160</v>
      </c>
      <c r="E64" s="81">
        <v>352</v>
      </c>
      <c r="F64" s="82">
        <f>E64*12</f>
        <v>4224</v>
      </c>
      <c r="G64" s="72">
        <v>2.6</v>
      </c>
      <c r="H64" s="83">
        <f>G64*F64/1000</f>
        <v>10.9824</v>
      </c>
      <c r="I64" s="13">
        <f>F64/12*G64</f>
        <v>915.2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29"/>
      <c r="B65" s="91" t="s">
        <v>46</v>
      </c>
      <c r="C65" s="84"/>
      <c r="D65" s="80"/>
      <c r="E65" s="81"/>
      <c r="F65" s="82"/>
      <c r="G65" s="92"/>
      <c r="H65" s="83" t="s">
        <v>143</v>
      </c>
      <c r="I65" s="13"/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29">
        <v>16</v>
      </c>
      <c r="B66" s="14" t="s">
        <v>47</v>
      </c>
      <c r="C66" s="16" t="s">
        <v>136</v>
      </c>
      <c r="D66" s="14" t="s">
        <v>69</v>
      </c>
      <c r="E66" s="18">
        <v>10</v>
      </c>
      <c r="F66" s="72">
        <v>10</v>
      </c>
      <c r="G66" s="13">
        <v>237.74</v>
      </c>
      <c r="H66" s="66">
        <f t="shared" ref="H66:H80" si="6">SUM(F66*G66/1000)</f>
        <v>2.3774000000000002</v>
      </c>
      <c r="I66" s="13">
        <f>G66*5</f>
        <v>1188.7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48</v>
      </c>
      <c r="C67" s="16" t="s">
        <v>136</v>
      </c>
      <c r="D67" s="14" t="s">
        <v>69</v>
      </c>
      <c r="E67" s="18">
        <v>5</v>
      </c>
      <c r="F67" s="72">
        <v>5</v>
      </c>
      <c r="G67" s="13">
        <v>81.510000000000005</v>
      </c>
      <c r="H67" s="66">
        <f t="shared" si="6"/>
        <v>0.40755000000000002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10"/>
      <c r="S67" s="110"/>
      <c r="T67" s="110"/>
      <c r="U67" s="110"/>
    </row>
    <row r="68" spans="1:21" ht="15.75" hidden="1" customHeight="1">
      <c r="A68" s="29"/>
      <c r="B68" s="14" t="s">
        <v>49</v>
      </c>
      <c r="C68" s="16" t="s">
        <v>138</v>
      </c>
      <c r="D68" s="14" t="s">
        <v>54</v>
      </c>
      <c r="E68" s="71">
        <v>23808</v>
      </c>
      <c r="F68" s="13">
        <f>SUM(E68/100)</f>
        <v>238.08</v>
      </c>
      <c r="G68" s="13">
        <v>226.79</v>
      </c>
      <c r="H68" s="66">
        <f t="shared" si="6"/>
        <v>53.994163200000003</v>
      </c>
      <c r="I68" s="13">
        <f>F68*G68</f>
        <v>53994.163200000003</v>
      </c>
    </row>
    <row r="69" spans="1:21" ht="15.75" hidden="1" customHeight="1">
      <c r="A69" s="29"/>
      <c r="B69" s="14" t="s">
        <v>50</v>
      </c>
      <c r="C69" s="16" t="s">
        <v>139</v>
      </c>
      <c r="D69" s="14"/>
      <c r="E69" s="71">
        <v>23808</v>
      </c>
      <c r="F69" s="13">
        <f>SUM(E69/1000)</f>
        <v>23.808</v>
      </c>
      <c r="G69" s="13">
        <v>176.61</v>
      </c>
      <c r="H69" s="66">
        <f t="shared" si="6"/>
        <v>4.2047308800000005</v>
      </c>
      <c r="I69" s="13">
        <f t="shared" ref="I69:I73" si="7">F69*G69</f>
        <v>4204.7308800000001</v>
      </c>
    </row>
    <row r="70" spans="1:21" ht="15.75" hidden="1" customHeight="1">
      <c r="A70" s="29"/>
      <c r="B70" s="14" t="s">
        <v>51</v>
      </c>
      <c r="C70" s="16" t="s">
        <v>80</v>
      </c>
      <c r="D70" s="14" t="s">
        <v>54</v>
      </c>
      <c r="E70" s="71">
        <v>3810</v>
      </c>
      <c r="F70" s="13">
        <f>SUM(E70/100)</f>
        <v>38.1</v>
      </c>
      <c r="G70" s="13">
        <v>2217.7800000000002</v>
      </c>
      <c r="H70" s="66">
        <f t="shared" si="6"/>
        <v>84.49741800000001</v>
      </c>
      <c r="I70" s="13">
        <f t="shared" si="7"/>
        <v>84497.418000000005</v>
      </c>
    </row>
    <row r="71" spans="1:21" ht="15.75" hidden="1" customHeight="1">
      <c r="A71" s="29"/>
      <c r="B71" s="86" t="s">
        <v>140</v>
      </c>
      <c r="C71" s="16" t="s">
        <v>34</v>
      </c>
      <c r="D71" s="14"/>
      <c r="E71" s="71">
        <v>23.4</v>
      </c>
      <c r="F71" s="13">
        <f>SUM(E71)</f>
        <v>23.4</v>
      </c>
      <c r="G71" s="13">
        <v>42.67</v>
      </c>
      <c r="H71" s="66">
        <f t="shared" si="6"/>
        <v>0.99847799999999998</v>
      </c>
      <c r="I71" s="13">
        <f t="shared" si="7"/>
        <v>998.47799999999995</v>
      </c>
    </row>
    <row r="72" spans="1:21" ht="15.75" hidden="1" customHeight="1">
      <c r="A72" s="29"/>
      <c r="B72" s="86" t="s">
        <v>150</v>
      </c>
      <c r="C72" s="16" t="s">
        <v>34</v>
      </c>
      <c r="D72" s="14"/>
      <c r="E72" s="71">
        <v>23.4</v>
      </c>
      <c r="F72" s="13">
        <f>SUM(E72)</f>
        <v>23.4</v>
      </c>
      <c r="G72" s="13">
        <v>39.81</v>
      </c>
      <c r="H72" s="66">
        <f t="shared" si="6"/>
        <v>0.93155399999999999</v>
      </c>
      <c r="I72" s="13">
        <f t="shared" si="7"/>
        <v>931.55399999999997</v>
      </c>
    </row>
    <row r="73" spans="1:21" ht="15.75" hidden="1" customHeight="1">
      <c r="A73" s="29"/>
      <c r="B73" s="14" t="s">
        <v>59</v>
      </c>
      <c r="C73" s="16" t="s">
        <v>60</v>
      </c>
      <c r="D73" s="14" t="s">
        <v>54</v>
      </c>
      <c r="E73" s="18">
        <v>5</v>
      </c>
      <c r="F73" s="72">
        <f>SUM(E73)</f>
        <v>5</v>
      </c>
      <c r="G73" s="13">
        <v>53.32</v>
      </c>
      <c r="H73" s="66">
        <f t="shared" si="6"/>
        <v>0.2666</v>
      </c>
      <c r="I73" s="13">
        <f t="shared" si="7"/>
        <v>266.60000000000002</v>
      </c>
    </row>
    <row r="74" spans="1:21" ht="15.75" customHeight="1">
      <c r="A74" s="29">
        <v>17</v>
      </c>
      <c r="B74" s="14" t="s">
        <v>151</v>
      </c>
      <c r="C74" s="16" t="s">
        <v>60</v>
      </c>
      <c r="D74" s="14" t="s">
        <v>30</v>
      </c>
      <c r="E74" s="18">
        <v>1</v>
      </c>
      <c r="F74" s="59">
        <v>12</v>
      </c>
      <c r="G74" s="13">
        <v>711</v>
      </c>
      <c r="H74" s="66">
        <v>8.5310000000000006</v>
      </c>
      <c r="I74" s="13">
        <f>F74/12*G74</f>
        <v>711</v>
      </c>
    </row>
    <row r="75" spans="1:21" ht="15.75" hidden="1" customHeight="1">
      <c r="A75" s="29"/>
      <c r="B75" s="54" t="s">
        <v>76</v>
      </c>
      <c r="C75" s="16"/>
      <c r="D75" s="14"/>
      <c r="E75" s="18"/>
      <c r="F75" s="13"/>
      <c r="G75" s="13"/>
      <c r="H75" s="66" t="s">
        <v>143</v>
      </c>
      <c r="I75" s="13"/>
    </row>
    <row r="76" spans="1:21" ht="15.75" hidden="1" customHeight="1">
      <c r="A76" s="29"/>
      <c r="B76" s="14" t="s">
        <v>77</v>
      </c>
      <c r="C76" s="16" t="s">
        <v>32</v>
      </c>
      <c r="D76" s="14" t="s">
        <v>69</v>
      </c>
      <c r="E76" s="18">
        <v>2</v>
      </c>
      <c r="F76" s="59">
        <v>0.2</v>
      </c>
      <c r="G76" s="13">
        <v>536.23</v>
      </c>
      <c r="H76" s="66">
        <v>0.107</v>
      </c>
      <c r="I76" s="13">
        <v>0</v>
      </c>
    </row>
    <row r="77" spans="1:21" ht="15.75" hidden="1" customHeight="1">
      <c r="A77" s="29"/>
      <c r="B77" s="14" t="s">
        <v>94</v>
      </c>
      <c r="C77" s="16" t="s">
        <v>31</v>
      </c>
      <c r="D77" s="14"/>
      <c r="E77" s="18">
        <v>1</v>
      </c>
      <c r="F77" s="72">
        <f>SUM(E77)</f>
        <v>1</v>
      </c>
      <c r="G77" s="13">
        <v>383.25</v>
      </c>
      <c r="H77" s="66">
        <f t="shared" si="6"/>
        <v>0.38324999999999998</v>
      </c>
      <c r="I77" s="13">
        <v>0</v>
      </c>
    </row>
    <row r="78" spans="1:21" ht="15.75" hidden="1" customHeight="1">
      <c r="A78" s="29"/>
      <c r="B78" s="14" t="s">
        <v>78</v>
      </c>
      <c r="C78" s="16" t="s">
        <v>31</v>
      </c>
      <c r="D78" s="14"/>
      <c r="E78" s="18">
        <v>1</v>
      </c>
      <c r="F78" s="13">
        <v>1</v>
      </c>
      <c r="G78" s="13">
        <v>911.85</v>
      </c>
      <c r="H78" s="66">
        <f>F78*G78/1000</f>
        <v>0.91185000000000005</v>
      </c>
      <c r="I78" s="13">
        <v>0</v>
      </c>
    </row>
    <row r="79" spans="1:21" ht="15.75" hidden="1" customHeight="1">
      <c r="A79" s="29"/>
      <c r="B79" s="87" t="s">
        <v>79</v>
      </c>
      <c r="C79" s="16"/>
      <c r="D79" s="14"/>
      <c r="E79" s="18"/>
      <c r="F79" s="13"/>
      <c r="G79" s="13" t="s">
        <v>143</v>
      </c>
      <c r="H79" s="66" t="s">
        <v>143</v>
      </c>
      <c r="I79" s="13"/>
    </row>
    <row r="80" spans="1:21" ht="15.75" hidden="1" customHeight="1">
      <c r="A80" s="29"/>
      <c r="B80" s="42" t="s">
        <v>144</v>
      </c>
      <c r="C80" s="16" t="s">
        <v>80</v>
      </c>
      <c r="D80" s="14"/>
      <c r="E80" s="18"/>
      <c r="F80" s="13">
        <v>0.6</v>
      </c>
      <c r="G80" s="13">
        <v>2949.85</v>
      </c>
      <c r="H80" s="66">
        <f t="shared" si="6"/>
        <v>1.7699099999999999</v>
      </c>
      <c r="I80" s="13">
        <v>0</v>
      </c>
      <c r="J80" s="5"/>
      <c r="K80" s="5"/>
      <c r="L80" s="5"/>
      <c r="M80" s="5"/>
      <c r="N80" s="5"/>
      <c r="O80" s="5"/>
      <c r="P80" s="5"/>
      <c r="Q80" s="5"/>
      <c r="R80" s="53"/>
      <c r="S80" s="53"/>
      <c r="T80" s="53"/>
      <c r="U80" s="53"/>
    </row>
    <row r="81" spans="1:21" ht="15.75" hidden="1" customHeight="1">
      <c r="A81" s="43"/>
      <c r="B81" s="54" t="s">
        <v>141</v>
      </c>
      <c r="C81" s="54"/>
      <c r="D81" s="54"/>
      <c r="E81" s="54"/>
      <c r="F81" s="54"/>
      <c r="G81" s="54"/>
      <c r="H81" s="54"/>
      <c r="I81" s="18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29"/>
      <c r="B82" s="69" t="s">
        <v>142</v>
      </c>
      <c r="C82" s="16"/>
      <c r="D82" s="14"/>
      <c r="E82" s="60"/>
      <c r="F82" s="13">
        <v>1</v>
      </c>
      <c r="G82" s="13">
        <v>21062.799999999999</v>
      </c>
      <c r="H82" s="66">
        <f>G82*F82/1000</f>
        <v>21.062799999999999</v>
      </c>
      <c r="I82" s="13">
        <v>0</v>
      </c>
      <c r="J82" s="5"/>
      <c r="K82" s="5"/>
      <c r="L82" s="5"/>
      <c r="M82" s="5"/>
      <c r="N82" s="5"/>
      <c r="O82" s="5"/>
      <c r="P82" s="5"/>
      <c r="Q82" s="5"/>
      <c r="R82" s="53"/>
      <c r="S82" s="53"/>
      <c r="T82" s="53"/>
      <c r="U82" s="53"/>
    </row>
    <row r="83" spans="1:21" ht="15.75" customHeight="1">
      <c r="A83" s="111" t="s">
        <v>155</v>
      </c>
      <c r="B83" s="112"/>
      <c r="C83" s="112"/>
      <c r="D83" s="112"/>
      <c r="E83" s="112"/>
      <c r="F83" s="112"/>
      <c r="G83" s="112"/>
      <c r="H83" s="112"/>
      <c r="I83" s="113"/>
    </row>
    <row r="84" spans="1:21" ht="15.75" customHeight="1">
      <c r="A84" s="29">
        <v>18</v>
      </c>
      <c r="B84" s="69" t="s">
        <v>145</v>
      </c>
      <c r="C84" s="16" t="s">
        <v>56</v>
      </c>
      <c r="D84" s="88" t="s">
        <v>57</v>
      </c>
      <c r="E84" s="13">
        <v>5816.5</v>
      </c>
      <c r="F84" s="13">
        <f>SUM(E84*12)</f>
        <v>69798</v>
      </c>
      <c r="G84" s="13">
        <v>2.54</v>
      </c>
      <c r="H84" s="66">
        <f>SUM(F84*G84/1000)</f>
        <v>177.28692000000001</v>
      </c>
      <c r="I84" s="13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53"/>
      <c r="S84" s="53"/>
      <c r="T84" s="53"/>
      <c r="U84" s="53"/>
    </row>
    <row r="85" spans="1:21" ht="31.5" customHeight="1">
      <c r="A85" s="29">
        <v>19</v>
      </c>
      <c r="B85" s="14" t="s">
        <v>81</v>
      </c>
      <c r="C85" s="16"/>
      <c r="D85" s="88" t="s">
        <v>57</v>
      </c>
      <c r="E85" s="71">
        <f>E84</f>
        <v>5816.5</v>
      </c>
      <c r="F85" s="13">
        <f>E85*12</f>
        <v>69798</v>
      </c>
      <c r="G85" s="13">
        <v>2.0499999999999998</v>
      </c>
      <c r="H85" s="66">
        <f>F85*G85/1000</f>
        <v>143.08589999999998</v>
      </c>
      <c r="I85" s="13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53"/>
      <c r="S85" s="53"/>
      <c r="T85" s="53"/>
      <c r="U85" s="53"/>
    </row>
    <row r="86" spans="1:21" ht="15.75" customHeight="1">
      <c r="A86" s="43"/>
      <c r="B86" s="34" t="s">
        <v>84</v>
      </c>
      <c r="C86" s="35"/>
      <c r="D86" s="15"/>
      <c r="E86" s="15"/>
      <c r="F86" s="15"/>
      <c r="G86" s="18"/>
      <c r="H86" s="18"/>
      <c r="I86" s="31">
        <f>I16+I17+I18+I20+I27+I28+I31+I32+I34+I35+I53+I54+I55+I56+I64+I66+I74+I84+I85</f>
        <v>92654.297392399996</v>
      </c>
    </row>
    <row r="87" spans="1:21" ht="15.75" customHeight="1">
      <c r="A87" s="125" t="s">
        <v>62</v>
      </c>
      <c r="B87" s="126"/>
      <c r="C87" s="126"/>
      <c r="D87" s="126"/>
      <c r="E87" s="126"/>
      <c r="F87" s="126"/>
      <c r="G87" s="126"/>
      <c r="H87" s="126"/>
      <c r="I87" s="127"/>
    </row>
    <row r="88" spans="1:21" ht="15.75" customHeight="1">
      <c r="A88" s="29">
        <v>20</v>
      </c>
      <c r="B88" s="46" t="s">
        <v>162</v>
      </c>
      <c r="C88" s="65" t="s">
        <v>88</v>
      </c>
      <c r="D88" s="42"/>
      <c r="E88" s="33"/>
      <c r="F88" s="33">
        <v>16</v>
      </c>
      <c r="G88" s="33">
        <v>195.85</v>
      </c>
      <c r="H88" s="97">
        <f>G88*F88/1000</f>
        <v>3.1335999999999999</v>
      </c>
      <c r="I88" s="13">
        <f>G88*2</f>
        <v>391.7</v>
      </c>
      <c r="J88" s="5"/>
      <c r="K88" s="5"/>
      <c r="L88" s="5"/>
      <c r="M88" s="5"/>
      <c r="N88" s="5"/>
      <c r="O88" s="5"/>
      <c r="P88" s="5"/>
      <c r="Q88" s="5"/>
      <c r="R88" s="53"/>
      <c r="S88" s="53"/>
      <c r="T88" s="53"/>
      <c r="U88" s="53"/>
    </row>
    <row r="89" spans="1:21" ht="31.5" customHeight="1">
      <c r="A89" s="29">
        <v>21</v>
      </c>
      <c r="B89" s="46" t="s">
        <v>214</v>
      </c>
      <c r="C89" s="65" t="s">
        <v>99</v>
      </c>
      <c r="D89" s="42"/>
      <c r="E89" s="13"/>
      <c r="F89" s="13">
        <v>2</v>
      </c>
      <c r="G89" s="13">
        <v>803.54</v>
      </c>
      <c r="H89" s="66">
        <f t="shared" ref="H89" si="8">G89*F89/1000</f>
        <v>1.6070799999999998</v>
      </c>
      <c r="I89" s="13">
        <f>G89</f>
        <v>803.54</v>
      </c>
      <c r="J89" s="5"/>
      <c r="K89" s="5"/>
      <c r="L89" s="5"/>
      <c r="M89" s="5"/>
      <c r="N89" s="5"/>
      <c r="O89" s="5"/>
      <c r="P89" s="5"/>
      <c r="Q89" s="5"/>
      <c r="R89" s="53"/>
      <c r="S89" s="53"/>
      <c r="T89" s="53"/>
      <c r="U89" s="53"/>
    </row>
    <row r="90" spans="1:21" ht="31.5" customHeight="1">
      <c r="A90" s="29">
        <v>22</v>
      </c>
      <c r="B90" s="46" t="s">
        <v>83</v>
      </c>
      <c r="C90" s="65" t="s">
        <v>136</v>
      </c>
      <c r="D90" s="42"/>
      <c r="E90" s="33"/>
      <c r="F90" s="33">
        <v>7</v>
      </c>
      <c r="G90" s="33">
        <v>83.36</v>
      </c>
      <c r="H90" s="97">
        <f>G90*F90/1000</f>
        <v>0.58351999999999993</v>
      </c>
      <c r="I90" s="13">
        <f>G90</f>
        <v>83.36</v>
      </c>
      <c r="J90" s="5"/>
      <c r="K90" s="5"/>
      <c r="L90" s="5"/>
      <c r="M90" s="5"/>
      <c r="N90" s="5"/>
      <c r="O90" s="5"/>
      <c r="P90" s="5"/>
      <c r="Q90" s="5"/>
      <c r="R90" s="99"/>
      <c r="S90" s="99"/>
      <c r="T90" s="99"/>
      <c r="U90" s="99"/>
    </row>
    <row r="91" spans="1:21" ht="31.5" customHeight="1">
      <c r="A91" s="29">
        <v>23</v>
      </c>
      <c r="B91" s="46" t="s">
        <v>167</v>
      </c>
      <c r="C91" s="65" t="s">
        <v>38</v>
      </c>
      <c r="D91" s="98"/>
      <c r="E91" s="33"/>
      <c r="F91" s="33">
        <v>0.12</v>
      </c>
      <c r="G91" s="33">
        <v>3581.13</v>
      </c>
      <c r="H91" s="97">
        <f>G91*F91/1000</f>
        <v>0.4297356</v>
      </c>
      <c r="I91" s="13">
        <f>G91*0.02</f>
        <v>71.622600000000006</v>
      </c>
      <c r="J91" s="5"/>
      <c r="K91" s="5"/>
      <c r="L91" s="5"/>
      <c r="M91" s="5"/>
      <c r="N91" s="5"/>
      <c r="O91" s="5"/>
      <c r="P91" s="5"/>
      <c r="Q91" s="5"/>
      <c r="R91" s="99"/>
      <c r="S91" s="99"/>
      <c r="T91" s="99"/>
      <c r="U91" s="99"/>
    </row>
    <row r="92" spans="1:21" ht="31.5" customHeight="1">
      <c r="A92" s="29">
        <v>24</v>
      </c>
      <c r="B92" s="48" t="s">
        <v>268</v>
      </c>
      <c r="C92" s="35" t="s">
        <v>55</v>
      </c>
      <c r="D92" s="98"/>
      <c r="E92" s="33"/>
      <c r="F92" s="33">
        <v>0.5</v>
      </c>
      <c r="G92" s="33">
        <v>6848.69</v>
      </c>
      <c r="H92" s="97">
        <f>G92*F92/1000</f>
        <v>3.4243449999999998</v>
      </c>
      <c r="I92" s="13">
        <f>G92*0.2</f>
        <v>1369.7380000000001</v>
      </c>
      <c r="J92" s="5"/>
      <c r="K92" s="5"/>
      <c r="L92" s="5"/>
      <c r="M92" s="5"/>
      <c r="N92" s="5"/>
      <c r="O92" s="5"/>
      <c r="P92" s="5"/>
      <c r="Q92" s="5"/>
      <c r="R92" s="99"/>
      <c r="S92" s="99"/>
      <c r="T92" s="99"/>
      <c r="U92" s="99"/>
    </row>
    <row r="93" spans="1:21" ht="31.5" customHeight="1">
      <c r="A93" s="29">
        <v>25</v>
      </c>
      <c r="B93" s="46" t="s">
        <v>185</v>
      </c>
      <c r="C93" s="65" t="s">
        <v>112</v>
      </c>
      <c r="D93" s="42"/>
      <c r="E93" s="33"/>
      <c r="F93" s="33">
        <v>2</v>
      </c>
      <c r="G93" s="33">
        <v>54.17</v>
      </c>
      <c r="H93" s="97">
        <f t="shared" ref="H93:H95" si="9">G93*F93/1000</f>
        <v>0.10834000000000001</v>
      </c>
      <c r="I93" s="13">
        <f>G93</f>
        <v>54.17</v>
      </c>
      <c r="J93" s="5"/>
      <c r="K93" s="5"/>
      <c r="L93" s="5"/>
      <c r="M93" s="5"/>
      <c r="N93" s="5"/>
      <c r="O93" s="5"/>
      <c r="P93" s="5"/>
      <c r="Q93" s="5"/>
      <c r="R93" s="99"/>
      <c r="S93" s="99"/>
      <c r="T93" s="99"/>
      <c r="U93" s="99"/>
    </row>
    <row r="94" spans="1:21" ht="31.5" customHeight="1">
      <c r="A94" s="29">
        <v>26</v>
      </c>
      <c r="B94" s="46" t="s">
        <v>269</v>
      </c>
      <c r="C94" s="65" t="s">
        <v>99</v>
      </c>
      <c r="D94" s="108"/>
      <c r="E94" s="17"/>
      <c r="F94" s="33">
        <v>1</v>
      </c>
      <c r="G94" s="13">
        <v>506.98</v>
      </c>
      <c r="H94" s="97">
        <f t="shared" si="9"/>
        <v>0.50697999999999999</v>
      </c>
      <c r="I94" s="13">
        <f>G94</f>
        <v>506.98</v>
      </c>
      <c r="J94" s="5"/>
      <c r="K94" s="5"/>
      <c r="L94" s="5"/>
      <c r="M94" s="5"/>
      <c r="N94" s="5"/>
      <c r="O94" s="5"/>
      <c r="P94" s="5"/>
      <c r="Q94" s="5"/>
      <c r="R94" s="99"/>
      <c r="S94" s="99"/>
      <c r="T94" s="99"/>
      <c r="U94" s="99"/>
    </row>
    <row r="95" spans="1:21" ht="15.75" customHeight="1">
      <c r="A95" s="29">
        <v>27</v>
      </c>
      <c r="B95" s="46" t="s">
        <v>270</v>
      </c>
      <c r="C95" s="65" t="s">
        <v>271</v>
      </c>
      <c r="D95" s="108"/>
      <c r="E95" s="17"/>
      <c r="F95" s="33">
        <v>1</v>
      </c>
      <c r="G95" s="13">
        <v>306.37</v>
      </c>
      <c r="H95" s="97">
        <f t="shared" si="9"/>
        <v>0.30637000000000003</v>
      </c>
      <c r="I95" s="13">
        <f t="shared" ref="I95:I99" si="10">G95</f>
        <v>306.37</v>
      </c>
      <c r="J95" s="5"/>
      <c r="K95" s="5"/>
      <c r="L95" s="5"/>
      <c r="M95" s="5"/>
      <c r="N95" s="5"/>
      <c r="O95" s="5"/>
      <c r="P95" s="5"/>
      <c r="Q95" s="5"/>
      <c r="R95" s="99"/>
      <c r="S95" s="99"/>
      <c r="T95" s="99"/>
      <c r="U95" s="99"/>
    </row>
    <row r="96" spans="1:21" ht="15.75" customHeight="1">
      <c r="A96" s="29">
        <v>28</v>
      </c>
      <c r="B96" s="48" t="s">
        <v>272</v>
      </c>
      <c r="C96" s="106" t="s">
        <v>136</v>
      </c>
      <c r="D96" s="107"/>
      <c r="E96" s="33"/>
      <c r="F96" s="33">
        <v>1</v>
      </c>
      <c r="G96" s="33">
        <v>1202.53</v>
      </c>
      <c r="H96" s="33">
        <f>G96*F96/1000</f>
        <v>1.2025299999999999</v>
      </c>
      <c r="I96" s="13">
        <f t="shared" si="10"/>
        <v>1202.53</v>
      </c>
      <c r="J96" s="5"/>
      <c r="K96" s="5"/>
      <c r="L96" s="5"/>
      <c r="M96" s="5"/>
      <c r="N96" s="5"/>
      <c r="O96" s="5"/>
      <c r="P96" s="5"/>
      <c r="Q96" s="5"/>
      <c r="R96" s="99"/>
      <c r="S96" s="99"/>
      <c r="T96" s="99"/>
      <c r="U96" s="99"/>
    </row>
    <row r="97" spans="1:21" ht="15.75" customHeight="1">
      <c r="A97" s="29">
        <v>29</v>
      </c>
      <c r="B97" s="46" t="s">
        <v>183</v>
      </c>
      <c r="C97" s="65" t="s">
        <v>184</v>
      </c>
      <c r="D97" s="107"/>
      <c r="E97" s="33"/>
      <c r="F97" s="33">
        <v>1</v>
      </c>
      <c r="G97" s="33">
        <v>1582</v>
      </c>
      <c r="H97" s="97">
        <f t="shared" ref="H97" si="11">G97*F97/1000</f>
        <v>1.5820000000000001</v>
      </c>
      <c r="I97" s="13">
        <f t="shared" si="10"/>
        <v>1582</v>
      </c>
      <c r="J97" s="5"/>
      <c r="K97" s="5"/>
      <c r="L97" s="5"/>
      <c r="M97" s="5"/>
      <c r="N97" s="5"/>
      <c r="O97" s="5"/>
      <c r="P97" s="5"/>
      <c r="Q97" s="5"/>
      <c r="R97" s="99"/>
      <c r="S97" s="99"/>
      <c r="T97" s="99"/>
      <c r="U97" s="99"/>
    </row>
    <row r="98" spans="1:21" ht="32.25" customHeight="1">
      <c r="A98" s="29">
        <v>30</v>
      </c>
      <c r="B98" s="46" t="s">
        <v>182</v>
      </c>
      <c r="C98" s="65" t="s">
        <v>105</v>
      </c>
      <c r="D98" s="107"/>
      <c r="E98" s="33"/>
      <c r="F98" s="33">
        <f>10/10</f>
        <v>1</v>
      </c>
      <c r="G98" s="33">
        <v>2166.5300000000002</v>
      </c>
      <c r="H98" s="97">
        <f>G98*F98/1000</f>
        <v>2.1665300000000003</v>
      </c>
      <c r="I98" s="13">
        <f t="shared" si="10"/>
        <v>2166.5300000000002</v>
      </c>
      <c r="J98" s="5"/>
      <c r="K98" s="5"/>
      <c r="L98" s="5"/>
      <c r="M98" s="5"/>
      <c r="N98" s="5"/>
      <c r="O98" s="5"/>
      <c r="P98" s="5"/>
      <c r="Q98" s="5"/>
      <c r="R98" s="53"/>
      <c r="S98" s="53"/>
      <c r="T98" s="53"/>
      <c r="U98" s="53"/>
    </row>
    <row r="99" spans="1:21" ht="15.75" customHeight="1">
      <c r="A99" s="29">
        <v>31</v>
      </c>
      <c r="B99" s="48" t="s">
        <v>273</v>
      </c>
      <c r="C99" s="106" t="s">
        <v>174</v>
      </c>
      <c r="D99" s="42"/>
      <c r="E99" s="33"/>
      <c r="F99" s="33">
        <v>1</v>
      </c>
      <c r="G99" s="33">
        <v>627762</v>
      </c>
      <c r="H99" s="97">
        <f>G99*F99/1000</f>
        <v>627.76199999999994</v>
      </c>
      <c r="I99" s="13">
        <f t="shared" si="10"/>
        <v>627762</v>
      </c>
      <c r="J99" s="5"/>
      <c r="K99" s="5"/>
      <c r="L99" s="5"/>
      <c r="M99" s="5"/>
      <c r="N99" s="5"/>
      <c r="O99" s="5"/>
      <c r="P99" s="5"/>
      <c r="Q99" s="5"/>
      <c r="R99" s="53"/>
      <c r="S99" s="53"/>
      <c r="T99" s="53"/>
      <c r="U99" s="53"/>
    </row>
    <row r="100" spans="1:21" ht="15.75" customHeight="1">
      <c r="A100" s="29"/>
      <c r="B100" s="40" t="s">
        <v>52</v>
      </c>
      <c r="C100" s="36"/>
      <c r="D100" s="44"/>
      <c r="E100" s="36">
        <v>1</v>
      </c>
      <c r="F100" s="36"/>
      <c r="G100" s="36"/>
      <c r="H100" s="36"/>
      <c r="I100" s="31">
        <f>SUM(I88:I99)</f>
        <v>636300.54059999995</v>
      </c>
    </row>
    <row r="101" spans="1:21" ht="15.75" customHeight="1">
      <c r="A101" s="29"/>
      <c r="B101" s="42" t="s">
        <v>82</v>
      </c>
      <c r="C101" s="15"/>
      <c r="D101" s="15"/>
      <c r="E101" s="37"/>
      <c r="F101" s="37"/>
      <c r="G101" s="38"/>
      <c r="H101" s="38"/>
      <c r="I101" s="17">
        <v>0</v>
      </c>
    </row>
    <row r="102" spans="1:21" ht="15.75" customHeight="1">
      <c r="A102" s="45"/>
      <c r="B102" s="41" t="s">
        <v>210</v>
      </c>
      <c r="C102" s="32"/>
      <c r="D102" s="32"/>
      <c r="E102" s="32"/>
      <c r="F102" s="32"/>
      <c r="G102" s="32"/>
      <c r="H102" s="32"/>
      <c r="I102" s="39">
        <f>I86+I100</f>
        <v>728954.83799239993</v>
      </c>
    </row>
    <row r="103" spans="1:21" ht="15.75" customHeight="1">
      <c r="A103" s="128" t="s">
        <v>274</v>
      </c>
      <c r="B103" s="128"/>
      <c r="C103" s="128"/>
      <c r="D103" s="128"/>
      <c r="E103" s="128"/>
      <c r="F103" s="128"/>
      <c r="G103" s="128"/>
      <c r="H103" s="128"/>
      <c r="I103" s="128"/>
    </row>
    <row r="104" spans="1:21" ht="15.75" customHeight="1">
      <c r="A104" s="57"/>
      <c r="B104" s="129" t="s">
        <v>275</v>
      </c>
      <c r="C104" s="129"/>
      <c r="D104" s="129"/>
      <c r="E104" s="129"/>
      <c r="F104" s="129"/>
      <c r="G104" s="129"/>
      <c r="H104" s="63"/>
      <c r="I104" s="3"/>
    </row>
    <row r="105" spans="1:21" ht="15.75" customHeight="1">
      <c r="A105" s="53"/>
      <c r="B105" s="130" t="s">
        <v>6</v>
      </c>
      <c r="C105" s="130"/>
      <c r="D105" s="130"/>
      <c r="E105" s="130"/>
      <c r="F105" s="130"/>
      <c r="G105" s="130"/>
      <c r="H105" s="24"/>
      <c r="I105" s="5"/>
    </row>
    <row r="106" spans="1:21" ht="15.75" customHeight="1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21" ht="15.75" customHeight="1">
      <c r="A107" s="131" t="s">
        <v>7</v>
      </c>
      <c r="B107" s="131"/>
      <c r="C107" s="131"/>
      <c r="D107" s="131"/>
      <c r="E107" s="131"/>
      <c r="F107" s="131"/>
      <c r="G107" s="131"/>
      <c r="H107" s="131"/>
      <c r="I107" s="131"/>
    </row>
    <row r="108" spans="1:21" ht="15.75" customHeight="1">
      <c r="A108" s="131" t="s">
        <v>8</v>
      </c>
      <c r="B108" s="131"/>
      <c r="C108" s="131"/>
      <c r="D108" s="131"/>
      <c r="E108" s="131"/>
      <c r="F108" s="131"/>
      <c r="G108" s="131"/>
      <c r="H108" s="131"/>
      <c r="I108" s="131"/>
    </row>
    <row r="109" spans="1:21" ht="15.75" customHeight="1">
      <c r="A109" s="120" t="s">
        <v>63</v>
      </c>
      <c r="B109" s="120"/>
      <c r="C109" s="120"/>
      <c r="D109" s="120"/>
      <c r="E109" s="120"/>
      <c r="F109" s="120"/>
      <c r="G109" s="120"/>
      <c r="H109" s="120"/>
      <c r="I109" s="120"/>
    </row>
    <row r="110" spans="1:21" ht="15.75" customHeight="1">
      <c r="A110" s="11"/>
    </row>
    <row r="111" spans="1:21" ht="15.75" customHeight="1">
      <c r="A111" s="133" t="s">
        <v>9</v>
      </c>
      <c r="B111" s="133"/>
      <c r="C111" s="133"/>
      <c r="D111" s="133"/>
      <c r="E111" s="133"/>
      <c r="F111" s="133"/>
      <c r="G111" s="133"/>
      <c r="H111" s="133"/>
      <c r="I111" s="133"/>
    </row>
    <row r="112" spans="1:21" ht="15.75" customHeight="1">
      <c r="A112" s="4"/>
    </row>
    <row r="113" spans="1:9" ht="15.75" customHeight="1">
      <c r="B113" s="56" t="s">
        <v>10</v>
      </c>
      <c r="C113" s="134" t="s">
        <v>96</v>
      </c>
      <c r="D113" s="134"/>
      <c r="E113" s="134"/>
      <c r="F113" s="61"/>
      <c r="I113" s="52"/>
    </row>
    <row r="114" spans="1:9" ht="15.75" customHeight="1">
      <c r="A114" s="53"/>
      <c r="C114" s="130" t="s">
        <v>11</v>
      </c>
      <c r="D114" s="130"/>
      <c r="E114" s="130"/>
      <c r="F114" s="24"/>
      <c r="I114" s="51" t="s">
        <v>12</v>
      </c>
    </row>
    <row r="115" spans="1:9" ht="15.75" customHeight="1">
      <c r="A115" s="25"/>
      <c r="C115" s="12"/>
      <c r="D115" s="12"/>
      <c r="G115" s="12"/>
      <c r="H115" s="12"/>
    </row>
    <row r="116" spans="1:9" ht="15.75" customHeight="1">
      <c r="B116" s="56" t="s">
        <v>13</v>
      </c>
      <c r="C116" s="135"/>
      <c r="D116" s="135"/>
      <c r="E116" s="135"/>
      <c r="F116" s="62"/>
      <c r="I116" s="52"/>
    </row>
    <row r="117" spans="1:9" ht="15.75" customHeight="1">
      <c r="A117" s="53"/>
      <c r="C117" s="110" t="s">
        <v>11</v>
      </c>
      <c r="D117" s="110"/>
      <c r="E117" s="110"/>
      <c r="F117" s="53"/>
      <c r="I117" s="51" t="s">
        <v>12</v>
      </c>
    </row>
    <row r="118" spans="1:9" ht="15.75" customHeight="1">
      <c r="A118" s="4" t="s">
        <v>14</v>
      </c>
    </row>
    <row r="119" spans="1:9" ht="15.75" customHeight="1">
      <c r="A119" s="136" t="s">
        <v>15</v>
      </c>
      <c r="B119" s="136"/>
      <c r="C119" s="136"/>
      <c r="D119" s="136"/>
      <c r="E119" s="136"/>
      <c r="F119" s="136"/>
      <c r="G119" s="136"/>
      <c r="H119" s="136"/>
      <c r="I119" s="136"/>
    </row>
    <row r="120" spans="1:9" ht="45" customHeight="1">
      <c r="A120" s="132" t="s">
        <v>16</v>
      </c>
      <c r="B120" s="132"/>
      <c r="C120" s="132"/>
      <c r="D120" s="132"/>
      <c r="E120" s="132"/>
      <c r="F120" s="132"/>
      <c r="G120" s="132"/>
      <c r="H120" s="132"/>
      <c r="I120" s="132"/>
    </row>
    <row r="121" spans="1:9" ht="30" customHeight="1">
      <c r="A121" s="132" t="s">
        <v>17</v>
      </c>
      <c r="B121" s="132"/>
      <c r="C121" s="132"/>
      <c r="D121" s="132"/>
      <c r="E121" s="132"/>
      <c r="F121" s="132"/>
      <c r="G121" s="132"/>
      <c r="H121" s="132"/>
      <c r="I121" s="132"/>
    </row>
    <row r="122" spans="1:9" ht="30" customHeight="1">
      <c r="A122" s="132" t="s">
        <v>21</v>
      </c>
      <c r="B122" s="132"/>
      <c r="C122" s="132"/>
      <c r="D122" s="132"/>
      <c r="E122" s="132"/>
      <c r="F122" s="132"/>
      <c r="G122" s="132"/>
      <c r="H122" s="132"/>
      <c r="I122" s="132"/>
    </row>
    <row r="123" spans="1:9" ht="15" customHeight="1">
      <c r="A123" s="132" t="s">
        <v>20</v>
      </c>
      <c r="B123" s="132"/>
      <c r="C123" s="132"/>
      <c r="D123" s="132"/>
      <c r="E123" s="132"/>
      <c r="F123" s="132"/>
      <c r="G123" s="132"/>
      <c r="H123" s="132"/>
      <c r="I123" s="132"/>
    </row>
  </sheetData>
  <autoFilter ref="I12:I62"/>
  <mergeCells count="29">
    <mergeCell ref="A120:I120"/>
    <mergeCell ref="A121:I121"/>
    <mergeCell ref="A122:I122"/>
    <mergeCell ref="A123:I123"/>
    <mergeCell ref="A111:I111"/>
    <mergeCell ref="C113:E113"/>
    <mergeCell ref="C114:E114"/>
    <mergeCell ref="C116:E116"/>
    <mergeCell ref="C117:E117"/>
    <mergeCell ref="A119:I119"/>
    <mergeCell ref="A109:I109"/>
    <mergeCell ref="A15:I15"/>
    <mergeCell ref="A29:I29"/>
    <mergeCell ref="A47:I47"/>
    <mergeCell ref="A57:I57"/>
    <mergeCell ref="A103:I103"/>
    <mergeCell ref="B104:G104"/>
    <mergeCell ref="B105:G105"/>
    <mergeCell ref="A107:I107"/>
    <mergeCell ref="A108:I108"/>
    <mergeCell ref="A87:I87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92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14" t="s">
        <v>276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146</v>
      </c>
      <c r="B4" s="115"/>
      <c r="C4" s="115"/>
      <c r="D4" s="115"/>
      <c r="E4" s="115"/>
      <c r="F4" s="115"/>
      <c r="G4" s="115"/>
      <c r="H4" s="115"/>
      <c r="I4" s="115"/>
    </row>
    <row r="5" spans="1:13" ht="15.75" customHeight="1">
      <c r="A5" s="114" t="s">
        <v>277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 customHeight="1">
      <c r="A6" s="2"/>
      <c r="B6" s="100"/>
      <c r="C6" s="100"/>
      <c r="D6" s="100"/>
      <c r="E6" s="100"/>
      <c r="F6" s="100"/>
      <c r="G6" s="100"/>
      <c r="H6" s="100"/>
      <c r="I6" s="30">
        <v>43069</v>
      </c>
      <c r="J6" s="2"/>
      <c r="K6" s="2"/>
      <c r="L6" s="2"/>
      <c r="M6" s="2"/>
    </row>
    <row r="7" spans="1:13" ht="15.75" customHeight="1">
      <c r="B7" s="102"/>
      <c r="C7" s="102"/>
      <c r="D7" s="10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7" t="s">
        <v>152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8" t="s">
        <v>209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19" t="s">
        <v>61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29">
        <v>1</v>
      </c>
      <c r="B16" s="69" t="s">
        <v>93</v>
      </c>
      <c r="C16" s="70" t="s">
        <v>115</v>
      </c>
      <c r="D16" s="69" t="s">
        <v>116</v>
      </c>
      <c r="E16" s="71">
        <v>176.24</v>
      </c>
      <c r="F16" s="72">
        <f>SUM(E16*156/100)</f>
        <v>274.93440000000004</v>
      </c>
      <c r="G16" s="72">
        <v>187.48</v>
      </c>
      <c r="H16" s="73">
        <f t="shared" ref="H16:H26" si="0">SUM(F16*G16/1000)</f>
        <v>51.544701312000008</v>
      </c>
      <c r="I16" s="13">
        <f>F16/12*G16</f>
        <v>4295.3917760000004</v>
      </c>
      <c r="J16" s="8"/>
      <c r="K16" s="8"/>
      <c r="L16" s="8"/>
      <c r="M16" s="8"/>
    </row>
    <row r="17" spans="1:13" ht="15.75" customHeight="1">
      <c r="A17" s="29">
        <v>2</v>
      </c>
      <c r="B17" s="69" t="s">
        <v>100</v>
      </c>
      <c r="C17" s="70" t="s">
        <v>115</v>
      </c>
      <c r="D17" s="69" t="s">
        <v>117</v>
      </c>
      <c r="E17" s="71">
        <v>704.96</v>
      </c>
      <c r="F17" s="72">
        <f>SUM(E17*104/100)</f>
        <v>733.15839999999992</v>
      </c>
      <c r="G17" s="72">
        <v>187.48</v>
      </c>
      <c r="H17" s="73">
        <v>137.453</v>
      </c>
      <c r="I17" s="13">
        <f>F17/12*G17</f>
        <v>11454.378069333332</v>
      </c>
      <c r="J17" s="22"/>
      <c r="K17" s="8"/>
      <c r="L17" s="8"/>
      <c r="M17" s="8"/>
    </row>
    <row r="18" spans="1:13" ht="15.75" customHeight="1">
      <c r="A18" s="29">
        <v>3</v>
      </c>
      <c r="B18" s="69" t="s">
        <v>101</v>
      </c>
      <c r="C18" s="70" t="s">
        <v>115</v>
      </c>
      <c r="D18" s="69" t="s">
        <v>118</v>
      </c>
      <c r="E18" s="71">
        <f>SUM(E16+E17)</f>
        <v>881.2</v>
      </c>
      <c r="F18" s="72">
        <f>SUM(E18*24/100)</f>
        <v>211.48800000000003</v>
      </c>
      <c r="G18" s="72">
        <v>539.30999999999995</v>
      </c>
      <c r="H18" s="73">
        <f t="shared" si="0"/>
        <v>114.05759328000001</v>
      </c>
      <c r="I18" s="13">
        <f>F18/12*G18</f>
        <v>9504.7994400000007</v>
      </c>
      <c r="J18" s="22"/>
      <c r="K18" s="8"/>
      <c r="L18" s="8"/>
      <c r="M18" s="8"/>
    </row>
    <row r="19" spans="1:13" ht="15.75" hidden="1" customHeight="1">
      <c r="A19" s="29">
        <v>4</v>
      </c>
      <c r="B19" s="69" t="s">
        <v>119</v>
      </c>
      <c r="C19" s="70" t="s">
        <v>120</v>
      </c>
      <c r="D19" s="69" t="s">
        <v>121</v>
      </c>
      <c r="E19" s="71">
        <v>28.8</v>
      </c>
      <c r="F19" s="72">
        <f>SUM(E19/10)</f>
        <v>2.88</v>
      </c>
      <c r="G19" s="72">
        <v>181.91</v>
      </c>
      <c r="H19" s="73">
        <f t="shared" si="0"/>
        <v>0.52390080000000006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69" t="s">
        <v>106</v>
      </c>
      <c r="C20" s="70" t="s">
        <v>115</v>
      </c>
      <c r="D20" s="69" t="s">
        <v>30</v>
      </c>
      <c r="E20" s="71">
        <v>17.5</v>
      </c>
      <c r="F20" s="72">
        <f>SUM(E20*12/100)</f>
        <v>2.1</v>
      </c>
      <c r="G20" s="72">
        <v>232.92</v>
      </c>
      <c r="H20" s="73">
        <f t="shared" si="0"/>
        <v>0.48913200000000001</v>
      </c>
      <c r="I20" s="13">
        <f>F20/12*G20</f>
        <v>40.761000000000003</v>
      </c>
      <c r="J20" s="22"/>
      <c r="K20" s="8"/>
      <c r="L20" s="8"/>
      <c r="M20" s="8"/>
    </row>
    <row r="21" spans="1:13" ht="15.75" customHeight="1">
      <c r="A21" s="29">
        <v>5</v>
      </c>
      <c r="B21" s="69" t="s">
        <v>107</v>
      </c>
      <c r="C21" s="70" t="s">
        <v>115</v>
      </c>
      <c r="D21" s="69" t="s">
        <v>114</v>
      </c>
      <c r="E21" s="71">
        <v>5.94</v>
      </c>
      <c r="F21" s="72">
        <f>SUM(E21*6/100)</f>
        <v>0.35639999999999999</v>
      </c>
      <c r="G21" s="72">
        <v>231.03</v>
      </c>
      <c r="H21" s="73">
        <f t="shared" si="0"/>
        <v>8.2339091999999989E-2</v>
      </c>
      <c r="I21" s="13">
        <f>F21/6*G21</f>
        <v>13.723182</v>
      </c>
      <c r="J21" s="22"/>
      <c r="K21" s="8"/>
      <c r="L21" s="8"/>
      <c r="M21" s="8"/>
    </row>
    <row r="22" spans="1:13" ht="15.75" hidden="1" customHeight="1">
      <c r="A22" s="29">
        <v>7</v>
      </c>
      <c r="B22" s="69" t="s">
        <v>122</v>
      </c>
      <c r="C22" s="70" t="s">
        <v>53</v>
      </c>
      <c r="D22" s="69" t="s">
        <v>121</v>
      </c>
      <c r="E22" s="71">
        <v>376</v>
      </c>
      <c r="F22" s="72">
        <f>SUM(E22/100)</f>
        <v>3.76</v>
      </c>
      <c r="G22" s="72">
        <v>287.83999999999997</v>
      </c>
      <c r="H22" s="73">
        <f t="shared" si="0"/>
        <v>1.0822783999999999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9" t="s">
        <v>123</v>
      </c>
      <c r="C23" s="70" t="s">
        <v>53</v>
      </c>
      <c r="D23" s="69" t="s">
        <v>121</v>
      </c>
      <c r="E23" s="74">
        <v>60.4</v>
      </c>
      <c r="F23" s="72">
        <f>SUM(E23/100)</f>
        <v>0.60399999999999998</v>
      </c>
      <c r="G23" s="72">
        <v>47.34</v>
      </c>
      <c r="H23" s="73">
        <f t="shared" si="0"/>
        <v>2.8593360000000002E-2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9" t="s">
        <v>110</v>
      </c>
      <c r="C24" s="70" t="s">
        <v>53</v>
      </c>
      <c r="D24" s="69" t="s">
        <v>54</v>
      </c>
      <c r="E24" s="18">
        <v>25</v>
      </c>
      <c r="F24" s="75">
        <f>E24/100</f>
        <v>0.25</v>
      </c>
      <c r="G24" s="72">
        <v>416.62</v>
      </c>
      <c r="H24" s="73">
        <f>F24*G24/1000</f>
        <v>0.104155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9" t="s">
        <v>124</v>
      </c>
      <c r="C25" s="70" t="s">
        <v>53</v>
      </c>
      <c r="D25" s="69" t="s">
        <v>121</v>
      </c>
      <c r="E25" s="74">
        <v>23.75</v>
      </c>
      <c r="F25" s="72">
        <f>E25/100</f>
        <v>0.23749999999999999</v>
      </c>
      <c r="G25" s="72">
        <v>231.03</v>
      </c>
      <c r="H25" s="73">
        <f>F25*G25/1000</f>
        <v>5.4869624999999998E-2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11</v>
      </c>
      <c r="B26" s="69" t="s">
        <v>111</v>
      </c>
      <c r="C26" s="70" t="s">
        <v>53</v>
      </c>
      <c r="D26" s="69" t="s">
        <v>121</v>
      </c>
      <c r="E26" s="71">
        <v>10.63</v>
      </c>
      <c r="F26" s="72">
        <f>SUM(E26/100)</f>
        <v>0.10630000000000001</v>
      </c>
      <c r="G26" s="72">
        <v>556.74</v>
      </c>
      <c r="H26" s="73">
        <f t="shared" si="0"/>
        <v>5.9181462000000004E-2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6</v>
      </c>
      <c r="B27" s="69" t="s">
        <v>66</v>
      </c>
      <c r="C27" s="70" t="s">
        <v>34</v>
      </c>
      <c r="D27" s="69" t="s">
        <v>248</v>
      </c>
      <c r="E27" s="71">
        <v>0.1</v>
      </c>
      <c r="F27" s="72">
        <f>SUM(E27*365)</f>
        <v>36.5</v>
      </c>
      <c r="G27" s="72">
        <v>157.18</v>
      </c>
      <c r="H27" s="73">
        <f>SUM(F27*G27/1000)</f>
        <v>5.737070000000001</v>
      </c>
      <c r="I27" s="13">
        <f>F27/12*G27</f>
        <v>478.08916666666664</v>
      </c>
      <c r="J27" s="23"/>
    </row>
    <row r="28" spans="1:13" ht="15.75" customHeight="1">
      <c r="A28" s="29">
        <v>7</v>
      </c>
      <c r="B28" s="77" t="s">
        <v>23</v>
      </c>
      <c r="C28" s="70" t="s">
        <v>24</v>
      </c>
      <c r="D28" s="69" t="s">
        <v>248</v>
      </c>
      <c r="E28" s="71">
        <v>5816.5</v>
      </c>
      <c r="F28" s="72">
        <f>SUM(E28*12)</f>
        <v>69798</v>
      </c>
      <c r="G28" s="72">
        <v>4.72</v>
      </c>
      <c r="H28" s="73">
        <f>SUM(F28*G28/1000)</f>
        <v>329.44655999999998</v>
      </c>
      <c r="I28" s="13">
        <f>F28/12*G28</f>
        <v>27453.879999999997</v>
      </c>
      <c r="J28" s="23"/>
    </row>
    <row r="29" spans="1:13" ht="15.75" customHeight="1">
      <c r="A29" s="121" t="s">
        <v>90</v>
      </c>
      <c r="B29" s="121"/>
      <c r="C29" s="121"/>
      <c r="D29" s="121"/>
      <c r="E29" s="121"/>
      <c r="F29" s="121"/>
      <c r="G29" s="121"/>
      <c r="H29" s="121"/>
      <c r="I29" s="121"/>
      <c r="J29" s="22"/>
      <c r="K29" s="8"/>
      <c r="L29" s="8"/>
      <c r="M29" s="8"/>
    </row>
    <row r="30" spans="1:13" ht="15.75" hidden="1" customHeight="1">
      <c r="A30" s="29"/>
      <c r="B30" s="90" t="s">
        <v>28</v>
      </c>
      <c r="C30" s="70"/>
      <c r="D30" s="69"/>
      <c r="E30" s="71"/>
      <c r="F30" s="72"/>
      <c r="G30" s="72"/>
      <c r="H30" s="73"/>
      <c r="I30" s="13"/>
      <c r="J30" s="22"/>
      <c r="K30" s="8"/>
      <c r="L30" s="8"/>
      <c r="M30" s="8"/>
    </row>
    <row r="31" spans="1:13" ht="15.75" hidden="1" customHeight="1">
      <c r="A31" s="29">
        <v>7</v>
      </c>
      <c r="B31" s="69" t="s">
        <v>125</v>
      </c>
      <c r="C31" s="70" t="s">
        <v>126</v>
      </c>
      <c r="D31" s="69" t="s">
        <v>127</v>
      </c>
      <c r="E31" s="72">
        <v>357.22</v>
      </c>
      <c r="F31" s="72">
        <f>SUM(E31*52/1000)</f>
        <v>18.575440000000004</v>
      </c>
      <c r="G31" s="72">
        <v>166.65</v>
      </c>
      <c r="H31" s="73">
        <f t="shared" ref="H31:H38" si="1">SUM(F31*G31/1000)</f>
        <v>3.0955970760000011</v>
      </c>
      <c r="I31" s="13">
        <f>F31/6*G31</f>
        <v>515.93284600000015</v>
      </c>
      <c r="J31" s="22"/>
      <c r="K31" s="8"/>
      <c r="L31" s="8"/>
      <c r="M31" s="8"/>
    </row>
    <row r="32" spans="1:13" ht="31.5" hidden="1" customHeight="1">
      <c r="A32" s="29">
        <v>8</v>
      </c>
      <c r="B32" s="69" t="s">
        <v>191</v>
      </c>
      <c r="C32" s="70" t="s">
        <v>126</v>
      </c>
      <c r="D32" s="69" t="s">
        <v>128</v>
      </c>
      <c r="E32" s="72">
        <v>475.06</v>
      </c>
      <c r="F32" s="72">
        <f>SUM(E32*78/1000)</f>
        <v>37.054679999999998</v>
      </c>
      <c r="G32" s="72">
        <v>276.48</v>
      </c>
      <c r="H32" s="73">
        <f t="shared" si="1"/>
        <v>10.244877926400001</v>
      </c>
      <c r="I32" s="13">
        <f t="shared" ref="I32:I35" si="2">F32/6*G32</f>
        <v>1707.4796544000001</v>
      </c>
      <c r="J32" s="22"/>
      <c r="K32" s="8"/>
      <c r="L32" s="8"/>
      <c r="M32" s="8"/>
    </row>
    <row r="33" spans="1:14" ht="15.75" hidden="1" customHeight="1">
      <c r="A33" s="29">
        <v>16</v>
      </c>
      <c r="B33" s="69" t="s">
        <v>27</v>
      </c>
      <c r="C33" s="70" t="s">
        <v>126</v>
      </c>
      <c r="D33" s="69" t="s">
        <v>54</v>
      </c>
      <c r="E33" s="72">
        <v>357.22</v>
      </c>
      <c r="F33" s="72">
        <f>SUM(E33/1000)</f>
        <v>0.35722000000000004</v>
      </c>
      <c r="G33" s="72">
        <v>3228.73</v>
      </c>
      <c r="H33" s="73">
        <f t="shared" si="1"/>
        <v>1.1533669306000001</v>
      </c>
      <c r="I33" s="13">
        <f>F33*G33</f>
        <v>1153.3669306000002</v>
      </c>
      <c r="J33" s="22"/>
      <c r="K33" s="8"/>
      <c r="L33" s="8"/>
      <c r="M33" s="8"/>
    </row>
    <row r="34" spans="1:14" ht="15.75" hidden="1" customHeight="1">
      <c r="A34" s="29">
        <v>9</v>
      </c>
      <c r="B34" s="69" t="s">
        <v>157</v>
      </c>
      <c r="C34" s="70" t="s">
        <v>40</v>
      </c>
      <c r="D34" s="69" t="s">
        <v>158</v>
      </c>
      <c r="E34" s="72">
        <v>5</v>
      </c>
      <c r="F34" s="72">
        <f>E34*155/100</f>
        <v>7.75</v>
      </c>
      <c r="G34" s="72">
        <v>1391.86</v>
      </c>
      <c r="H34" s="73">
        <f>G34*F34/1000</f>
        <v>10.786914999999999</v>
      </c>
      <c r="I34" s="13">
        <f t="shared" si="2"/>
        <v>1797.8191666666667</v>
      </c>
      <c r="J34" s="22"/>
      <c r="K34" s="8"/>
      <c r="L34" s="8"/>
      <c r="M34" s="8"/>
    </row>
    <row r="35" spans="1:14" ht="15.75" hidden="1" customHeight="1">
      <c r="A35" s="29">
        <v>10</v>
      </c>
      <c r="B35" s="69" t="s">
        <v>129</v>
      </c>
      <c r="C35" s="70" t="s">
        <v>31</v>
      </c>
      <c r="D35" s="69" t="s">
        <v>65</v>
      </c>
      <c r="E35" s="76">
        <v>0.33333333333333331</v>
      </c>
      <c r="F35" s="72">
        <f>155/3</f>
        <v>51.666666666666664</v>
      </c>
      <c r="G35" s="72">
        <v>60.6</v>
      </c>
      <c r="H35" s="73">
        <f>SUM(G35*155/3/1000)</f>
        <v>3.1309999999999998</v>
      </c>
      <c r="I35" s="13">
        <f t="shared" si="2"/>
        <v>521.83333333333337</v>
      </c>
      <c r="J35" s="22"/>
      <c r="K35" s="8"/>
    </row>
    <row r="36" spans="1:14" ht="15.75" hidden="1" customHeight="1">
      <c r="A36" s="29"/>
      <c r="B36" s="69" t="s">
        <v>67</v>
      </c>
      <c r="C36" s="70" t="s">
        <v>34</v>
      </c>
      <c r="D36" s="69" t="s">
        <v>69</v>
      </c>
      <c r="E36" s="71"/>
      <c r="F36" s="72">
        <v>3</v>
      </c>
      <c r="G36" s="72">
        <v>204.52</v>
      </c>
      <c r="H36" s="73">
        <f t="shared" si="1"/>
        <v>0.61356000000000011</v>
      </c>
      <c r="I36" s="13">
        <v>0</v>
      </c>
      <c r="J36" s="23"/>
    </row>
    <row r="37" spans="1:14" ht="15.75" hidden="1" customHeight="1">
      <c r="A37" s="29"/>
      <c r="B37" s="69" t="s">
        <v>68</v>
      </c>
      <c r="C37" s="70" t="s">
        <v>33</v>
      </c>
      <c r="D37" s="69" t="s">
        <v>69</v>
      </c>
      <c r="E37" s="71"/>
      <c r="F37" s="72">
        <v>2</v>
      </c>
      <c r="G37" s="72">
        <v>1214.74</v>
      </c>
      <c r="H37" s="73">
        <f t="shared" si="1"/>
        <v>2.4294799999999999</v>
      </c>
      <c r="I37" s="13">
        <v>0</v>
      </c>
      <c r="J37" s="23"/>
    </row>
    <row r="38" spans="1:14" ht="15.75" hidden="1" customHeight="1">
      <c r="A38" s="29"/>
      <c r="B38" s="46" t="s">
        <v>159</v>
      </c>
      <c r="C38" s="65" t="s">
        <v>29</v>
      </c>
      <c r="D38" s="69"/>
      <c r="E38" s="71">
        <v>360.36</v>
      </c>
      <c r="F38" s="72">
        <f>E38*36/1000</f>
        <v>12.97296</v>
      </c>
      <c r="G38" s="72">
        <v>3228.73</v>
      </c>
      <c r="H38" s="73">
        <f t="shared" si="1"/>
        <v>41.886185140800002</v>
      </c>
      <c r="I38" s="13">
        <v>0</v>
      </c>
      <c r="J38" s="23"/>
    </row>
    <row r="39" spans="1:14" ht="15.75" customHeight="1">
      <c r="A39" s="29"/>
      <c r="B39" s="90" t="s">
        <v>5</v>
      </c>
      <c r="C39" s="70"/>
      <c r="D39" s="69"/>
      <c r="E39" s="71"/>
      <c r="F39" s="72"/>
      <c r="G39" s="72"/>
      <c r="H39" s="73" t="s">
        <v>143</v>
      </c>
      <c r="I39" s="13"/>
      <c r="J39" s="23"/>
    </row>
    <row r="40" spans="1:14" ht="15.75" customHeight="1">
      <c r="A40" s="29">
        <v>8</v>
      </c>
      <c r="B40" s="69" t="s">
        <v>26</v>
      </c>
      <c r="C40" s="70" t="s">
        <v>33</v>
      </c>
      <c r="D40" s="69"/>
      <c r="E40" s="71"/>
      <c r="F40" s="72">
        <v>10</v>
      </c>
      <c r="G40" s="72">
        <v>1632.6</v>
      </c>
      <c r="H40" s="73">
        <f t="shared" ref="H40:H46" si="3">SUM(F40*G40/1000)</f>
        <v>16.326000000000001</v>
      </c>
      <c r="I40" s="13">
        <f>F40/6*G40</f>
        <v>2721</v>
      </c>
      <c r="J40" s="23"/>
      <c r="L40" s="19"/>
      <c r="M40" s="20"/>
      <c r="N40" s="21"/>
    </row>
    <row r="41" spans="1:14" ht="15.75" customHeight="1">
      <c r="A41" s="29">
        <v>9</v>
      </c>
      <c r="B41" s="69" t="s">
        <v>70</v>
      </c>
      <c r="C41" s="70" t="s">
        <v>29</v>
      </c>
      <c r="D41" s="69" t="s">
        <v>130</v>
      </c>
      <c r="E41" s="72">
        <v>469.73</v>
      </c>
      <c r="F41" s="72">
        <f>SUM(E41*30/1000)</f>
        <v>14.091900000000001</v>
      </c>
      <c r="G41" s="72">
        <v>2247.8000000000002</v>
      </c>
      <c r="H41" s="73">
        <f t="shared" si="3"/>
        <v>31.675772820000006</v>
      </c>
      <c r="I41" s="13">
        <f>F41/6*G41</f>
        <v>5279.2954700000009</v>
      </c>
      <c r="J41" s="23"/>
      <c r="L41" s="19"/>
      <c r="M41" s="20"/>
      <c r="N41" s="21"/>
    </row>
    <row r="42" spans="1:14" ht="15.75" hidden="1" customHeight="1">
      <c r="A42" s="29"/>
      <c r="B42" s="69" t="s">
        <v>102</v>
      </c>
      <c r="C42" s="70" t="s">
        <v>147</v>
      </c>
      <c r="D42" s="69" t="s">
        <v>69</v>
      </c>
      <c r="E42" s="71"/>
      <c r="F42" s="72">
        <v>120</v>
      </c>
      <c r="G42" s="72">
        <v>213.2</v>
      </c>
      <c r="H42" s="73">
        <f t="shared" si="3"/>
        <v>25.584</v>
      </c>
      <c r="I42" s="13">
        <v>0</v>
      </c>
      <c r="J42" s="23"/>
      <c r="L42" s="19"/>
      <c r="M42" s="20"/>
      <c r="N42" s="21"/>
    </row>
    <row r="43" spans="1:14" ht="15.75" customHeight="1">
      <c r="A43" s="29">
        <v>10</v>
      </c>
      <c r="B43" s="69" t="s">
        <v>71</v>
      </c>
      <c r="C43" s="70" t="s">
        <v>29</v>
      </c>
      <c r="D43" s="69" t="s">
        <v>131</v>
      </c>
      <c r="E43" s="72">
        <v>475.06</v>
      </c>
      <c r="F43" s="72">
        <f>SUM(E43*155/1000)</f>
        <v>73.634299999999996</v>
      </c>
      <c r="G43" s="72">
        <v>374.95</v>
      </c>
      <c r="H43" s="73">
        <f t="shared" si="3"/>
        <v>27.609180784999996</v>
      </c>
      <c r="I43" s="13">
        <f>F43/6*G43</f>
        <v>4601.5301308333328</v>
      </c>
      <c r="J43" s="23"/>
      <c r="L43" s="19"/>
      <c r="M43" s="20"/>
      <c r="N43" s="21"/>
    </row>
    <row r="44" spans="1:14" ht="47.25" customHeight="1">
      <c r="A44" s="29">
        <v>11</v>
      </c>
      <c r="B44" s="69" t="s">
        <v>87</v>
      </c>
      <c r="C44" s="70" t="s">
        <v>126</v>
      </c>
      <c r="D44" s="69" t="s">
        <v>148</v>
      </c>
      <c r="E44" s="72">
        <v>40.6</v>
      </c>
      <c r="F44" s="72">
        <f>SUM(E44*35/1000)</f>
        <v>1.421</v>
      </c>
      <c r="G44" s="72">
        <v>6203.7</v>
      </c>
      <c r="H44" s="73">
        <f t="shared" si="3"/>
        <v>8.8154577000000014</v>
      </c>
      <c r="I44" s="13">
        <f>F44/6*G44</f>
        <v>1469.2429500000001</v>
      </c>
      <c r="J44" s="23"/>
      <c r="L44" s="19"/>
      <c r="M44" s="20"/>
      <c r="N44" s="21"/>
    </row>
    <row r="45" spans="1:14" ht="15.75" hidden="1" customHeight="1">
      <c r="A45" s="29">
        <v>12</v>
      </c>
      <c r="B45" s="69" t="s">
        <v>132</v>
      </c>
      <c r="C45" s="70" t="s">
        <v>126</v>
      </c>
      <c r="D45" s="69" t="s">
        <v>72</v>
      </c>
      <c r="E45" s="72">
        <v>167.03</v>
      </c>
      <c r="F45" s="72">
        <f>SUM(E45*45/1000)</f>
        <v>7.5163500000000001</v>
      </c>
      <c r="G45" s="72">
        <v>458.28</v>
      </c>
      <c r="H45" s="73">
        <f t="shared" si="3"/>
        <v>3.4445928779999999</v>
      </c>
      <c r="I45" s="13">
        <f>F45/6*G45</f>
        <v>574.09881299999995</v>
      </c>
      <c r="J45" s="23"/>
      <c r="L45" s="19"/>
      <c r="M45" s="20"/>
      <c r="N45" s="21"/>
    </row>
    <row r="46" spans="1:14" ht="15.75" customHeight="1">
      <c r="A46" s="29">
        <v>12</v>
      </c>
      <c r="B46" s="69" t="s">
        <v>73</v>
      </c>
      <c r="C46" s="70" t="s">
        <v>34</v>
      </c>
      <c r="D46" s="69"/>
      <c r="E46" s="71"/>
      <c r="F46" s="72">
        <v>1.2</v>
      </c>
      <c r="G46" s="72">
        <v>853.06</v>
      </c>
      <c r="H46" s="73">
        <f t="shared" si="3"/>
        <v>1.0236719999999999</v>
      </c>
      <c r="I46" s="13">
        <f>F46/6*G46</f>
        <v>170.61199999999997</v>
      </c>
      <c r="J46" s="23"/>
      <c r="L46" s="19"/>
      <c r="M46" s="20"/>
      <c r="N46" s="21"/>
    </row>
    <row r="47" spans="1:14" ht="15.75" hidden="1" customHeight="1">
      <c r="A47" s="122" t="s">
        <v>153</v>
      </c>
      <c r="B47" s="123"/>
      <c r="C47" s="123"/>
      <c r="D47" s="123"/>
      <c r="E47" s="123"/>
      <c r="F47" s="123"/>
      <c r="G47" s="123"/>
      <c r="H47" s="123"/>
      <c r="I47" s="124"/>
      <c r="J47" s="23"/>
      <c r="L47" s="19"/>
      <c r="M47" s="20"/>
      <c r="N47" s="21"/>
    </row>
    <row r="48" spans="1:14" ht="15.75" hidden="1" customHeight="1">
      <c r="A48" s="29"/>
      <c r="B48" s="69" t="s">
        <v>133</v>
      </c>
      <c r="C48" s="70" t="s">
        <v>126</v>
      </c>
      <c r="D48" s="69" t="s">
        <v>42</v>
      </c>
      <c r="E48" s="71">
        <v>1603.6</v>
      </c>
      <c r="F48" s="72">
        <f>SUM(E48*2/1000)</f>
        <v>3.2071999999999998</v>
      </c>
      <c r="G48" s="13">
        <v>908.11</v>
      </c>
      <c r="H48" s="73">
        <f t="shared" ref="H48:H56" si="4">SUM(F48*G48/1000)</f>
        <v>2.9124903919999996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9" t="s">
        <v>35</v>
      </c>
      <c r="C49" s="70" t="s">
        <v>126</v>
      </c>
      <c r="D49" s="69" t="s">
        <v>42</v>
      </c>
      <c r="E49" s="71">
        <v>65</v>
      </c>
      <c r="F49" s="72">
        <f>SUM(E49*2/1000)</f>
        <v>0.13</v>
      </c>
      <c r="G49" s="13">
        <v>619.46</v>
      </c>
      <c r="H49" s="73">
        <f t="shared" si="4"/>
        <v>8.0529800000000012E-2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9" t="s">
        <v>36</v>
      </c>
      <c r="C50" s="70" t="s">
        <v>126</v>
      </c>
      <c r="D50" s="69" t="s">
        <v>42</v>
      </c>
      <c r="E50" s="71">
        <v>1825.8</v>
      </c>
      <c r="F50" s="72">
        <f>SUM(E50*2/1000)</f>
        <v>3.6515999999999997</v>
      </c>
      <c r="G50" s="13">
        <v>619.46</v>
      </c>
      <c r="H50" s="73">
        <f t="shared" si="4"/>
        <v>2.2620201360000003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69" t="s">
        <v>37</v>
      </c>
      <c r="C51" s="70" t="s">
        <v>126</v>
      </c>
      <c r="D51" s="69" t="s">
        <v>42</v>
      </c>
      <c r="E51" s="71">
        <v>3163.96</v>
      </c>
      <c r="F51" s="72">
        <f>SUM(E51*2/1000)</f>
        <v>6.3279199999999998</v>
      </c>
      <c r="G51" s="13">
        <v>648.64</v>
      </c>
      <c r="H51" s="73">
        <f t="shared" si="4"/>
        <v>4.1045420287999992</v>
      </c>
      <c r="I51" s="13">
        <v>0</v>
      </c>
      <c r="J51" s="23"/>
      <c r="L51" s="19"/>
      <c r="M51" s="20"/>
      <c r="N51" s="21"/>
    </row>
    <row r="52" spans="1:22" ht="15.75" hidden="1" customHeight="1">
      <c r="A52" s="29">
        <v>14</v>
      </c>
      <c r="B52" s="69" t="s">
        <v>58</v>
      </c>
      <c r="C52" s="70" t="s">
        <v>126</v>
      </c>
      <c r="D52" s="69" t="s">
        <v>192</v>
      </c>
      <c r="E52" s="71">
        <v>1583</v>
      </c>
      <c r="F52" s="72">
        <f>SUM(E52*5/1000)</f>
        <v>7.915</v>
      </c>
      <c r="G52" s="13">
        <v>1297.28</v>
      </c>
      <c r="H52" s="73">
        <f t="shared" si="4"/>
        <v>10.2679712</v>
      </c>
      <c r="I52" s="13">
        <f>F52/5*G52</f>
        <v>2053.5942399999999</v>
      </c>
      <c r="J52" s="23"/>
      <c r="L52" s="19"/>
      <c r="M52" s="20"/>
      <c r="N52" s="21"/>
    </row>
    <row r="53" spans="1:22" ht="31.5" hidden="1" customHeight="1">
      <c r="A53" s="29">
        <v>11</v>
      </c>
      <c r="B53" s="69" t="s">
        <v>134</v>
      </c>
      <c r="C53" s="70" t="s">
        <v>126</v>
      </c>
      <c r="D53" s="69" t="s">
        <v>42</v>
      </c>
      <c r="E53" s="71">
        <v>1583</v>
      </c>
      <c r="F53" s="72">
        <f>SUM(E53*2/1000)</f>
        <v>3.1659999999999999</v>
      </c>
      <c r="G53" s="13">
        <v>1297.28</v>
      </c>
      <c r="H53" s="73">
        <f t="shared" si="4"/>
        <v>4.1071884799999996</v>
      </c>
      <c r="I53" s="13">
        <f>F53/2*G53</f>
        <v>2053.5942399999999</v>
      </c>
      <c r="J53" s="23"/>
      <c r="L53" s="19"/>
      <c r="M53" s="20"/>
      <c r="N53" s="21"/>
    </row>
    <row r="54" spans="1:22" ht="31.5" hidden="1" customHeight="1">
      <c r="A54" s="29">
        <v>12</v>
      </c>
      <c r="B54" s="69" t="s">
        <v>135</v>
      </c>
      <c r="C54" s="70" t="s">
        <v>38</v>
      </c>
      <c r="D54" s="69" t="s">
        <v>42</v>
      </c>
      <c r="E54" s="71">
        <v>25</v>
      </c>
      <c r="F54" s="72">
        <f>SUM(E54*2/100)</f>
        <v>0.5</v>
      </c>
      <c r="G54" s="13">
        <v>2918.89</v>
      </c>
      <c r="H54" s="73">
        <f t="shared" si="4"/>
        <v>1.4594449999999999</v>
      </c>
      <c r="I54" s="13">
        <f t="shared" ref="I54:I55" si="5">F54/2*G54</f>
        <v>729.72249999999997</v>
      </c>
      <c r="J54" s="23"/>
      <c r="L54" s="19"/>
      <c r="M54" s="20"/>
      <c r="N54" s="21"/>
    </row>
    <row r="55" spans="1:22" ht="15.75" hidden="1" customHeight="1">
      <c r="A55" s="29">
        <v>13</v>
      </c>
      <c r="B55" s="69" t="s">
        <v>39</v>
      </c>
      <c r="C55" s="70" t="s">
        <v>40</v>
      </c>
      <c r="D55" s="69" t="s">
        <v>42</v>
      </c>
      <c r="E55" s="71">
        <v>1</v>
      </c>
      <c r="F55" s="72">
        <v>0.02</v>
      </c>
      <c r="G55" s="13">
        <v>6042.12</v>
      </c>
      <c r="H55" s="73">
        <f t="shared" si="4"/>
        <v>0.1208424</v>
      </c>
      <c r="I55" s="13">
        <f t="shared" si="5"/>
        <v>60.421199999999999</v>
      </c>
      <c r="J55" s="23"/>
      <c r="L55" s="19"/>
      <c r="M55" s="20"/>
      <c r="N55" s="21"/>
    </row>
    <row r="56" spans="1:22" ht="15.75" hidden="1" customHeight="1">
      <c r="A56" s="29">
        <v>14</v>
      </c>
      <c r="B56" s="69" t="s">
        <v>41</v>
      </c>
      <c r="C56" s="70" t="s">
        <v>31</v>
      </c>
      <c r="D56" s="69" t="s">
        <v>74</v>
      </c>
      <c r="E56" s="71">
        <v>36</v>
      </c>
      <c r="F56" s="72">
        <f>SUM(E56)*3</f>
        <v>108</v>
      </c>
      <c r="G56" s="13">
        <v>70.209999999999994</v>
      </c>
      <c r="H56" s="73">
        <f t="shared" si="4"/>
        <v>7.582679999999999</v>
      </c>
      <c r="I56" s="13">
        <f>E56*G56</f>
        <v>2527.56</v>
      </c>
      <c r="J56" s="23"/>
      <c r="L56" s="19"/>
      <c r="M56" s="20"/>
      <c r="N56" s="21"/>
    </row>
    <row r="57" spans="1:22" ht="15.75" customHeight="1">
      <c r="A57" s="122" t="s">
        <v>195</v>
      </c>
      <c r="B57" s="123"/>
      <c r="C57" s="123"/>
      <c r="D57" s="123"/>
      <c r="E57" s="123"/>
      <c r="F57" s="123"/>
      <c r="G57" s="123"/>
      <c r="H57" s="123"/>
      <c r="I57" s="124"/>
      <c r="J57" s="23"/>
      <c r="L57" s="19"/>
      <c r="M57" s="20"/>
      <c r="N57" s="21"/>
    </row>
    <row r="58" spans="1:22" ht="15.75" customHeight="1">
      <c r="A58" s="29"/>
      <c r="B58" s="90" t="s">
        <v>43</v>
      </c>
      <c r="C58" s="70"/>
      <c r="D58" s="69"/>
      <c r="E58" s="71"/>
      <c r="F58" s="72"/>
      <c r="G58" s="72"/>
      <c r="H58" s="73"/>
      <c r="I58" s="13"/>
      <c r="J58" s="23"/>
      <c r="L58" s="19"/>
      <c r="M58" s="20"/>
      <c r="N58" s="21"/>
    </row>
    <row r="59" spans="1:22" ht="31.5" customHeight="1">
      <c r="A59" s="29">
        <v>13</v>
      </c>
      <c r="B59" s="69" t="s">
        <v>149</v>
      </c>
      <c r="C59" s="70" t="s">
        <v>115</v>
      </c>
      <c r="D59" s="69" t="s">
        <v>75</v>
      </c>
      <c r="E59" s="78">
        <v>3.78</v>
      </c>
      <c r="F59" s="13">
        <f>E59*6/100</f>
        <v>0.2268</v>
      </c>
      <c r="G59" s="72">
        <v>1654.04</v>
      </c>
      <c r="H59" s="73">
        <f>SUM(F59*G59/1000)</f>
        <v>0.37513627199999999</v>
      </c>
      <c r="I59" s="13">
        <f>F59/6*G59</f>
        <v>62.522711999999999</v>
      </c>
      <c r="J59" s="23"/>
      <c r="L59" s="19"/>
      <c r="M59" s="20"/>
      <c r="N59" s="21"/>
    </row>
    <row r="60" spans="1:22" ht="31.5" customHeight="1">
      <c r="A60" s="29">
        <v>14</v>
      </c>
      <c r="B60" s="69" t="s">
        <v>137</v>
      </c>
      <c r="C60" s="70" t="s">
        <v>115</v>
      </c>
      <c r="D60" s="69" t="s">
        <v>75</v>
      </c>
      <c r="E60" s="71">
        <v>185.36</v>
      </c>
      <c r="F60" s="72">
        <f>E60*6/100</f>
        <v>11.121600000000001</v>
      </c>
      <c r="G60" s="79">
        <v>1654.04</v>
      </c>
      <c r="H60" s="73">
        <f>F60*G60/1000</f>
        <v>18.395571264000001</v>
      </c>
      <c r="I60" s="13">
        <f>F60/6*G60</f>
        <v>3065.9285440000003</v>
      </c>
      <c r="J60" s="23"/>
      <c r="L60" s="19"/>
    </row>
    <row r="61" spans="1:22" ht="15.75" hidden="1" customHeight="1">
      <c r="A61" s="29"/>
      <c r="B61" s="80" t="s">
        <v>108</v>
      </c>
      <c r="C61" s="70" t="s">
        <v>109</v>
      </c>
      <c r="D61" s="80" t="s">
        <v>42</v>
      </c>
      <c r="E61" s="81">
        <v>5</v>
      </c>
      <c r="F61" s="82">
        <v>10</v>
      </c>
      <c r="G61" s="79">
        <v>198.25</v>
      </c>
      <c r="H61" s="83">
        <v>0.99099999999999999</v>
      </c>
      <c r="I61" s="13">
        <v>0</v>
      </c>
      <c r="J61" s="23"/>
      <c r="L61" s="19"/>
    </row>
    <row r="62" spans="1:22" ht="15.75" customHeight="1">
      <c r="A62" s="29"/>
      <c r="B62" s="91" t="s">
        <v>44</v>
      </c>
      <c r="C62" s="84"/>
      <c r="D62" s="80"/>
      <c r="E62" s="81"/>
      <c r="F62" s="82"/>
      <c r="G62" s="85"/>
      <c r="H62" s="83"/>
      <c r="I62" s="13"/>
    </row>
    <row r="63" spans="1:22" ht="15.75" hidden="1" customHeight="1">
      <c r="A63" s="29"/>
      <c r="B63" s="80" t="s">
        <v>45</v>
      </c>
      <c r="C63" s="84" t="s">
        <v>53</v>
      </c>
      <c r="D63" s="80" t="s">
        <v>54</v>
      </c>
      <c r="E63" s="81">
        <v>1752</v>
      </c>
      <c r="F63" s="82">
        <f>E63/100</f>
        <v>17.52</v>
      </c>
      <c r="G63" s="72">
        <v>848.37</v>
      </c>
      <c r="H63" s="83">
        <f>G63*F63/1000</f>
        <v>14.8634424</v>
      </c>
      <c r="I63" s="13">
        <v>0</v>
      </c>
    </row>
    <row r="64" spans="1:22" ht="15.75" customHeight="1">
      <c r="A64" s="29">
        <v>15</v>
      </c>
      <c r="B64" s="80" t="s">
        <v>103</v>
      </c>
      <c r="C64" s="84" t="s">
        <v>25</v>
      </c>
      <c r="D64" s="80" t="s">
        <v>160</v>
      </c>
      <c r="E64" s="81">
        <v>352</v>
      </c>
      <c r="F64" s="82">
        <f>E64*12</f>
        <v>4224</v>
      </c>
      <c r="G64" s="72">
        <v>2.6</v>
      </c>
      <c r="H64" s="83">
        <f>G64*F64/1000</f>
        <v>10.9824</v>
      </c>
      <c r="I64" s="13">
        <f>F64/12*G64</f>
        <v>915.2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29"/>
      <c r="B65" s="91" t="s">
        <v>46</v>
      </c>
      <c r="C65" s="84"/>
      <c r="D65" s="80"/>
      <c r="E65" s="81"/>
      <c r="F65" s="82"/>
      <c r="G65" s="92"/>
      <c r="H65" s="83" t="s">
        <v>143</v>
      </c>
      <c r="I65" s="13"/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29">
        <v>16</v>
      </c>
      <c r="B66" s="14" t="s">
        <v>47</v>
      </c>
      <c r="C66" s="16" t="s">
        <v>136</v>
      </c>
      <c r="D66" s="14" t="s">
        <v>69</v>
      </c>
      <c r="E66" s="18">
        <v>10</v>
      </c>
      <c r="F66" s="72">
        <v>10</v>
      </c>
      <c r="G66" s="13">
        <v>237.74</v>
      </c>
      <c r="H66" s="66">
        <f t="shared" ref="H66:H80" si="6">SUM(F66*G66/1000)</f>
        <v>2.3774000000000002</v>
      </c>
      <c r="I66" s="13">
        <f>G66*6</f>
        <v>1426.44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48</v>
      </c>
      <c r="C67" s="16" t="s">
        <v>136</v>
      </c>
      <c r="D67" s="14" t="s">
        <v>69</v>
      </c>
      <c r="E67" s="18">
        <v>5</v>
      </c>
      <c r="F67" s="72">
        <v>5</v>
      </c>
      <c r="G67" s="13">
        <v>81.510000000000005</v>
      </c>
      <c r="H67" s="66">
        <f t="shared" si="6"/>
        <v>0.40755000000000002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10"/>
      <c r="S67" s="110"/>
      <c r="T67" s="110"/>
      <c r="U67" s="110"/>
    </row>
    <row r="68" spans="1:21" ht="15.75" hidden="1" customHeight="1">
      <c r="A68" s="29"/>
      <c r="B68" s="14" t="s">
        <v>49</v>
      </c>
      <c r="C68" s="16" t="s">
        <v>138</v>
      </c>
      <c r="D68" s="14" t="s">
        <v>54</v>
      </c>
      <c r="E68" s="71">
        <v>23808</v>
      </c>
      <c r="F68" s="13">
        <f>SUM(E68/100)</f>
        <v>238.08</v>
      </c>
      <c r="G68" s="13">
        <v>226.79</v>
      </c>
      <c r="H68" s="66">
        <f t="shared" si="6"/>
        <v>53.994163200000003</v>
      </c>
      <c r="I68" s="13">
        <f>F68*G68</f>
        <v>53994.163200000003</v>
      </c>
    </row>
    <row r="69" spans="1:21" ht="15.75" hidden="1" customHeight="1">
      <c r="A69" s="29"/>
      <c r="B69" s="14" t="s">
        <v>50</v>
      </c>
      <c r="C69" s="16" t="s">
        <v>139</v>
      </c>
      <c r="D69" s="14"/>
      <c r="E69" s="71">
        <v>23808</v>
      </c>
      <c r="F69" s="13">
        <f>SUM(E69/1000)</f>
        <v>23.808</v>
      </c>
      <c r="G69" s="13">
        <v>176.61</v>
      </c>
      <c r="H69" s="66">
        <f t="shared" si="6"/>
        <v>4.2047308800000005</v>
      </c>
      <c r="I69" s="13">
        <f t="shared" ref="I69:I73" si="7">F69*G69</f>
        <v>4204.7308800000001</v>
      </c>
    </row>
    <row r="70" spans="1:21" ht="15.75" hidden="1" customHeight="1">
      <c r="A70" s="29"/>
      <c r="B70" s="14" t="s">
        <v>51</v>
      </c>
      <c r="C70" s="16" t="s">
        <v>80</v>
      </c>
      <c r="D70" s="14" t="s">
        <v>54</v>
      </c>
      <c r="E70" s="71">
        <v>3810</v>
      </c>
      <c r="F70" s="13">
        <f>SUM(E70/100)</f>
        <v>38.1</v>
      </c>
      <c r="G70" s="13">
        <v>2217.7800000000002</v>
      </c>
      <c r="H70" s="66">
        <f t="shared" si="6"/>
        <v>84.49741800000001</v>
      </c>
      <c r="I70" s="13">
        <f t="shared" si="7"/>
        <v>84497.418000000005</v>
      </c>
    </row>
    <row r="71" spans="1:21" ht="15.75" hidden="1" customHeight="1">
      <c r="A71" s="29"/>
      <c r="B71" s="86" t="s">
        <v>140</v>
      </c>
      <c r="C71" s="16" t="s">
        <v>34</v>
      </c>
      <c r="D71" s="14"/>
      <c r="E71" s="71">
        <v>23.4</v>
      </c>
      <c r="F71" s="13">
        <f>SUM(E71)</f>
        <v>23.4</v>
      </c>
      <c r="G71" s="13">
        <v>42.67</v>
      </c>
      <c r="H71" s="66">
        <f t="shared" si="6"/>
        <v>0.99847799999999998</v>
      </c>
      <c r="I71" s="13">
        <f t="shared" si="7"/>
        <v>998.47799999999995</v>
      </c>
    </row>
    <row r="72" spans="1:21" ht="15.75" hidden="1" customHeight="1">
      <c r="A72" s="29"/>
      <c r="B72" s="86" t="s">
        <v>150</v>
      </c>
      <c r="C72" s="16" t="s">
        <v>34</v>
      </c>
      <c r="D72" s="14"/>
      <c r="E72" s="71">
        <v>23.4</v>
      </c>
      <c r="F72" s="13">
        <f>SUM(E72)</f>
        <v>23.4</v>
      </c>
      <c r="G72" s="13">
        <v>39.81</v>
      </c>
      <c r="H72" s="66">
        <f t="shared" si="6"/>
        <v>0.93155399999999999</v>
      </c>
      <c r="I72" s="13">
        <f t="shared" si="7"/>
        <v>931.55399999999997</v>
      </c>
    </row>
    <row r="73" spans="1:21" ht="15.75" hidden="1" customHeight="1">
      <c r="A73" s="29"/>
      <c r="B73" s="14" t="s">
        <v>59</v>
      </c>
      <c r="C73" s="16" t="s">
        <v>60</v>
      </c>
      <c r="D73" s="14" t="s">
        <v>54</v>
      </c>
      <c r="E73" s="18">
        <v>5</v>
      </c>
      <c r="F73" s="72">
        <f>SUM(E73)</f>
        <v>5</v>
      </c>
      <c r="G73" s="13">
        <v>53.32</v>
      </c>
      <c r="H73" s="66">
        <f t="shared" si="6"/>
        <v>0.2666</v>
      </c>
      <c r="I73" s="13">
        <f t="shared" si="7"/>
        <v>266.60000000000002</v>
      </c>
    </row>
    <row r="74" spans="1:21" ht="15.75" customHeight="1">
      <c r="A74" s="29">
        <v>17</v>
      </c>
      <c r="B74" s="14" t="s">
        <v>151</v>
      </c>
      <c r="C74" s="16" t="s">
        <v>60</v>
      </c>
      <c r="D74" s="14" t="s">
        <v>30</v>
      </c>
      <c r="E74" s="18">
        <v>1</v>
      </c>
      <c r="F74" s="59">
        <v>12</v>
      </c>
      <c r="G74" s="13">
        <v>711</v>
      </c>
      <c r="H74" s="66">
        <v>8.5310000000000006</v>
      </c>
      <c r="I74" s="13">
        <f>F74/12*G74</f>
        <v>711</v>
      </c>
    </row>
    <row r="75" spans="1:21" ht="15.75" hidden="1" customHeight="1">
      <c r="A75" s="29"/>
      <c r="B75" s="101" t="s">
        <v>76</v>
      </c>
      <c r="C75" s="16"/>
      <c r="D75" s="14"/>
      <c r="E75" s="18"/>
      <c r="F75" s="13"/>
      <c r="G75" s="13"/>
      <c r="H75" s="66" t="s">
        <v>143</v>
      </c>
      <c r="I75" s="13"/>
    </row>
    <row r="76" spans="1:21" ht="15.75" hidden="1" customHeight="1">
      <c r="A76" s="29"/>
      <c r="B76" s="14" t="s">
        <v>77</v>
      </c>
      <c r="C76" s="16" t="s">
        <v>32</v>
      </c>
      <c r="D76" s="14" t="s">
        <v>69</v>
      </c>
      <c r="E76" s="18">
        <v>2</v>
      </c>
      <c r="F76" s="59">
        <v>0.2</v>
      </c>
      <c r="G76" s="13">
        <v>536.23</v>
      </c>
      <c r="H76" s="66">
        <v>0.107</v>
      </c>
      <c r="I76" s="13">
        <v>0</v>
      </c>
    </row>
    <row r="77" spans="1:21" ht="15.75" hidden="1" customHeight="1">
      <c r="A77" s="29"/>
      <c r="B77" s="14" t="s">
        <v>94</v>
      </c>
      <c r="C77" s="16" t="s">
        <v>31</v>
      </c>
      <c r="D77" s="14"/>
      <c r="E77" s="18">
        <v>1</v>
      </c>
      <c r="F77" s="72">
        <f>SUM(E77)</f>
        <v>1</v>
      </c>
      <c r="G77" s="13">
        <v>383.25</v>
      </c>
      <c r="H77" s="66">
        <f t="shared" si="6"/>
        <v>0.38324999999999998</v>
      </c>
      <c r="I77" s="13">
        <v>0</v>
      </c>
    </row>
    <row r="78" spans="1:21" ht="15.75" hidden="1" customHeight="1">
      <c r="A78" s="29"/>
      <c r="B78" s="14" t="s">
        <v>78</v>
      </c>
      <c r="C78" s="16" t="s">
        <v>31</v>
      </c>
      <c r="D78" s="14"/>
      <c r="E78" s="18">
        <v>1</v>
      </c>
      <c r="F78" s="13">
        <v>1</v>
      </c>
      <c r="G78" s="13">
        <v>911.85</v>
      </c>
      <c r="H78" s="66">
        <f>F78*G78/1000</f>
        <v>0.91185000000000005</v>
      </c>
      <c r="I78" s="13">
        <v>0</v>
      </c>
    </row>
    <row r="79" spans="1:21" ht="15.75" hidden="1" customHeight="1">
      <c r="A79" s="29"/>
      <c r="B79" s="87" t="s">
        <v>79</v>
      </c>
      <c r="C79" s="16"/>
      <c r="D79" s="14"/>
      <c r="E79" s="18"/>
      <c r="F79" s="13"/>
      <c r="G79" s="13" t="s">
        <v>143</v>
      </c>
      <c r="H79" s="66" t="s">
        <v>143</v>
      </c>
      <c r="I79" s="13"/>
    </row>
    <row r="80" spans="1:21" ht="15.75" hidden="1" customHeight="1">
      <c r="A80" s="29"/>
      <c r="B80" s="42" t="s">
        <v>144</v>
      </c>
      <c r="C80" s="16" t="s">
        <v>80</v>
      </c>
      <c r="D80" s="14"/>
      <c r="E80" s="18"/>
      <c r="F80" s="13">
        <v>0.6</v>
      </c>
      <c r="G80" s="13">
        <v>2949.85</v>
      </c>
      <c r="H80" s="66">
        <f t="shared" si="6"/>
        <v>1.7699099999999999</v>
      </c>
      <c r="I80" s="13">
        <v>0</v>
      </c>
      <c r="J80" s="5"/>
      <c r="K80" s="5"/>
      <c r="L80" s="5"/>
      <c r="M80" s="5"/>
      <c r="N80" s="5"/>
      <c r="O80" s="5"/>
      <c r="P80" s="5"/>
      <c r="Q80" s="5"/>
      <c r="R80" s="99"/>
      <c r="S80" s="99"/>
      <c r="T80" s="99"/>
      <c r="U80" s="99"/>
    </row>
    <row r="81" spans="1:21" ht="15.75" hidden="1" customHeight="1">
      <c r="A81" s="103"/>
      <c r="B81" s="101" t="s">
        <v>141</v>
      </c>
      <c r="C81" s="101"/>
      <c r="D81" s="101"/>
      <c r="E81" s="101"/>
      <c r="F81" s="101"/>
      <c r="G81" s="101"/>
      <c r="H81" s="101"/>
      <c r="I81" s="18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29"/>
      <c r="B82" s="69" t="s">
        <v>142</v>
      </c>
      <c r="C82" s="16"/>
      <c r="D82" s="14"/>
      <c r="E82" s="60"/>
      <c r="F82" s="13">
        <v>1</v>
      </c>
      <c r="G82" s="13">
        <v>21062.799999999999</v>
      </c>
      <c r="H82" s="66">
        <f>G82*F82/1000</f>
        <v>21.062799999999999</v>
      </c>
      <c r="I82" s="13">
        <v>0</v>
      </c>
      <c r="J82" s="5"/>
      <c r="K82" s="5"/>
      <c r="L82" s="5"/>
      <c r="M82" s="5"/>
      <c r="N82" s="5"/>
      <c r="O82" s="5"/>
      <c r="P82" s="5"/>
      <c r="Q82" s="5"/>
      <c r="R82" s="99"/>
      <c r="S82" s="99"/>
      <c r="T82" s="99"/>
      <c r="U82" s="99"/>
    </row>
    <row r="83" spans="1:21" ht="15.75" customHeight="1">
      <c r="A83" s="111" t="s">
        <v>196</v>
      </c>
      <c r="B83" s="112"/>
      <c r="C83" s="112"/>
      <c r="D83" s="112"/>
      <c r="E83" s="112"/>
      <c r="F83" s="112"/>
      <c r="G83" s="112"/>
      <c r="H83" s="112"/>
      <c r="I83" s="113"/>
    </row>
    <row r="84" spans="1:21" ht="15.75" customHeight="1">
      <c r="A84" s="29">
        <v>18</v>
      </c>
      <c r="B84" s="69" t="s">
        <v>145</v>
      </c>
      <c r="C84" s="16" t="s">
        <v>56</v>
      </c>
      <c r="D84" s="88" t="s">
        <v>57</v>
      </c>
      <c r="E84" s="13">
        <v>5816.5</v>
      </c>
      <c r="F84" s="13">
        <f>SUM(E84*12)</f>
        <v>69798</v>
      </c>
      <c r="G84" s="13">
        <v>2.54</v>
      </c>
      <c r="H84" s="66">
        <f>SUM(F84*G84/1000)</f>
        <v>177.28692000000001</v>
      </c>
      <c r="I84" s="13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99"/>
      <c r="S84" s="99"/>
      <c r="T84" s="99"/>
      <c r="U84" s="99"/>
    </row>
    <row r="85" spans="1:21" ht="31.5" customHeight="1">
      <c r="A85" s="29">
        <v>19</v>
      </c>
      <c r="B85" s="14" t="s">
        <v>81</v>
      </c>
      <c r="C85" s="16"/>
      <c r="D85" s="88" t="s">
        <v>57</v>
      </c>
      <c r="E85" s="71">
        <f>E84</f>
        <v>5816.5</v>
      </c>
      <c r="F85" s="13">
        <f>E85*12</f>
        <v>69798</v>
      </c>
      <c r="G85" s="13">
        <v>2.0499999999999998</v>
      </c>
      <c r="H85" s="66">
        <f>F85*G85/1000</f>
        <v>143.08589999999998</v>
      </c>
      <c r="I85" s="13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99"/>
      <c r="S85" s="99"/>
      <c r="T85" s="99"/>
      <c r="U85" s="99"/>
    </row>
    <row r="86" spans="1:21" ht="15.75" customHeight="1">
      <c r="A86" s="103"/>
      <c r="B86" s="34" t="s">
        <v>84</v>
      </c>
      <c r="C86" s="35"/>
      <c r="D86" s="15"/>
      <c r="E86" s="15"/>
      <c r="F86" s="15"/>
      <c r="G86" s="18"/>
      <c r="H86" s="18"/>
      <c r="I86" s="31">
        <f>I16+I17+I18+I20+I21+I27+I28+I40+I41+I43+I44+I46+I59+I60+I64+I66+I74+I84+I85</f>
        <v>100361.52944083331</v>
      </c>
    </row>
    <row r="87" spans="1:21" ht="15.75" customHeight="1">
      <c r="A87" s="125" t="s">
        <v>62</v>
      </c>
      <c r="B87" s="126"/>
      <c r="C87" s="126"/>
      <c r="D87" s="126"/>
      <c r="E87" s="126"/>
      <c r="F87" s="126"/>
      <c r="G87" s="126"/>
      <c r="H87" s="126"/>
      <c r="I87" s="127"/>
    </row>
    <row r="88" spans="1:21" ht="15.75" customHeight="1">
      <c r="A88" s="29">
        <v>20</v>
      </c>
      <c r="B88" s="67" t="s">
        <v>212</v>
      </c>
      <c r="C88" s="68" t="s">
        <v>98</v>
      </c>
      <c r="D88" s="42"/>
      <c r="E88" s="13"/>
      <c r="F88" s="13">
        <f>122/3</f>
        <v>40.666666666666664</v>
      </c>
      <c r="G88" s="13">
        <v>1120.8900000000001</v>
      </c>
      <c r="H88" s="66">
        <f>G88*F88/1000</f>
        <v>45.582860000000004</v>
      </c>
      <c r="I88" s="13">
        <f>G88*(10/3)</f>
        <v>3736.3000000000006</v>
      </c>
    </row>
    <row r="89" spans="1:21" ht="15.75" customHeight="1">
      <c r="A89" s="29">
        <v>21</v>
      </c>
      <c r="B89" s="46" t="s">
        <v>162</v>
      </c>
      <c r="C89" s="65" t="s">
        <v>88</v>
      </c>
      <c r="D89" s="42"/>
      <c r="E89" s="33"/>
      <c r="F89" s="33">
        <v>16</v>
      </c>
      <c r="G89" s="33">
        <v>195.85</v>
      </c>
      <c r="H89" s="97">
        <f>G89*F89/1000</f>
        <v>3.1335999999999999</v>
      </c>
      <c r="I89" s="13">
        <f>G89*2</f>
        <v>391.7</v>
      </c>
      <c r="J89" s="5"/>
      <c r="K89" s="5"/>
      <c r="L89" s="5"/>
      <c r="M89" s="5"/>
      <c r="N89" s="5"/>
      <c r="O89" s="5"/>
      <c r="P89" s="5"/>
      <c r="Q89" s="5"/>
      <c r="R89" s="99"/>
      <c r="S89" s="99"/>
      <c r="T89" s="99"/>
      <c r="U89" s="99"/>
    </row>
    <row r="90" spans="1:21" ht="31.5" customHeight="1">
      <c r="A90" s="29">
        <v>22</v>
      </c>
      <c r="B90" s="46" t="s">
        <v>95</v>
      </c>
      <c r="C90" s="65" t="s">
        <v>99</v>
      </c>
      <c r="D90" s="42"/>
      <c r="E90" s="33"/>
      <c r="F90" s="33">
        <v>5</v>
      </c>
      <c r="G90" s="33">
        <v>589.84</v>
      </c>
      <c r="H90" s="97">
        <f>G90*F90/1000</f>
        <v>2.9492000000000003</v>
      </c>
      <c r="I90" s="13">
        <f>G90*2</f>
        <v>1179.68</v>
      </c>
      <c r="J90" s="5"/>
      <c r="K90" s="5"/>
      <c r="L90" s="5"/>
      <c r="M90" s="5"/>
      <c r="N90" s="5"/>
      <c r="O90" s="5"/>
      <c r="P90" s="5"/>
      <c r="Q90" s="5"/>
      <c r="R90" s="99"/>
      <c r="S90" s="99"/>
      <c r="T90" s="99"/>
      <c r="U90" s="99"/>
    </row>
    <row r="91" spans="1:21" ht="31.5" customHeight="1">
      <c r="A91" s="29">
        <v>23</v>
      </c>
      <c r="B91" s="46" t="s">
        <v>83</v>
      </c>
      <c r="C91" s="65" t="s">
        <v>136</v>
      </c>
      <c r="D91" s="42"/>
      <c r="E91" s="33"/>
      <c r="F91" s="33">
        <v>7</v>
      </c>
      <c r="G91" s="33">
        <v>83.36</v>
      </c>
      <c r="H91" s="97">
        <f>G91*F91/1000</f>
        <v>0.58351999999999993</v>
      </c>
      <c r="I91" s="13">
        <f>G91</f>
        <v>83.36</v>
      </c>
      <c r="J91" s="5"/>
      <c r="K91" s="5"/>
      <c r="L91" s="5"/>
      <c r="M91" s="5"/>
      <c r="N91" s="5"/>
      <c r="O91" s="5"/>
      <c r="P91" s="5"/>
      <c r="Q91" s="5"/>
      <c r="R91" s="99"/>
      <c r="S91" s="99"/>
      <c r="T91" s="99"/>
      <c r="U91" s="99"/>
    </row>
    <row r="92" spans="1:21" ht="31.5" customHeight="1">
      <c r="A92" s="29">
        <v>24</v>
      </c>
      <c r="B92" s="46" t="s">
        <v>235</v>
      </c>
      <c r="C92" s="65" t="s">
        <v>85</v>
      </c>
      <c r="D92" s="42"/>
      <c r="E92" s="33"/>
      <c r="F92" s="33">
        <v>22.5</v>
      </c>
      <c r="G92" s="33">
        <v>1272</v>
      </c>
      <c r="H92" s="97">
        <f t="shared" ref="H92" si="8">G92*F92/1000</f>
        <v>28.62</v>
      </c>
      <c r="I92" s="13">
        <f>G92*2</f>
        <v>2544</v>
      </c>
      <c r="J92" s="5"/>
      <c r="K92" s="5"/>
      <c r="L92" s="5"/>
      <c r="M92" s="5"/>
      <c r="N92" s="5"/>
      <c r="O92" s="5"/>
      <c r="P92" s="5"/>
      <c r="Q92" s="5"/>
      <c r="R92" s="99"/>
      <c r="S92" s="99"/>
      <c r="T92" s="99"/>
      <c r="U92" s="99"/>
    </row>
    <row r="93" spans="1:21" ht="31.5" customHeight="1">
      <c r="A93" s="29">
        <v>25</v>
      </c>
      <c r="B93" s="46" t="s">
        <v>167</v>
      </c>
      <c r="C93" s="65" t="s">
        <v>38</v>
      </c>
      <c r="D93" s="98"/>
      <c r="E93" s="33"/>
      <c r="F93" s="33">
        <v>0.12</v>
      </c>
      <c r="G93" s="33">
        <v>3581.13</v>
      </c>
      <c r="H93" s="97">
        <f>G93*F93/1000</f>
        <v>0.4297356</v>
      </c>
      <c r="I93" s="13">
        <f>G93*0.02</f>
        <v>71.622600000000006</v>
      </c>
      <c r="J93" s="5"/>
      <c r="K93" s="5"/>
      <c r="L93" s="5"/>
      <c r="M93" s="5"/>
      <c r="N93" s="5"/>
      <c r="O93" s="5"/>
      <c r="P93" s="5"/>
      <c r="Q93" s="5"/>
      <c r="R93" s="99"/>
      <c r="S93" s="99"/>
      <c r="T93" s="99"/>
      <c r="U93" s="99"/>
    </row>
    <row r="94" spans="1:21" ht="31.5" customHeight="1">
      <c r="A94" s="29">
        <v>26</v>
      </c>
      <c r="B94" s="46" t="s">
        <v>181</v>
      </c>
      <c r="C94" s="65" t="s">
        <v>85</v>
      </c>
      <c r="D94" s="42"/>
      <c r="E94" s="33"/>
      <c r="F94" s="33">
        <v>9</v>
      </c>
      <c r="G94" s="33">
        <v>1187</v>
      </c>
      <c r="H94" s="97">
        <f>G94*F94/1000</f>
        <v>10.683</v>
      </c>
      <c r="I94" s="13">
        <f>G94*6</f>
        <v>7122</v>
      </c>
      <c r="J94" s="5"/>
      <c r="K94" s="5"/>
      <c r="L94" s="5"/>
      <c r="M94" s="5"/>
      <c r="N94" s="5"/>
      <c r="O94" s="5"/>
      <c r="P94" s="5"/>
      <c r="Q94" s="5"/>
      <c r="R94" s="99"/>
      <c r="S94" s="99"/>
      <c r="T94" s="99"/>
      <c r="U94" s="99"/>
    </row>
    <row r="95" spans="1:21" ht="15.75" customHeight="1">
      <c r="A95" s="29"/>
      <c r="B95" s="40" t="s">
        <v>52</v>
      </c>
      <c r="C95" s="36"/>
      <c r="D95" s="44"/>
      <c r="E95" s="36">
        <v>1</v>
      </c>
      <c r="F95" s="36"/>
      <c r="G95" s="36"/>
      <c r="H95" s="36"/>
      <c r="I95" s="31">
        <f>SUM(I88:I94)</f>
        <v>15128.6626</v>
      </c>
    </row>
    <row r="96" spans="1:21" ht="15.75" customHeight="1">
      <c r="A96" s="29"/>
      <c r="B96" s="42" t="s">
        <v>82</v>
      </c>
      <c r="C96" s="15"/>
      <c r="D96" s="15"/>
      <c r="E96" s="37"/>
      <c r="F96" s="37"/>
      <c r="G96" s="38"/>
      <c r="H96" s="38"/>
      <c r="I96" s="17">
        <v>0</v>
      </c>
    </row>
    <row r="97" spans="1:9" ht="15.75" customHeight="1">
      <c r="A97" s="45"/>
      <c r="B97" s="41" t="s">
        <v>210</v>
      </c>
      <c r="C97" s="32"/>
      <c r="D97" s="32"/>
      <c r="E97" s="32"/>
      <c r="F97" s="32"/>
      <c r="G97" s="32"/>
      <c r="H97" s="32"/>
      <c r="I97" s="39">
        <f>I86+I95</f>
        <v>115490.19204083331</v>
      </c>
    </row>
    <row r="98" spans="1:9" ht="15.75" customHeight="1">
      <c r="A98" s="128" t="s">
        <v>288</v>
      </c>
      <c r="B98" s="128"/>
      <c r="C98" s="128"/>
      <c r="D98" s="128"/>
      <c r="E98" s="128"/>
      <c r="F98" s="128"/>
      <c r="G98" s="128"/>
      <c r="H98" s="128"/>
      <c r="I98" s="128"/>
    </row>
    <row r="99" spans="1:9" ht="15.75" customHeight="1">
      <c r="A99" s="57"/>
      <c r="B99" s="129" t="s">
        <v>289</v>
      </c>
      <c r="C99" s="129"/>
      <c r="D99" s="129"/>
      <c r="E99" s="129"/>
      <c r="F99" s="129"/>
      <c r="G99" s="129"/>
      <c r="H99" s="63"/>
      <c r="I99" s="3"/>
    </row>
    <row r="100" spans="1:9" ht="15.75" customHeight="1">
      <c r="A100" s="99"/>
      <c r="B100" s="130" t="s">
        <v>6</v>
      </c>
      <c r="C100" s="130"/>
      <c r="D100" s="130"/>
      <c r="E100" s="130"/>
      <c r="F100" s="130"/>
      <c r="G100" s="130"/>
      <c r="H100" s="24"/>
      <c r="I100" s="5"/>
    </row>
    <row r="101" spans="1:9" ht="15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 customHeight="1">
      <c r="A102" s="131" t="s">
        <v>7</v>
      </c>
      <c r="B102" s="131"/>
      <c r="C102" s="131"/>
      <c r="D102" s="131"/>
      <c r="E102" s="131"/>
      <c r="F102" s="131"/>
      <c r="G102" s="131"/>
      <c r="H102" s="131"/>
      <c r="I102" s="131"/>
    </row>
    <row r="103" spans="1:9" ht="15.75" customHeight="1">
      <c r="A103" s="131" t="s">
        <v>8</v>
      </c>
      <c r="B103" s="131"/>
      <c r="C103" s="131"/>
      <c r="D103" s="131"/>
      <c r="E103" s="131"/>
      <c r="F103" s="131"/>
      <c r="G103" s="131"/>
      <c r="H103" s="131"/>
      <c r="I103" s="131"/>
    </row>
    <row r="104" spans="1:9" ht="15.75" customHeight="1">
      <c r="A104" s="120" t="s">
        <v>63</v>
      </c>
      <c r="B104" s="120"/>
      <c r="C104" s="120"/>
      <c r="D104" s="120"/>
      <c r="E104" s="120"/>
      <c r="F104" s="120"/>
      <c r="G104" s="120"/>
      <c r="H104" s="120"/>
      <c r="I104" s="120"/>
    </row>
    <row r="105" spans="1:9" ht="15.75" customHeight="1">
      <c r="A105" s="11"/>
    </row>
    <row r="106" spans="1:9" ht="15.75" customHeight="1">
      <c r="A106" s="133" t="s">
        <v>9</v>
      </c>
      <c r="B106" s="133"/>
      <c r="C106" s="133"/>
      <c r="D106" s="133"/>
      <c r="E106" s="133"/>
      <c r="F106" s="133"/>
      <c r="G106" s="133"/>
      <c r="H106" s="133"/>
      <c r="I106" s="133"/>
    </row>
    <row r="107" spans="1:9" ht="15.75" customHeight="1">
      <c r="A107" s="4"/>
    </row>
    <row r="108" spans="1:9" ht="15.75" customHeight="1">
      <c r="B108" s="102" t="s">
        <v>10</v>
      </c>
      <c r="C108" s="134" t="s">
        <v>96</v>
      </c>
      <c r="D108" s="134"/>
      <c r="E108" s="134"/>
      <c r="F108" s="61"/>
      <c r="I108" s="105"/>
    </row>
    <row r="109" spans="1:9" ht="15.75" customHeight="1">
      <c r="A109" s="99"/>
      <c r="C109" s="130" t="s">
        <v>11</v>
      </c>
      <c r="D109" s="130"/>
      <c r="E109" s="130"/>
      <c r="F109" s="24"/>
      <c r="I109" s="104" t="s">
        <v>12</v>
      </c>
    </row>
    <row r="110" spans="1:9" ht="15.75" customHeight="1">
      <c r="A110" s="25"/>
      <c r="C110" s="12"/>
      <c r="D110" s="12"/>
      <c r="G110" s="12"/>
      <c r="H110" s="12"/>
    </row>
    <row r="111" spans="1:9" ht="15.75" customHeight="1">
      <c r="B111" s="102" t="s">
        <v>13</v>
      </c>
      <c r="C111" s="135"/>
      <c r="D111" s="135"/>
      <c r="E111" s="135"/>
      <c r="F111" s="62"/>
      <c r="I111" s="105"/>
    </row>
    <row r="112" spans="1:9" ht="15.75" customHeight="1">
      <c r="A112" s="99"/>
      <c r="C112" s="110" t="s">
        <v>11</v>
      </c>
      <c r="D112" s="110"/>
      <c r="E112" s="110"/>
      <c r="F112" s="99"/>
      <c r="I112" s="104" t="s">
        <v>12</v>
      </c>
    </row>
    <row r="113" spans="1:9" ht="15.75" customHeight="1">
      <c r="A113" s="4" t="s">
        <v>14</v>
      </c>
    </row>
    <row r="114" spans="1:9" ht="15.75" customHeight="1">
      <c r="A114" s="136" t="s">
        <v>15</v>
      </c>
      <c r="B114" s="136"/>
      <c r="C114" s="136"/>
      <c r="D114" s="136"/>
      <c r="E114" s="136"/>
      <c r="F114" s="136"/>
      <c r="G114" s="136"/>
      <c r="H114" s="136"/>
      <c r="I114" s="136"/>
    </row>
    <row r="115" spans="1:9" ht="45" customHeight="1">
      <c r="A115" s="132" t="s">
        <v>16</v>
      </c>
      <c r="B115" s="132"/>
      <c r="C115" s="132"/>
      <c r="D115" s="132"/>
      <c r="E115" s="132"/>
      <c r="F115" s="132"/>
      <c r="G115" s="132"/>
      <c r="H115" s="132"/>
      <c r="I115" s="132"/>
    </row>
    <row r="116" spans="1:9" ht="30" customHeight="1">
      <c r="A116" s="132" t="s">
        <v>17</v>
      </c>
      <c r="B116" s="132"/>
      <c r="C116" s="132"/>
      <c r="D116" s="132"/>
      <c r="E116" s="132"/>
      <c r="F116" s="132"/>
      <c r="G116" s="132"/>
      <c r="H116" s="132"/>
      <c r="I116" s="132"/>
    </row>
    <row r="117" spans="1:9" ht="30" customHeight="1">
      <c r="A117" s="132" t="s">
        <v>21</v>
      </c>
      <c r="B117" s="132"/>
      <c r="C117" s="132"/>
      <c r="D117" s="132"/>
      <c r="E117" s="132"/>
      <c r="F117" s="132"/>
      <c r="G117" s="132"/>
      <c r="H117" s="132"/>
      <c r="I117" s="132"/>
    </row>
    <row r="118" spans="1:9" ht="15" customHeight="1">
      <c r="A118" s="132" t="s">
        <v>20</v>
      </c>
      <c r="B118" s="132"/>
      <c r="C118" s="132"/>
      <c r="D118" s="132"/>
      <c r="E118" s="132"/>
      <c r="F118" s="132"/>
      <c r="G118" s="132"/>
      <c r="H118" s="132"/>
      <c r="I118" s="132"/>
    </row>
  </sheetData>
  <autoFilter ref="I12:I62"/>
  <mergeCells count="29"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7:I47"/>
    <mergeCell ref="A57:I57"/>
    <mergeCell ref="R67:U67"/>
    <mergeCell ref="C112:E112"/>
    <mergeCell ref="A87:I87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114:I114"/>
    <mergeCell ref="A115:I115"/>
    <mergeCell ref="A116:I116"/>
    <mergeCell ref="A117:I117"/>
    <mergeCell ref="A118:I11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8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92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14" t="s">
        <v>278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146</v>
      </c>
      <c r="B4" s="115"/>
      <c r="C4" s="115"/>
      <c r="D4" s="115"/>
      <c r="E4" s="115"/>
      <c r="F4" s="115"/>
      <c r="G4" s="115"/>
      <c r="H4" s="115"/>
      <c r="I4" s="115"/>
    </row>
    <row r="5" spans="1:13" ht="15.75" customHeight="1">
      <c r="A5" s="114" t="s">
        <v>279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 customHeight="1">
      <c r="A6" s="2"/>
      <c r="B6" s="100"/>
      <c r="C6" s="100"/>
      <c r="D6" s="100"/>
      <c r="E6" s="100"/>
      <c r="F6" s="100"/>
      <c r="G6" s="100"/>
      <c r="H6" s="100"/>
      <c r="I6" s="30">
        <v>43100</v>
      </c>
      <c r="J6" s="2"/>
      <c r="K6" s="2"/>
      <c r="L6" s="2"/>
      <c r="M6" s="2"/>
    </row>
    <row r="7" spans="1:13" ht="15.75" customHeight="1">
      <c r="B7" s="102"/>
      <c r="C7" s="102"/>
      <c r="D7" s="10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7" t="s">
        <v>152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8" t="s">
        <v>209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19" t="s">
        <v>61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29">
        <v>1</v>
      </c>
      <c r="B16" s="69" t="s">
        <v>93</v>
      </c>
      <c r="C16" s="70" t="s">
        <v>115</v>
      </c>
      <c r="D16" s="69" t="s">
        <v>116</v>
      </c>
      <c r="E16" s="71">
        <v>176.24</v>
      </c>
      <c r="F16" s="72">
        <f>SUM(E16*156/100)</f>
        <v>274.93440000000004</v>
      </c>
      <c r="G16" s="72">
        <v>187.48</v>
      </c>
      <c r="H16" s="73">
        <f t="shared" ref="H16:H26" si="0">SUM(F16*G16/1000)</f>
        <v>51.544701312000008</v>
      </c>
      <c r="I16" s="13">
        <f>F16/12*G16</f>
        <v>4295.3917760000004</v>
      </c>
      <c r="J16" s="8"/>
      <c r="K16" s="8"/>
      <c r="L16" s="8"/>
      <c r="M16" s="8"/>
    </row>
    <row r="17" spans="1:13" ht="15.75" customHeight="1">
      <c r="A17" s="29">
        <v>2</v>
      </c>
      <c r="B17" s="69" t="s">
        <v>100</v>
      </c>
      <c r="C17" s="70" t="s">
        <v>115</v>
      </c>
      <c r="D17" s="69" t="s">
        <v>117</v>
      </c>
      <c r="E17" s="71">
        <v>704.96</v>
      </c>
      <c r="F17" s="72">
        <f>SUM(E17*104/100)</f>
        <v>733.15839999999992</v>
      </c>
      <c r="G17" s="72">
        <v>187.48</v>
      </c>
      <c r="H17" s="73">
        <v>137.453</v>
      </c>
      <c r="I17" s="13">
        <f>F17/12*G17</f>
        <v>11454.378069333332</v>
      </c>
      <c r="J17" s="22"/>
      <c r="K17" s="8"/>
      <c r="L17" s="8"/>
      <c r="M17" s="8"/>
    </row>
    <row r="18" spans="1:13" ht="15.75" customHeight="1">
      <c r="A18" s="29">
        <v>3</v>
      </c>
      <c r="B18" s="69" t="s">
        <v>101</v>
      </c>
      <c r="C18" s="70" t="s">
        <v>115</v>
      </c>
      <c r="D18" s="69" t="s">
        <v>118</v>
      </c>
      <c r="E18" s="71">
        <f>SUM(E16+E17)</f>
        <v>881.2</v>
      </c>
      <c r="F18" s="72">
        <f>SUM(E18*24/100)</f>
        <v>211.48800000000003</v>
      </c>
      <c r="G18" s="72">
        <v>539.30999999999995</v>
      </c>
      <c r="H18" s="73">
        <f t="shared" si="0"/>
        <v>114.05759328000001</v>
      </c>
      <c r="I18" s="13">
        <f>F18/12*G18</f>
        <v>9504.7994400000007</v>
      </c>
      <c r="J18" s="22"/>
      <c r="K18" s="8"/>
      <c r="L18" s="8"/>
      <c r="M18" s="8"/>
    </row>
    <row r="19" spans="1:13" ht="15.75" hidden="1" customHeight="1">
      <c r="A19" s="29">
        <v>4</v>
      </c>
      <c r="B19" s="69" t="s">
        <v>119</v>
      </c>
      <c r="C19" s="70" t="s">
        <v>120</v>
      </c>
      <c r="D19" s="69" t="s">
        <v>121</v>
      </c>
      <c r="E19" s="71">
        <v>28.8</v>
      </c>
      <c r="F19" s="72">
        <f>SUM(E19/10)</f>
        <v>2.88</v>
      </c>
      <c r="G19" s="72">
        <v>181.91</v>
      </c>
      <c r="H19" s="73">
        <f t="shared" si="0"/>
        <v>0.52390080000000006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69" t="s">
        <v>106</v>
      </c>
      <c r="C20" s="70" t="s">
        <v>115</v>
      </c>
      <c r="D20" s="69" t="s">
        <v>30</v>
      </c>
      <c r="E20" s="71">
        <v>17.5</v>
      </c>
      <c r="F20" s="72">
        <f>SUM(E20*12/100)</f>
        <v>2.1</v>
      </c>
      <c r="G20" s="72">
        <v>232.92</v>
      </c>
      <c r="H20" s="73">
        <f t="shared" si="0"/>
        <v>0.48913200000000001</v>
      </c>
      <c r="I20" s="13">
        <f>F20/12*G20</f>
        <v>40.761000000000003</v>
      </c>
      <c r="J20" s="22"/>
      <c r="K20" s="8"/>
      <c r="L20" s="8"/>
      <c r="M20" s="8"/>
    </row>
    <row r="21" spans="1:13" ht="15.75" hidden="1" customHeight="1">
      <c r="A21" s="29">
        <v>5</v>
      </c>
      <c r="B21" s="69" t="s">
        <v>107</v>
      </c>
      <c r="C21" s="70" t="s">
        <v>115</v>
      </c>
      <c r="D21" s="69" t="s">
        <v>114</v>
      </c>
      <c r="E21" s="71">
        <v>5.94</v>
      </c>
      <c r="F21" s="72">
        <f>SUM(E21*6/100)</f>
        <v>0.35639999999999999</v>
      </c>
      <c r="G21" s="72">
        <v>231.03</v>
      </c>
      <c r="H21" s="73">
        <f t="shared" si="0"/>
        <v>8.2339091999999989E-2</v>
      </c>
      <c r="I21" s="13">
        <f>F21/6*G21</f>
        <v>13.723182</v>
      </c>
      <c r="J21" s="22"/>
      <c r="K21" s="8"/>
      <c r="L21" s="8"/>
      <c r="M21" s="8"/>
    </row>
    <row r="22" spans="1:13" ht="15.75" hidden="1" customHeight="1">
      <c r="A22" s="29">
        <v>7</v>
      </c>
      <c r="B22" s="69" t="s">
        <v>122</v>
      </c>
      <c r="C22" s="70" t="s">
        <v>53</v>
      </c>
      <c r="D22" s="69" t="s">
        <v>121</v>
      </c>
      <c r="E22" s="71">
        <v>376</v>
      </c>
      <c r="F22" s="72">
        <f>SUM(E22/100)</f>
        <v>3.76</v>
      </c>
      <c r="G22" s="72">
        <v>287.83999999999997</v>
      </c>
      <c r="H22" s="73">
        <f t="shared" si="0"/>
        <v>1.0822783999999999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9" t="s">
        <v>123</v>
      </c>
      <c r="C23" s="70" t="s">
        <v>53</v>
      </c>
      <c r="D23" s="69" t="s">
        <v>121</v>
      </c>
      <c r="E23" s="74">
        <v>60.4</v>
      </c>
      <c r="F23" s="72">
        <f>SUM(E23/100)</f>
        <v>0.60399999999999998</v>
      </c>
      <c r="G23" s="72">
        <v>47.34</v>
      </c>
      <c r="H23" s="73">
        <f t="shared" si="0"/>
        <v>2.8593360000000002E-2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9" t="s">
        <v>110</v>
      </c>
      <c r="C24" s="70" t="s">
        <v>53</v>
      </c>
      <c r="D24" s="69" t="s">
        <v>54</v>
      </c>
      <c r="E24" s="18">
        <v>25</v>
      </c>
      <c r="F24" s="75">
        <f>E24/100</f>
        <v>0.25</v>
      </c>
      <c r="G24" s="72">
        <v>416.62</v>
      </c>
      <c r="H24" s="73">
        <f>F24*G24/1000</f>
        <v>0.104155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9" t="s">
        <v>124</v>
      </c>
      <c r="C25" s="70" t="s">
        <v>53</v>
      </c>
      <c r="D25" s="69" t="s">
        <v>121</v>
      </c>
      <c r="E25" s="74">
        <v>23.75</v>
      </c>
      <c r="F25" s="72">
        <f>E25/100</f>
        <v>0.23749999999999999</v>
      </c>
      <c r="G25" s="72">
        <v>231.03</v>
      </c>
      <c r="H25" s="73">
        <f>F25*G25/1000</f>
        <v>5.4869624999999998E-2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11</v>
      </c>
      <c r="B26" s="69" t="s">
        <v>111</v>
      </c>
      <c r="C26" s="70" t="s">
        <v>53</v>
      </c>
      <c r="D26" s="69" t="s">
        <v>121</v>
      </c>
      <c r="E26" s="71">
        <v>10.63</v>
      </c>
      <c r="F26" s="72">
        <f>SUM(E26/100)</f>
        <v>0.10630000000000001</v>
      </c>
      <c r="G26" s="72">
        <v>556.74</v>
      </c>
      <c r="H26" s="73">
        <f t="shared" si="0"/>
        <v>5.9181462000000004E-2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5</v>
      </c>
      <c r="B27" s="69" t="s">
        <v>66</v>
      </c>
      <c r="C27" s="70" t="s">
        <v>34</v>
      </c>
      <c r="D27" s="69" t="s">
        <v>248</v>
      </c>
      <c r="E27" s="71">
        <v>0.1</v>
      </c>
      <c r="F27" s="72">
        <f>SUM(E27*365)</f>
        <v>36.5</v>
      </c>
      <c r="G27" s="72">
        <v>157.18</v>
      </c>
      <c r="H27" s="73">
        <f>SUM(F27*G27/1000)</f>
        <v>5.737070000000001</v>
      </c>
      <c r="I27" s="13">
        <f>F27/12*G27</f>
        <v>478.08916666666664</v>
      </c>
      <c r="J27" s="23"/>
    </row>
    <row r="28" spans="1:13" ht="15.75" customHeight="1">
      <c r="A28" s="29">
        <v>6</v>
      </c>
      <c r="B28" s="77" t="s">
        <v>23</v>
      </c>
      <c r="C28" s="70" t="s">
        <v>24</v>
      </c>
      <c r="D28" s="69" t="s">
        <v>248</v>
      </c>
      <c r="E28" s="71">
        <v>5816.5</v>
      </c>
      <c r="F28" s="72">
        <f>SUM(E28*12)</f>
        <v>69798</v>
      </c>
      <c r="G28" s="72">
        <v>4.72</v>
      </c>
      <c r="H28" s="73">
        <f>SUM(F28*G28/1000)</f>
        <v>329.44655999999998</v>
      </c>
      <c r="I28" s="13">
        <f>F28/12*G28</f>
        <v>27453.879999999997</v>
      </c>
      <c r="J28" s="23"/>
    </row>
    <row r="29" spans="1:13" ht="15.75" customHeight="1">
      <c r="A29" s="121" t="s">
        <v>90</v>
      </c>
      <c r="B29" s="121"/>
      <c r="C29" s="121"/>
      <c r="D29" s="121"/>
      <c r="E29" s="121"/>
      <c r="F29" s="121"/>
      <c r="G29" s="121"/>
      <c r="H29" s="121"/>
      <c r="I29" s="121"/>
      <c r="J29" s="22"/>
      <c r="K29" s="8"/>
      <c r="L29" s="8"/>
      <c r="M29" s="8"/>
    </row>
    <row r="30" spans="1:13" ht="15.75" hidden="1" customHeight="1">
      <c r="A30" s="29"/>
      <c r="B30" s="90" t="s">
        <v>28</v>
      </c>
      <c r="C30" s="70"/>
      <c r="D30" s="69"/>
      <c r="E30" s="71"/>
      <c r="F30" s="72"/>
      <c r="G30" s="72"/>
      <c r="H30" s="73"/>
      <c r="I30" s="13"/>
      <c r="J30" s="22"/>
      <c r="K30" s="8"/>
      <c r="L30" s="8"/>
      <c r="M30" s="8"/>
    </row>
    <row r="31" spans="1:13" ht="15.75" hidden="1" customHeight="1">
      <c r="A31" s="29">
        <v>7</v>
      </c>
      <c r="B31" s="69" t="s">
        <v>125</v>
      </c>
      <c r="C31" s="70" t="s">
        <v>126</v>
      </c>
      <c r="D31" s="69" t="s">
        <v>127</v>
      </c>
      <c r="E31" s="72">
        <v>357.22</v>
      </c>
      <c r="F31" s="72">
        <f>SUM(E31*52/1000)</f>
        <v>18.575440000000004</v>
      </c>
      <c r="G31" s="72">
        <v>166.65</v>
      </c>
      <c r="H31" s="73">
        <f t="shared" ref="H31:H38" si="1">SUM(F31*G31/1000)</f>
        <v>3.0955970760000011</v>
      </c>
      <c r="I31" s="13">
        <f>F31/6*G31</f>
        <v>515.93284600000015</v>
      </c>
      <c r="J31" s="22"/>
      <c r="K31" s="8"/>
      <c r="L31" s="8"/>
      <c r="M31" s="8"/>
    </row>
    <row r="32" spans="1:13" ht="31.5" hidden="1" customHeight="1">
      <c r="A32" s="29">
        <v>8</v>
      </c>
      <c r="B32" s="69" t="s">
        <v>191</v>
      </c>
      <c r="C32" s="70" t="s">
        <v>126</v>
      </c>
      <c r="D32" s="69" t="s">
        <v>128</v>
      </c>
      <c r="E32" s="72">
        <v>475.06</v>
      </c>
      <c r="F32" s="72">
        <f>SUM(E32*78/1000)</f>
        <v>37.054679999999998</v>
      </c>
      <c r="G32" s="72">
        <v>276.48</v>
      </c>
      <c r="H32" s="73">
        <f t="shared" si="1"/>
        <v>10.244877926400001</v>
      </c>
      <c r="I32" s="13">
        <f t="shared" ref="I32:I35" si="2">F32/6*G32</f>
        <v>1707.4796544000001</v>
      </c>
      <c r="J32" s="22"/>
      <c r="K32" s="8"/>
      <c r="L32" s="8"/>
      <c r="M32" s="8"/>
    </row>
    <row r="33" spans="1:14" ht="15.75" hidden="1" customHeight="1">
      <c r="A33" s="29">
        <v>16</v>
      </c>
      <c r="B33" s="69" t="s">
        <v>27</v>
      </c>
      <c r="C33" s="70" t="s">
        <v>126</v>
      </c>
      <c r="D33" s="69" t="s">
        <v>54</v>
      </c>
      <c r="E33" s="72">
        <v>357.22</v>
      </c>
      <c r="F33" s="72">
        <f>SUM(E33/1000)</f>
        <v>0.35722000000000004</v>
      </c>
      <c r="G33" s="72">
        <v>3228.73</v>
      </c>
      <c r="H33" s="73">
        <f t="shared" si="1"/>
        <v>1.1533669306000001</v>
      </c>
      <c r="I33" s="13">
        <f>F33*G33</f>
        <v>1153.3669306000002</v>
      </c>
      <c r="J33" s="22"/>
      <c r="K33" s="8"/>
      <c r="L33" s="8"/>
      <c r="M33" s="8"/>
    </row>
    <row r="34" spans="1:14" ht="15.75" hidden="1" customHeight="1">
      <c r="A34" s="29">
        <v>9</v>
      </c>
      <c r="B34" s="69" t="s">
        <v>157</v>
      </c>
      <c r="C34" s="70" t="s">
        <v>40</v>
      </c>
      <c r="D34" s="69" t="s">
        <v>158</v>
      </c>
      <c r="E34" s="72">
        <v>5</v>
      </c>
      <c r="F34" s="72">
        <f>E34*155/100</f>
        <v>7.75</v>
      </c>
      <c r="G34" s="72">
        <v>1391.86</v>
      </c>
      <c r="H34" s="73">
        <f>G34*F34/1000</f>
        <v>10.786914999999999</v>
      </c>
      <c r="I34" s="13">
        <f t="shared" si="2"/>
        <v>1797.8191666666667</v>
      </c>
      <c r="J34" s="22"/>
      <c r="K34" s="8"/>
      <c r="L34" s="8"/>
      <c r="M34" s="8"/>
    </row>
    <row r="35" spans="1:14" ht="15.75" hidden="1" customHeight="1">
      <c r="A35" s="29">
        <v>10</v>
      </c>
      <c r="B35" s="69" t="s">
        <v>129</v>
      </c>
      <c r="C35" s="70" t="s">
        <v>31</v>
      </c>
      <c r="D35" s="69" t="s">
        <v>65</v>
      </c>
      <c r="E35" s="76">
        <v>0.33333333333333331</v>
      </c>
      <c r="F35" s="72">
        <f>155/3</f>
        <v>51.666666666666664</v>
      </c>
      <c r="G35" s="72">
        <v>60.6</v>
      </c>
      <c r="H35" s="73">
        <f>SUM(G35*155/3/1000)</f>
        <v>3.1309999999999998</v>
      </c>
      <c r="I35" s="13">
        <f t="shared" si="2"/>
        <v>521.83333333333337</v>
      </c>
      <c r="J35" s="22"/>
      <c r="K35" s="8"/>
    </row>
    <row r="36" spans="1:14" ht="15.75" hidden="1" customHeight="1">
      <c r="A36" s="29"/>
      <c r="B36" s="69" t="s">
        <v>67</v>
      </c>
      <c r="C36" s="70" t="s">
        <v>34</v>
      </c>
      <c r="D36" s="69" t="s">
        <v>69</v>
      </c>
      <c r="E36" s="71"/>
      <c r="F36" s="72">
        <v>3</v>
      </c>
      <c r="G36" s="72">
        <v>204.52</v>
      </c>
      <c r="H36" s="73">
        <f t="shared" si="1"/>
        <v>0.61356000000000011</v>
      </c>
      <c r="I36" s="13">
        <v>0</v>
      </c>
      <c r="J36" s="23"/>
    </row>
    <row r="37" spans="1:14" ht="15.75" hidden="1" customHeight="1">
      <c r="A37" s="29"/>
      <c r="B37" s="69" t="s">
        <v>68</v>
      </c>
      <c r="C37" s="70" t="s">
        <v>33</v>
      </c>
      <c r="D37" s="69" t="s">
        <v>69</v>
      </c>
      <c r="E37" s="71"/>
      <c r="F37" s="72">
        <v>2</v>
      </c>
      <c r="G37" s="72">
        <v>1214.74</v>
      </c>
      <c r="H37" s="73">
        <f t="shared" si="1"/>
        <v>2.4294799999999999</v>
      </c>
      <c r="I37" s="13">
        <v>0</v>
      </c>
      <c r="J37" s="23"/>
    </row>
    <row r="38" spans="1:14" ht="15.75" hidden="1" customHeight="1">
      <c r="A38" s="29"/>
      <c r="B38" s="46" t="s">
        <v>159</v>
      </c>
      <c r="C38" s="65" t="s">
        <v>29</v>
      </c>
      <c r="D38" s="69"/>
      <c r="E38" s="71">
        <v>360.36</v>
      </c>
      <c r="F38" s="72">
        <f>E38*36/1000</f>
        <v>12.97296</v>
      </c>
      <c r="G38" s="72">
        <v>3228.73</v>
      </c>
      <c r="H38" s="73">
        <f t="shared" si="1"/>
        <v>41.886185140800002</v>
      </c>
      <c r="I38" s="13">
        <v>0</v>
      </c>
      <c r="J38" s="23"/>
    </row>
    <row r="39" spans="1:14" ht="15.75" customHeight="1">
      <c r="A39" s="29"/>
      <c r="B39" s="90" t="s">
        <v>5</v>
      </c>
      <c r="C39" s="70"/>
      <c r="D39" s="69"/>
      <c r="E39" s="71"/>
      <c r="F39" s="72"/>
      <c r="G39" s="72"/>
      <c r="H39" s="73" t="s">
        <v>143</v>
      </c>
      <c r="I39" s="13"/>
      <c r="J39" s="23"/>
    </row>
    <row r="40" spans="1:14" ht="15.75" customHeight="1">
      <c r="A40" s="29">
        <v>7</v>
      </c>
      <c r="B40" s="69" t="s">
        <v>26</v>
      </c>
      <c r="C40" s="70" t="s">
        <v>33</v>
      </c>
      <c r="D40" s="69"/>
      <c r="E40" s="71"/>
      <c r="F40" s="72">
        <v>10</v>
      </c>
      <c r="G40" s="72">
        <v>1632.6</v>
      </c>
      <c r="H40" s="73">
        <f t="shared" ref="H40:H46" si="3">SUM(F40*G40/1000)</f>
        <v>16.326000000000001</v>
      </c>
      <c r="I40" s="13">
        <f>F40/6*G40</f>
        <v>2721</v>
      </c>
      <c r="J40" s="23"/>
      <c r="L40" s="19"/>
      <c r="M40" s="20"/>
      <c r="N40" s="21"/>
    </row>
    <row r="41" spans="1:14" ht="15.75" customHeight="1">
      <c r="A41" s="29">
        <v>8</v>
      </c>
      <c r="B41" s="69" t="s">
        <v>70</v>
      </c>
      <c r="C41" s="70" t="s">
        <v>29</v>
      </c>
      <c r="D41" s="69" t="s">
        <v>130</v>
      </c>
      <c r="E41" s="72">
        <v>469.73</v>
      </c>
      <c r="F41" s="72">
        <f>SUM(E41*30/1000)</f>
        <v>14.091900000000001</v>
      </c>
      <c r="G41" s="72">
        <v>2247.8000000000002</v>
      </c>
      <c r="H41" s="73">
        <f t="shared" si="3"/>
        <v>31.675772820000006</v>
      </c>
      <c r="I41" s="13">
        <f>F41/6*G41</f>
        <v>5279.2954700000009</v>
      </c>
      <c r="J41" s="23"/>
      <c r="L41" s="19"/>
      <c r="M41" s="20"/>
      <c r="N41" s="21"/>
    </row>
    <row r="42" spans="1:14" ht="15.75" hidden="1" customHeight="1">
      <c r="A42" s="29"/>
      <c r="B42" s="69" t="s">
        <v>102</v>
      </c>
      <c r="C42" s="70" t="s">
        <v>147</v>
      </c>
      <c r="D42" s="69" t="s">
        <v>69</v>
      </c>
      <c r="E42" s="71"/>
      <c r="F42" s="72">
        <v>120</v>
      </c>
      <c r="G42" s="72">
        <v>213.2</v>
      </c>
      <c r="H42" s="73">
        <f t="shared" si="3"/>
        <v>25.584</v>
      </c>
      <c r="I42" s="13">
        <v>0</v>
      </c>
      <c r="J42" s="23"/>
      <c r="L42" s="19"/>
      <c r="M42" s="20"/>
      <c r="N42" s="21"/>
    </row>
    <row r="43" spans="1:14" ht="15.75" customHeight="1">
      <c r="A43" s="29">
        <v>9</v>
      </c>
      <c r="B43" s="69" t="s">
        <v>71</v>
      </c>
      <c r="C43" s="70" t="s">
        <v>29</v>
      </c>
      <c r="D43" s="69" t="s">
        <v>131</v>
      </c>
      <c r="E43" s="72">
        <v>475.06</v>
      </c>
      <c r="F43" s="72">
        <f>SUM(E43*155/1000)</f>
        <v>73.634299999999996</v>
      </c>
      <c r="G43" s="72">
        <v>374.95</v>
      </c>
      <c r="H43" s="73">
        <f t="shared" si="3"/>
        <v>27.609180784999996</v>
      </c>
      <c r="I43" s="13">
        <f>F43/6*G43</f>
        <v>4601.5301308333328</v>
      </c>
      <c r="J43" s="23"/>
      <c r="L43" s="19"/>
      <c r="M43" s="20"/>
      <c r="N43" s="21"/>
    </row>
    <row r="44" spans="1:14" ht="47.25" customHeight="1">
      <c r="A44" s="29">
        <v>10</v>
      </c>
      <c r="B44" s="69" t="s">
        <v>87</v>
      </c>
      <c r="C44" s="70" t="s">
        <v>126</v>
      </c>
      <c r="D44" s="69" t="s">
        <v>148</v>
      </c>
      <c r="E44" s="72">
        <v>40.6</v>
      </c>
      <c r="F44" s="72">
        <f>SUM(E44*35/1000)</f>
        <v>1.421</v>
      </c>
      <c r="G44" s="72">
        <v>6203.7</v>
      </c>
      <c r="H44" s="73">
        <f t="shared" si="3"/>
        <v>8.8154577000000014</v>
      </c>
      <c r="I44" s="13">
        <f>F44/6*G44</f>
        <v>1469.2429500000001</v>
      </c>
      <c r="J44" s="23"/>
      <c r="L44" s="19"/>
      <c r="M44" s="20"/>
      <c r="N44" s="21"/>
    </row>
    <row r="45" spans="1:14" ht="15.75" hidden="1" customHeight="1">
      <c r="A45" s="29">
        <v>11</v>
      </c>
      <c r="B45" s="69" t="s">
        <v>132</v>
      </c>
      <c r="C45" s="70" t="s">
        <v>126</v>
      </c>
      <c r="D45" s="69" t="s">
        <v>72</v>
      </c>
      <c r="E45" s="72">
        <v>167.03</v>
      </c>
      <c r="F45" s="72">
        <f>SUM(E45*45/1000)</f>
        <v>7.5163500000000001</v>
      </c>
      <c r="G45" s="72">
        <v>458.28</v>
      </c>
      <c r="H45" s="73">
        <f t="shared" si="3"/>
        <v>3.4445928779999999</v>
      </c>
      <c r="I45" s="13">
        <f>F45/6*G45</f>
        <v>574.09881299999995</v>
      </c>
      <c r="J45" s="23"/>
      <c r="L45" s="19"/>
      <c r="M45" s="20"/>
      <c r="N45" s="21"/>
    </row>
    <row r="46" spans="1:14" ht="15.75" customHeight="1">
      <c r="A46" s="29">
        <v>11</v>
      </c>
      <c r="B46" s="69" t="s">
        <v>73</v>
      </c>
      <c r="C46" s="70" t="s">
        <v>34</v>
      </c>
      <c r="D46" s="69"/>
      <c r="E46" s="71"/>
      <c r="F46" s="72">
        <v>1.2</v>
      </c>
      <c r="G46" s="72">
        <v>853.06</v>
      </c>
      <c r="H46" s="73">
        <f t="shared" si="3"/>
        <v>1.0236719999999999</v>
      </c>
      <c r="I46" s="13">
        <f>F46/6*G46</f>
        <v>170.61199999999997</v>
      </c>
      <c r="J46" s="23"/>
      <c r="L46" s="19"/>
      <c r="M46" s="20"/>
      <c r="N46" s="21"/>
    </row>
    <row r="47" spans="1:14" ht="15.75" customHeight="1">
      <c r="A47" s="122" t="s">
        <v>153</v>
      </c>
      <c r="B47" s="123"/>
      <c r="C47" s="123"/>
      <c r="D47" s="123"/>
      <c r="E47" s="123"/>
      <c r="F47" s="123"/>
      <c r="G47" s="123"/>
      <c r="H47" s="123"/>
      <c r="I47" s="124"/>
      <c r="J47" s="23"/>
      <c r="L47" s="19"/>
      <c r="M47" s="20"/>
      <c r="N47" s="21"/>
    </row>
    <row r="48" spans="1:14" ht="15.75" hidden="1" customHeight="1">
      <c r="A48" s="29"/>
      <c r="B48" s="69" t="s">
        <v>133</v>
      </c>
      <c r="C48" s="70" t="s">
        <v>126</v>
      </c>
      <c r="D48" s="69" t="s">
        <v>42</v>
      </c>
      <c r="E48" s="71">
        <v>1603.6</v>
      </c>
      <c r="F48" s="72">
        <f>SUM(E48*2/1000)</f>
        <v>3.2071999999999998</v>
      </c>
      <c r="G48" s="13">
        <v>908.11</v>
      </c>
      <c r="H48" s="73">
        <f t="shared" ref="H48:H56" si="4">SUM(F48*G48/1000)</f>
        <v>2.9124903919999996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9" t="s">
        <v>35</v>
      </c>
      <c r="C49" s="70" t="s">
        <v>126</v>
      </c>
      <c r="D49" s="69" t="s">
        <v>42</v>
      </c>
      <c r="E49" s="71">
        <v>65</v>
      </c>
      <c r="F49" s="72">
        <f>SUM(E49*2/1000)</f>
        <v>0.13</v>
      </c>
      <c r="G49" s="13">
        <v>619.46</v>
      </c>
      <c r="H49" s="73">
        <f t="shared" si="4"/>
        <v>8.0529800000000012E-2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9" t="s">
        <v>36</v>
      </c>
      <c r="C50" s="70" t="s">
        <v>126</v>
      </c>
      <c r="D50" s="69" t="s">
        <v>42</v>
      </c>
      <c r="E50" s="71">
        <v>1825.8</v>
      </c>
      <c r="F50" s="72">
        <f>SUM(E50*2/1000)</f>
        <v>3.6515999999999997</v>
      </c>
      <c r="G50" s="13">
        <v>619.46</v>
      </c>
      <c r="H50" s="73">
        <f t="shared" si="4"/>
        <v>2.2620201360000003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69" t="s">
        <v>37</v>
      </c>
      <c r="C51" s="70" t="s">
        <v>126</v>
      </c>
      <c r="D51" s="69" t="s">
        <v>42</v>
      </c>
      <c r="E51" s="71">
        <v>3163.96</v>
      </c>
      <c r="F51" s="72">
        <f>SUM(E51*2/1000)</f>
        <v>6.3279199999999998</v>
      </c>
      <c r="G51" s="13">
        <v>648.64</v>
      </c>
      <c r="H51" s="73">
        <f t="shared" si="4"/>
        <v>4.1045420287999992</v>
      </c>
      <c r="I51" s="13">
        <v>0</v>
      </c>
      <c r="J51" s="23"/>
      <c r="L51" s="19"/>
      <c r="M51" s="20"/>
      <c r="N51" s="21"/>
    </row>
    <row r="52" spans="1:22" ht="15.75" customHeight="1">
      <c r="A52" s="29">
        <v>12</v>
      </c>
      <c r="B52" s="69" t="s">
        <v>58</v>
      </c>
      <c r="C52" s="70" t="s">
        <v>126</v>
      </c>
      <c r="D52" s="69" t="s">
        <v>192</v>
      </c>
      <c r="E52" s="71">
        <v>1583</v>
      </c>
      <c r="F52" s="72">
        <f>SUM(E52*5/1000)</f>
        <v>7.915</v>
      </c>
      <c r="G52" s="13">
        <v>1297.28</v>
      </c>
      <c r="H52" s="73">
        <f t="shared" si="4"/>
        <v>10.2679712</v>
      </c>
      <c r="I52" s="13">
        <f>F52/5*G52</f>
        <v>2053.5942399999999</v>
      </c>
      <c r="J52" s="23"/>
      <c r="L52" s="19"/>
      <c r="M52" s="20"/>
      <c r="N52" s="21"/>
    </row>
    <row r="53" spans="1:22" ht="31.5" hidden="1" customHeight="1">
      <c r="A53" s="29">
        <v>11</v>
      </c>
      <c r="B53" s="69" t="s">
        <v>134</v>
      </c>
      <c r="C53" s="70" t="s">
        <v>126</v>
      </c>
      <c r="D53" s="69" t="s">
        <v>42</v>
      </c>
      <c r="E53" s="71">
        <v>1583</v>
      </c>
      <c r="F53" s="72">
        <f>SUM(E53*2/1000)</f>
        <v>3.1659999999999999</v>
      </c>
      <c r="G53" s="13">
        <v>1297.28</v>
      </c>
      <c r="H53" s="73">
        <f t="shared" si="4"/>
        <v>4.1071884799999996</v>
      </c>
      <c r="I53" s="13">
        <f>F53/2*G53</f>
        <v>2053.5942399999999</v>
      </c>
      <c r="J53" s="23"/>
      <c r="L53" s="19"/>
      <c r="M53" s="20"/>
      <c r="N53" s="21"/>
    </row>
    <row r="54" spans="1:22" ht="31.5" hidden="1" customHeight="1">
      <c r="A54" s="29">
        <v>12</v>
      </c>
      <c r="B54" s="69" t="s">
        <v>135</v>
      </c>
      <c r="C54" s="70" t="s">
        <v>38</v>
      </c>
      <c r="D54" s="69" t="s">
        <v>42</v>
      </c>
      <c r="E54" s="71">
        <v>25</v>
      </c>
      <c r="F54" s="72">
        <f>SUM(E54*2/100)</f>
        <v>0.5</v>
      </c>
      <c r="G54" s="13">
        <v>2918.89</v>
      </c>
      <c r="H54" s="73">
        <f t="shared" si="4"/>
        <v>1.4594449999999999</v>
      </c>
      <c r="I54" s="13">
        <f t="shared" ref="I54:I55" si="5">F54/2*G54</f>
        <v>729.72249999999997</v>
      </c>
      <c r="J54" s="23"/>
      <c r="L54" s="19"/>
      <c r="M54" s="20"/>
      <c r="N54" s="21"/>
    </row>
    <row r="55" spans="1:22" ht="15.75" hidden="1" customHeight="1">
      <c r="A55" s="29">
        <v>13</v>
      </c>
      <c r="B55" s="69" t="s">
        <v>39</v>
      </c>
      <c r="C55" s="70" t="s">
        <v>40</v>
      </c>
      <c r="D55" s="69" t="s">
        <v>42</v>
      </c>
      <c r="E55" s="71">
        <v>1</v>
      </c>
      <c r="F55" s="72">
        <v>0.02</v>
      </c>
      <c r="G55" s="13">
        <v>6042.12</v>
      </c>
      <c r="H55" s="73">
        <f t="shared" si="4"/>
        <v>0.1208424</v>
      </c>
      <c r="I55" s="13">
        <f t="shared" si="5"/>
        <v>60.421199999999999</v>
      </c>
      <c r="J55" s="23"/>
      <c r="L55" s="19"/>
      <c r="M55" s="20"/>
      <c r="N55" s="21"/>
    </row>
    <row r="56" spans="1:22" ht="15.75" hidden="1" customHeight="1">
      <c r="A56" s="29">
        <v>14</v>
      </c>
      <c r="B56" s="69" t="s">
        <v>41</v>
      </c>
      <c r="C56" s="70" t="s">
        <v>31</v>
      </c>
      <c r="D56" s="69" t="s">
        <v>74</v>
      </c>
      <c r="E56" s="71">
        <v>36</v>
      </c>
      <c r="F56" s="72">
        <f>SUM(E56)*3</f>
        <v>108</v>
      </c>
      <c r="G56" s="13">
        <v>70.209999999999994</v>
      </c>
      <c r="H56" s="73">
        <f t="shared" si="4"/>
        <v>7.582679999999999</v>
      </c>
      <c r="I56" s="13">
        <f>E56*G56</f>
        <v>2527.56</v>
      </c>
      <c r="J56" s="23"/>
      <c r="L56" s="19"/>
      <c r="M56" s="20"/>
      <c r="N56" s="21"/>
    </row>
    <row r="57" spans="1:22" ht="15.75" customHeight="1">
      <c r="A57" s="122" t="s">
        <v>154</v>
      </c>
      <c r="B57" s="123"/>
      <c r="C57" s="123"/>
      <c r="D57" s="123"/>
      <c r="E57" s="123"/>
      <c r="F57" s="123"/>
      <c r="G57" s="123"/>
      <c r="H57" s="123"/>
      <c r="I57" s="124"/>
      <c r="J57" s="23"/>
      <c r="L57" s="19"/>
      <c r="M57" s="20"/>
      <c r="N57" s="21"/>
    </row>
    <row r="58" spans="1:22" ht="15.75" customHeight="1">
      <c r="A58" s="29"/>
      <c r="B58" s="90" t="s">
        <v>43</v>
      </c>
      <c r="C58" s="70"/>
      <c r="D58" s="69"/>
      <c r="E58" s="71"/>
      <c r="F58" s="72"/>
      <c r="G58" s="72"/>
      <c r="H58" s="73"/>
      <c r="I58" s="13"/>
      <c r="J58" s="23"/>
      <c r="L58" s="19"/>
      <c r="M58" s="20"/>
      <c r="N58" s="21"/>
    </row>
    <row r="59" spans="1:22" ht="31.5" customHeight="1">
      <c r="A59" s="29">
        <v>13</v>
      </c>
      <c r="B59" s="69" t="s">
        <v>149</v>
      </c>
      <c r="C59" s="70" t="s">
        <v>115</v>
      </c>
      <c r="D59" s="69" t="s">
        <v>75</v>
      </c>
      <c r="E59" s="78">
        <v>3.78</v>
      </c>
      <c r="F59" s="13">
        <f>E59*6/100</f>
        <v>0.2268</v>
      </c>
      <c r="G59" s="72">
        <v>1654.04</v>
      </c>
      <c r="H59" s="73">
        <f>SUM(F59*G59/1000)</f>
        <v>0.37513627199999999</v>
      </c>
      <c r="I59" s="13">
        <f>F59/6*G59</f>
        <v>62.522711999999999</v>
      </c>
      <c r="J59" s="23"/>
      <c r="L59" s="19"/>
      <c r="M59" s="20"/>
      <c r="N59" s="21"/>
    </row>
    <row r="60" spans="1:22" ht="31.5" customHeight="1">
      <c r="A60" s="29">
        <v>14</v>
      </c>
      <c r="B60" s="69" t="s">
        <v>137</v>
      </c>
      <c r="C60" s="70" t="s">
        <v>115</v>
      </c>
      <c r="D60" s="69" t="s">
        <v>75</v>
      </c>
      <c r="E60" s="71">
        <v>185.36</v>
      </c>
      <c r="F60" s="72">
        <f>E60*6/100</f>
        <v>11.121600000000001</v>
      </c>
      <c r="G60" s="79">
        <v>1654.04</v>
      </c>
      <c r="H60" s="73">
        <f>F60*G60/1000</f>
        <v>18.395571264000001</v>
      </c>
      <c r="I60" s="13">
        <f>F60/6*G60</f>
        <v>3065.9285440000003</v>
      </c>
      <c r="J60" s="23"/>
      <c r="L60" s="19"/>
    </row>
    <row r="61" spans="1:22" ht="15.75" hidden="1" customHeight="1">
      <c r="A61" s="29"/>
      <c r="B61" s="80" t="s">
        <v>108</v>
      </c>
      <c r="C61" s="70" t="s">
        <v>109</v>
      </c>
      <c r="D61" s="80" t="s">
        <v>42</v>
      </c>
      <c r="E61" s="81">
        <v>5</v>
      </c>
      <c r="F61" s="82">
        <v>10</v>
      </c>
      <c r="G61" s="79">
        <v>198.25</v>
      </c>
      <c r="H61" s="83">
        <v>0.99099999999999999</v>
      </c>
      <c r="I61" s="13">
        <v>0</v>
      </c>
      <c r="J61" s="23"/>
      <c r="L61" s="19"/>
    </row>
    <row r="62" spans="1:22" ht="15.75" customHeight="1">
      <c r="A62" s="29"/>
      <c r="B62" s="91" t="s">
        <v>44</v>
      </c>
      <c r="C62" s="84"/>
      <c r="D62" s="80"/>
      <c r="E62" s="81"/>
      <c r="F62" s="82"/>
      <c r="G62" s="85"/>
      <c r="H62" s="83"/>
      <c r="I62" s="13"/>
    </row>
    <row r="63" spans="1:22" ht="15.75" hidden="1" customHeight="1">
      <c r="A63" s="29"/>
      <c r="B63" s="80" t="s">
        <v>45</v>
      </c>
      <c r="C63" s="84" t="s">
        <v>53</v>
      </c>
      <c r="D63" s="80" t="s">
        <v>54</v>
      </c>
      <c r="E63" s="81">
        <v>1752</v>
      </c>
      <c r="F63" s="82">
        <f>E63/100</f>
        <v>17.52</v>
      </c>
      <c r="G63" s="72">
        <v>848.37</v>
      </c>
      <c r="H63" s="83">
        <f>G63*F63/1000</f>
        <v>14.8634424</v>
      </c>
      <c r="I63" s="13">
        <v>0</v>
      </c>
    </row>
    <row r="64" spans="1:22" ht="15.75" customHeight="1">
      <c r="A64" s="29">
        <v>15</v>
      </c>
      <c r="B64" s="80" t="s">
        <v>103</v>
      </c>
      <c r="C64" s="84" t="s">
        <v>25</v>
      </c>
      <c r="D64" s="80" t="s">
        <v>160</v>
      </c>
      <c r="E64" s="81">
        <v>352</v>
      </c>
      <c r="F64" s="82">
        <f>E64*12</f>
        <v>4224</v>
      </c>
      <c r="G64" s="72">
        <v>2.6</v>
      </c>
      <c r="H64" s="83">
        <f>G64*F64/1000</f>
        <v>10.9824</v>
      </c>
      <c r="I64" s="13">
        <f>F64/12*G64</f>
        <v>915.2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29"/>
      <c r="B65" s="91" t="s">
        <v>46</v>
      </c>
      <c r="C65" s="84"/>
      <c r="D65" s="80"/>
      <c r="E65" s="81"/>
      <c r="F65" s="82"/>
      <c r="G65" s="92"/>
      <c r="H65" s="83" t="s">
        <v>143</v>
      </c>
      <c r="I65" s="13"/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29">
        <v>16</v>
      </c>
      <c r="B66" s="14" t="s">
        <v>47</v>
      </c>
      <c r="C66" s="16" t="s">
        <v>136</v>
      </c>
      <c r="D66" s="14" t="s">
        <v>69</v>
      </c>
      <c r="E66" s="18">
        <v>10</v>
      </c>
      <c r="F66" s="72">
        <v>10</v>
      </c>
      <c r="G66" s="13">
        <v>237.74</v>
      </c>
      <c r="H66" s="66">
        <f t="shared" ref="H66:H80" si="6">SUM(F66*G66/1000)</f>
        <v>2.3774000000000002</v>
      </c>
      <c r="I66" s="13">
        <f>G66*5</f>
        <v>1188.7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48</v>
      </c>
      <c r="C67" s="16" t="s">
        <v>136</v>
      </c>
      <c r="D67" s="14" t="s">
        <v>69</v>
      </c>
      <c r="E67" s="18">
        <v>5</v>
      </c>
      <c r="F67" s="72">
        <v>5</v>
      </c>
      <c r="G67" s="13">
        <v>81.510000000000005</v>
      </c>
      <c r="H67" s="66">
        <f t="shared" si="6"/>
        <v>0.40755000000000002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10"/>
      <c r="S67" s="110"/>
      <c r="T67" s="110"/>
      <c r="U67" s="110"/>
    </row>
    <row r="68" spans="1:21" ht="15.75" hidden="1" customHeight="1">
      <c r="A68" s="29"/>
      <c r="B68" s="14" t="s">
        <v>49</v>
      </c>
      <c r="C68" s="16" t="s">
        <v>138</v>
      </c>
      <c r="D68" s="14" t="s">
        <v>54</v>
      </c>
      <c r="E68" s="71">
        <v>23808</v>
      </c>
      <c r="F68" s="13">
        <f>SUM(E68/100)</f>
        <v>238.08</v>
      </c>
      <c r="G68" s="13">
        <v>226.79</v>
      </c>
      <c r="H68" s="66">
        <f t="shared" si="6"/>
        <v>53.994163200000003</v>
      </c>
      <c r="I68" s="13">
        <f>F68*G68</f>
        <v>53994.163200000003</v>
      </c>
    </row>
    <row r="69" spans="1:21" ht="15.75" hidden="1" customHeight="1">
      <c r="A69" s="29"/>
      <c r="B69" s="14" t="s">
        <v>50</v>
      </c>
      <c r="C69" s="16" t="s">
        <v>139</v>
      </c>
      <c r="D69" s="14"/>
      <c r="E69" s="71">
        <v>23808</v>
      </c>
      <c r="F69" s="13">
        <f>SUM(E69/1000)</f>
        <v>23.808</v>
      </c>
      <c r="G69" s="13">
        <v>176.61</v>
      </c>
      <c r="H69" s="66">
        <f t="shared" si="6"/>
        <v>4.2047308800000005</v>
      </c>
      <c r="I69" s="13">
        <f t="shared" ref="I69:I73" si="7">F69*G69</f>
        <v>4204.7308800000001</v>
      </c>
    </row>
    <row r="70" spans="1:21" ht="15.75" hidden="1" customHeight="1">
      <c r="A70" s="29"/>
      <c r="B70" s="14" t="s">
        <v>51</v>
      </c>
      <c r="C70" s="16" t="s">
        <v>80</v>
      </c>
      <c r="D70" s="14" t="s">
        <v>54</v>
      </c>
      <c r="E70" s="71">
        <v>3810</v>
      </c>
      <c r="F70" s="13">
        <f>SUM(E70/100)</f>
        <v>38.1</v>
      </c>
      <c r="G70" s="13">
        <v>2217.7800000000002</v>
      </c>
      <c r="H70" s="66">
        <f t="shared" si="6"/>
        <v>84.49741800000001</v>
      </c>
      <c r="I70" s="13">
        <f t="shared" si="7"/>
        <v>84497.418000000005</v>
      </c>
    </row>
    <row r="71" spans="1:21" ht="15.75" hidden="1" customHeight="1">
      <c r="A71" s="29"/>
      <c r="B71" s="86" t="s">
        <v>140</v>
      </c>
      <c r="C71" s="16" t="s">
        <v>34</v>
      </c>
      <c r="D71" s="14"/>
      <c r="E71" s="71">
        <v>23.4</v>
      </c>
      <c r="F71" s="13">
        <f>SUM(E71)</f>
        <v>23.4</v>
      </c>
      <c r="G71" s="13">
        <v>42.67</v>
      </c>
      <c r="H71" s="66">
        <f t="shared" si="6"/>
        <v>0.99847799999999998</v>
      </c>
      <c r="I71" s="13">
        <f t="shared" si="7"/>
        <v>998.47799999999995</v>
      </c>
    </row>
    <row r="72" spans="1:21" ht="15.75" hidden="1" customHeight="1">
      <c r="A72" s="29"/>
      <c r="B72" s="86" t="s">
        <v>150</v>
      </c>
      <c r="C72" s="16" t="s">
        <v>34</v>
      </c>
      <c r="D72" s="14"/>
      <c r="E72" s="71">
        <v>23.4</v>
      </c>
      <c r="F72" s="13">
        <f>SUM(E72)</f>
        <v>23.4</v>
      </c>
      <c r="G72" s="13">
        <v>39.81</v>
      </c>
      <c r="H72" s="66">
        <f t="shared" si="6"/>
        <v>0.93155399999999999</v>
      </c>
      <c r="I72" s="13">
        <f t="shared" si="7"/>
        <v>931.55399999999997</v>
      </c>
    </row>
    <row r="73" spans="1:21" ht="15.75" hidden="1" customHeight="1">
      <c r="A73" s="29"/>
      <c r="B73" s="14" t="s">
        <v>59</v>
      </c>
      <c r="C73" s="16" t="s">
        <v>60</v>
      </c>
      <c r="D73" s="14" t="s">
        <v>54</v>
      </c>
      <c r="E73" s="18">
        <v>5</v>
      </c>
      <c r="F73" s="72">
        <f>SUM(E73)</f>
        <v>5</v>
      </c>
      <c r="G73" s="13">
        <v>53.32</v>
      </c>
      <c r="H73" s="66">
        <f t="shared" si="6"/>
        <v>0.2666</v>
      </c>
      <c r="I73" s="13">
        <f t="shared" si="7"/>
        <v>266.60000000000002</v>
      </c>
    </row>
    <row r="74" spans="1:21" ht="15.75" customHeight="1">
      <c r="A74" s="29">
        <v>17</v>
      </c>
      <c r="B74" s="14" t="s">
        <v>151</v>
      </c>
      <c r="C74" s="16" t="s">
        <v>60</v>
      </c>
      <c r="D74" s="14" t="s">
        <v>30</v>
      </c>
      <c r="E74" s="18">
        <v>1</v>
      </c>
      <c r="F74" s="59">
        <v>12</v>
      </c>
      <c r="G74" s="13">
        <v>711</v>
      </c>
      <c r="H74" s="66">
        <v>8.5310000000000006</v>
      </c>
      <c r="I74" s="13">
        <f>F74/12*G74</f>
        <v>711</v>
      </c>
    </row>
    <row r="75" spans="1:21" ht="15.75" hidden="1" customHeight="1">
      <c r="A75" s="29"/>
      <c r="B75" s="101" t="s">
        <v>76</v>
      </c>
      <c r="C75" s="16"/>
      <c r="D75" s="14"/>
      <c r="E75" s="18"/>
      <c r="F75" s="13"/>
      <c r="G75" s="13"/>
      <c r="H75" s="66" t="s">
        <v>143</v>
      </c>
      <c r="I75" s="13"/>
    </row>
    <row r="76" spans="1:21" ht="15.75" hidden="1" customHeight="1">
      <c r="A76" s="29"/>
      <c r="B76" s="14" t="s">
        <v>77</v>
      </c>
      <c r="C76" s="16" t="s">
        <v>32</v>
      </c>
      <c r="D76" s="14" t="s">
        <v>69</v>
      </c>
      <c r="E76" s="18">
        <v>2</v>
      </c>
      <c r="F76" s="59">
        <v>0.2</v>
      </c>
      <c r="G76" s="13">
        <v>536.23</v>
      </c>
      <c r="H76" s="66">
        <v>0.107</v>
      </c>
      <c r="I76" s="13">
        <v>0</v>
      </c>
    </row>
    <row r="77" spans="1:21" ht="15.75" hidden="1" customHeight="1">
      <c r="A77" s="29"/>
      <c r="B77" s="14" t="s">
        <v>94</v>
      </c>
      <c r="C77" s="16" t="s">
        <v>31</v>
      </c>
      <c r="D77" s="14"/>
      <c r="E77" s="18">
        <v>1</v>
      </c>
      <c r="F77" s="72">
        <f>SUM(E77)</f>
        <v>1</v>
      </c>
      <c r="G77" s="13">
        <v>383.25</v>
      </c>
      <c r="H77" s="66">
        <f t="shared" si="6"/>
        <v>0.38324999999999998</v>
      </c>
      <c r="I77" s="13">
        <v>0</v>
      </c>
    </row>
    <row r="78" spans="1:21" ht="15.75" hidden="1" customHeight="1">
      <c r="A78" s="29"/>
      <c r="B78" s="14" t="s">
        <v>78</v>
      </c>
      <c r="C78" s="16" t="s">
        <v>31</v>
      </c>
      <c r="D78" s="14"/>
      <c r="E78" s="18">
        <v>1</v>
      </c>
      <c r="F78" s="13">
        <v>1</v>
      </c>
      <c r="G78" s="13">
        <v>911.85</v>
      </c>
      <c r="H78" s="66">
        <f>F78*G78/1000</f>
        <v>0.91185000000000005</v>
      </c>
      <c r="I78" s="13">
        <v>0</v>
      </c>
    </row>
    <row r="79" spans="1:21" ht="15.75" hidden="1" customHeight="1">
      <c r="A79" s="29"/>
      <c r="B79" s="87" t="s">
        <v>79</v>
      </c>
      <c r="C79" s="16"/>
      <c r="D79" s="14"/>
      <c r="E79" s="18"/>
      <c r="F79" s="13"/>
      <c r="G79" s="13" t="s">
        <v>143</v>
      </c>
      <c r="H79" s="66" t="s">
        <v>143</v>
      </c>
      <c r="I79" s="13"/>
    </row>
    <row r="80" spans="1:21" ht="15.75" hidden="1" customHeight="1">
      <c r="A80" s="29"/>
      <c r="B80" s="42" t="s">
        <v>144</v>
      </c>
      <c r="C80" s="16" t="s">
        <v>80</v>
      </c>
      <c r="D80" s="14"/>
      <c r="E80" s="18"/>
      <c r="F80" s="13">
        <v>0.6</v>
      </c>
      <c r="G80" s="13">
        <v>2949.85</v>
      </c>
      <c r="H80" s="66">
        <f t="shared" si="6"/>
        <v>1.7699099999999999</v>
      </c>
      <c r="I80" s="13">
        <v>0</v>
      </c>
      <c r="J80" s="5"/>
      <c r="K80" s="5"/>
      <c r="L80" s="5"/>
      <c r="M80" s="5"/>
      <c r="N80" s="5"/>
      <c r="O80" s="5"/>
      <c r="P80" s="5"/>
      <c r="Q80" s="5"/>
      <c r="R80" s="99"/>
      <c r="S80" s="99"/>
      <c r="T80" s="99"/>
      <c r="U80" s="99"/>
    </row>
    <row r="81" spans="1:21" ht="15.75" customHeight="1">
      <c r="A81" s="103"/>
      <c r="B81" s="101" t="s">
        <v>141</v>
      </c>
      <c r="C81" s="101"/>
      <c r="D81" s="101"/>
      <c r="E81" s="101"/>
      <c r="F81" s="101"/>
      <c r="G81" s="101"/>
      <c r="H81" s="101"/>
      <c r="I81" s="18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customHeight="1">
      <c r="A82" s="29">
        <v>18</v>
      </c>
      <c r="B82" s="69" t="s">
        <v>142</v>
      </c>
      <c r="C82" s="16"/>
      <c r="D82" s="14"/>
      <c r="E82" s="60"/>
      <c r="F82" s="13">
        <v>1</v>
      </c>
      <c r="G82" s="13">
        <v>22789.8</v>
      </c>
      <c r="H82" s="66">
        <f>G82*F82/1000</f>
        <v>22.7898</v>
      </c>
      <c r="I82" s="13">
        <f>G82</f>
        <v>22789.8</v>
      </c>
      <c r="J82" s="5"/>
      <c r="K82" s="5"/>
      <c r="L82" s="5"/>
      <c r="M82" s="5"/>
      <c r="N82" s="5"/>
      <c r="O82" s="5"/>
      <c r="P82" s="5"/>
      <c r="Q82" s="5"/>
      <c r="R82" s="99"/>
      <c r="S82" s="99"/>
      <c r="T82" s="99"/>
      <c r="U82" s="99"/>
    </row>
    <row r="83" spans="1:21" ht="15.75" customHeight="1">
      <c r="A83" s="111" t="s">
        <v>155</v>
      </c>
      <c r="B83" s="112"/>
      <c r="C83" s="112"/>
      <c r="D83" s="112"/>
      <c r="E83" s="112"/>
      <c r="F83" s="112"/>
      <c r="G83" s="112"/>
      <c r="H83" s="112"/>
      <c r="I83" s="113"/>
    </row>
    <row r="84" spans="1:21" ht="15.75" customHeight="1">
      <c r="A84" s="29">
        <v>19</v>
      </c>
      <c r="B84" s="69" t="s">
        <v>145</v>
      </c>
      <c r="C84" s="16" t="s">
        <v>56</v>
      </c>
      <c r="D84" s="88" t="s">
        <v>57</v>
      </c>
      <c r="E84" s="13">
        <v>5816.5</v>
      </c>
      <c r="F84" s="13">
        <f>SUM(E84*12)</f>
        <v>69798</v>
      </c>
      <c r="G84" s="13">
        <v>2.54</v>
      </c>
      <c r="H84" s="66">
        <f>SUM(F84*G84/1000)</f>
        <v>177.28692000000001</v>
      </c>
      <c r="I84" s="13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99"/>
      <c r="S84" s="99"/>
      <c r="T84" s="99"/>
      <c r="U84" s="99"/>
    </row>
    <row r="85" spans="1:21" ht="31.5" customHeight="1">
      <c r="A85" s="29">
        <v>20</v>
      </c>
      <c r="B85" s="14" t="s">
        <v>81</v>
      </c>
      <c r="C85" s="16"/>
      <c r="D85" s="88" t="s">
        <v>57</v>
      </c>
      <c r="E85" s="71">
        <f>E84</f>
        <v>5816.5</v>
      </c>
      <c r="F85" s="13">
        <f>E85*12</f>
        <v>69798</v>
      </c>
      <c r="G85" s="13">
        <v>2.0499999999999998</v>
      </c>
      <c r="H85" s="66">
        <f>F85*G85/1000</f>
        <v>143.08589999999998</v>
      </c>
      <c r="I85" s="13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99"/>
      <c r="S85" s="99"/>
      <c r="T85" s="99"/>
      <c r="U85" s="99"/>
    </row>
    <row r="86" spans="1:21" ht="15.75" customHeight="1">
      <c r="A86" s="103"/>
      <c r="B86" s="34" t="s">
        <v>84</v>
      </c>
      <c r="C86" s="35"/>
      <c r="D86" s="15"/>
      <c r="E86" s="15"/>
      <c r="F86" s="15"/>
      <c r="G86" s="18"/>
      <c r="H86" s="18"/>
      <c r="I86" s="31">
        <f>I16+I17+I18+I20+I27+I28+I40+I41+I43+I44+I46+I52+I59+I60+I64+I66+I74+I82+I84+I85</f>
        <v>124953.46049883332</v>
      </c>
    </row>
    <row r="87" spans="1:21" ht="15.75" customHeight="1">
      <c r="A87" s="125" t="s">
        <v>62</v>
      </c>
      <c r="B87" s="126"/>
      <c r="C87" s="126"/>
      <c r="D87" s="126"/>
      <c r="E87" s="126"/>
      <c r="F87" s="126"/>
      <c r="G87" s="126"/>
      <c r="H87" s="126"/>
      <c r="I87" s="127"/>
    </row>
    <row r="88" spans="1:21" ht="15.75" customHeight="1">
      <c r="A88" s="29">
        <v>21</v>
      </c>
      <c r="B88" s="67" t="s">
        <v>212</v>
      </c>
      <c r="C88" s="68" t="s">
        <v>98</v>
      </c>
      <c r="D88" s="42"/>
      <c r="E88" s="13"/>
      <c r="F88" s="13">
        <f>122/3</f>
        <v>40.666666666666664</v>
      </c>
      <c r="G88" s="13">
        <v>1120.8900000000001</v>
      </c>
      <c r="H88" s="66">
        <f>G88*F88/1000</f>
        <v>45.582860000000004</v>
      </c>
      <c r="I88" s="13">
        <f>G88*(20/3)</f>
        <v>7472.6000000000013</v>
      </c>
    </row>
    <row r="89" spans="1:21" ht="15.75" customHeight="1">
      <c r="A89" s="29">
        <v>22</v>
      </c>
      <c r="B89" s="46" t="s">
        <v>162</v>
      </c>
      <c r="C89" s="65" t="s">
        <v>88</v>
      </c>
      <c r="D89" s="42"/>
      <c r="E89" s="33"/>
      <c r="F89" s="33">
        <v>16</v>
      </c>
      <c r="G89" s="33">
        <v>195.85</v>
      </c>
      <c r="H89" s="97">
        <f>G89*F89/1000</f>
        <v>3.1335999999999999</v>
      </c>
      <c r="I89" s="13">
        <f>G89*2</f>
        <v>391.7</v>
      </c>
      <c r="J89" s="5"/>
      <c r="K89" s="5"/>
      <c r="L89" s="5"/>
      <c r="M89" s="5"/>
      <c r="N89" s="5"/>
      <c r="O89" s="5"/>
      <c r="P89" s="5"/>
      <c r="Q89" s="5"/>
      <c r="R89" s="99"/>
      <c r="S89" s="99"/>
      <c r="T89" s="99"/>
      <c r="U89" s="99"/>
    </row>
    <row r="90" spans="1:21" ht="31.5" customHeight="1">
      <c r="A90" s="29">
        <v>23</v>
      </c>
      <c r="B90" s="46" t="s">
        <v>95</v>
      </c>
      <c r="C90" s="65" t="s">
        <v>99</v>
      </c>
      <c r="D90" s="42"/>
      <c r="E90" s="33"/>
      <c r="F90" s="33">
        <v>5</v>
      </c>
      <c r="G90" s="33">
        <v>589.84</v>
      </c>
      <c r="H90" s="97">
        <f>G90*F90/1000</f>
        <v>2.9492000000000003</v>
      </c>
      <c r="I90" s="13">
        <f>G90</f>
        <v>589.84</v>
      </c>
      <c r="J90" s="5"/>
      <c r="K90" s="5"/>
      <c r="L90" s="5"/>
      <c r="M90" s="5"/>
      <c r="N90" s="5"/>
      <c r="O90" s="5"/>
      <c r="P90" s="5"/>
      <c r="Q90" s="5"/>
      <c r="R90" s="99"/>
      <c r="S90" s="99"/>
      <c r="T90" s="99"/>
      <c r="U90" s="99"/>
    </row>
    <row r="91" spans="1:21" ht="31.5" customHeight="1">
      <c r="A91" s="29">
        <v>24</v>
      </c>
      <c r="B91" s="46" t="s">
        <v>83</v>
      </c>
      <c r="C91" s="65" t="s">
        <v>136</v>
      </c>
      <c r="D91" s="42"/>
      <c r="E91" s="33"/>
      <c r="F91" s="33">
        <v>7</v>
      </c>
      <c r="G91" s="33">
        <v>83.36</v>
      </c>
      <c r="H91" s="97">
        <f>G91*F91/1000</f>
        <v>0.58351999999999993</v>
      </c>
      <c r="I91" s="13">
        <f>G91</f>
        <v>83.36</v>
      </c>
      <c r="J91" s="5"/>
      <c r="K91" s="5"/>
      <c r="L91" s="5"/>
      <c r="M91" s="5"/>
      <c r="N91" s="5"/>
      <c r="O91" s="5"/>
      <c r="P91" s="5"/>
      <c r="Q91" s="5"/>
      <c r="R91" s="99"/>
      <c r="S91" s="99"/>
      <c r="T91" s="99"/>
      <c r="U91" s="99"/>
    </row>
    <row r="92" spans="1:21" ht="31.5" customHeight="1">
      <c r="A92" s="29">
        <v>25</v>
      </c>
      <c r="B92" s="46" t="s">
        <v>235</v>
      </c>
      <c r="C92" s="65" t="s">
        <v>85</v>
      </c>
      <c r="D92" s="42"/>
      <c r="E92" s="33"/>
      <c r="F92" s="33">
        <v>22.5</v>
      </c>
      <c r="G92" s="33">
        <v>1272</v>
      </c>
      <c r="H92" s="97">
        <f t="shared" ref="H92" si="8">G92*F92/1000</f>
        <v>28.62</v>
      </c>
      <c r="I92" s="13">
        <f>G92*20</f>
        <v>25440</v>
      </c>
      <c r="J92" s="5"/>
      <c r="K92" s="5"/>
      <c r="L92" s="5"/>
      <c r="M92" s="5"/>
      <c r="N92" s="5"/>
      <c r="O92" s="5"/>
      <c r="P92" s="5"/>
      <c r="Q92" s="5"/>
      <c r="R92" s="99"/>
      <c r="S92" s="99"/>
      <c r="T92" s="99"/>
      <c r="U92" s="99"/>
    </row>
    <row r="93" spans="1:21" ht="31.5" customHeight="1">
      <c r="A93" s="29">
        <v>26</v>
      </c>
      <c r="B93" s="46" t="s">
        <v>167</v>
      </c>
      <c r="C93" s="65" t="s">
        <v>38</v>
      </c>
      <c r="D93" s="98"/>
      <c r="E93" s="33"/>
      <c r="F93" s="33">
        <v>0.12</v>
      </c>
      <c r="G93" s="33">
        <v>3581.13</v>
      </c>
      <c r="H93" s="97">
        <f>G93*F93/1000</f>
        <v>0.4297356</v>
      </c>
      <c r="I93" s="13">
        <f>G93*0.01</f>
        <v>35.811300000000003</v>
      </c>
      <c r="J93" s="5"/>
      <c r="K93" s="5"/>
      <c r="L93" s="5"/>
      <c r="M93" s="5"/>
      <c r="N93" s="5"/>
      <c r="O93" s="5"/>
      <c r="P93" s="5"/>
      <c r="Q93" s="5"/>
      <c r="R93" s="99"/>
      <c r="S93" s="99"/>
      <c r="T93" s="99"/>
      <c r="U93" s="99"/>
    </row>
    <row r="94" spans="1:21" ht="31.5" customHeight="1">
      <c r="A94" s="29">
        <v>27</v>
      </c>
      <c r="B94" s="46" t="s">
        <v>181</v>
      </c>
      <c r="C94" s="65" t="s">
        <v>85</v>
      </c>
      <c r="D94" s="42"/>
      <c r="E94" s="33"/>
      <c r="F94" s="33">
        <v>9</v>
      </c>
      <c r="G94" s="33">
        <v>1187</v>
      </c>
      <c r="H94" s="97">
        <f>G94*F94/1000</f>
        <v>10.683</v>
      </c>
      <c r="I94" s="13">
        <f>G94*3</f>
        <v>3561</v>
      </c>
      <c r="J94" s="5"/>
      <c r="K94" s="5"/>
      <c r="L94" s="5"/>
      <c r="M94" s="5"/>
      <c r="N94" s="5"/>
      <c r="O94" s="5"/>
      <c r="P94" s="5"/>
      <c r="Q94" s="5"/>
      <c r="R94" s="99"/>
      <c r="S94" s="99"/>
      <c r="T94" s="99"/>
      <c r="U94" s="99"/>
    </row>
    <row r="95" spans="1:21" ht="15.75" customHeight="1">
      <c r="A95" s="29"/>
      <c r="B95" s="40" t="s">
        <v>52</v>
      </c>
      <c r="C95" s="36"/>
      <c r="D95" s="44"/>
      <c r="E95" s="36">
        <v>1</v>
      </c>
      <c r="F95" s="36"/>
      <c r="G95" s="36"/>
      <c r="H95" s="36"/>
      <c r="I95" s="31">
        <f>SUM(I88:I94)</f>
        <v>37574.311300000001</v>
      </c>
    </row>
    <row r="96" spans="1:21" ht="15.75" customHeight="1">
      <c r="A96" s="29"/>
      <c r="B96" s="42" t="s">
        <v>82</v>
      </c>
      <c r="C96" s="15"/>
      <c r="D96" s="15"/>
      <c r="E96" s="37"/>
      <c r="F96" s="37"/>
      <c r="G96" s="38"/>
      <c r="H96" s="38"/>
      <c r="I96" s="17">
        <v>0</v>
      </c>
    </row>
    <row r="97" spans="1:9" ht="15.75" customHeight="1">
      <c r="A97" s="45"/>
      <c r="B97" s="41" t="s">
        <v>210</v>
      </c>
      <c r="C97" s="32"/>
      <c r="D97" s="32"/>
      <c r="E97" s="32"/>
      <c r="F97" s="32"/>
      <c r="G97" s="32"/>
      <c r="H97" s="32"/>
      <c r="I97" s="39">
        <f>I86+I95</f>
        <v>162527.77179883333</v>
      </c>
    </row>
    <row r="98" spans="1:9" ht="15.75" customHeight="1">
      <c r="A98" s="128" t="s">
        <v>290</v>
      </c>
      <c r="B98" s="128"/>
      <c r="C98" s="128"/>
      <c r="D98" s="128"/>
      <c r="E98" s="128"/>
      <c r="F98" s="128"/>
      <c r="G98" s="128"/>
      <c r="H98" s="128"/>
      <c r="I98" s="128"/>
    </row>
    <row r="99" spans="1:9" ht="15.75" customHeight="1">
      <c r="A99" s="57"/>
      <c r="B99" s="129" t="s">
        <v>291</v>
      </c>
      <c r="C99" s="129"/>
      <c r="D99" s="129"/>
      <c r="E99" s="129"/>
      <c r="F99" s="129"/>
      <c r="G99" s="129"/>
      <c r="H99" s="63"/>
      <c r="I99" s="3"/>
    </row>
    <row r="100" spans="1:9" ht="15.75" customHeight="1">
      <c r="A100" s="99"/>
      <c r="B100" s="130" t="s">
        <v>6</v>
      </c>
      <c r="C100" s="130"/>
      <c r="D100" s="130"/>
      <c r="E100" s="130"/>
      <c r="F100" s="130"/>
      <c r="G100" s="130"/>
      <c r="H100" s="24"/>
      <c r="I100" s="5"/>
    </row>
    <row r="101" spans="1:9" ht="15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 customHeight="1">
      <c r="A102" s="131" t="s">
        <v>7</v>
      </c>
      <c r="B102" s="131"/>
      <c r="C102" s="131"/>
      <c r="D102" s="131"/>
      <c r="E102" s="131"/>
      <c r="F102" s="131"/>
      <c r="G102" s="131"/>
      <c r="H102" s="131"/>
      <c r="I102" s="131"/>
    </row>
    <row r="103" spans="1:9" ht="15.75" customHeight="1">
      <c r="A103" s="131" t="s">
        <v>8</v>
      </c>
      <c r="B103" s="131"/>
      <c r="C103" s="131"/>
      <c r="D103" s="131"/>
      <c r="E103" s="131"/>
      <c r="F103" s="131"/>
      <c r="G103" s="131"/>
      <c r="H103" s="131"/>
      <c r="I103" s="131"/>
    </row>
    <row r="104" spans="1:9" ht="15.75" customHeight="1">
      <c r="A104" s="120" t="s">
        <v>63</v>
      </c>
      <c r="B104" s="120"/>
      <c r="C104" s="120"/>
      <c r="D104" s="120"/>
      <c r="E104" s="120"/>
      <c r="F104" s="120"/>
      <c r="G104" s="120"/>
      <c r="H104" s="120"/>
      <c r="I104" s="120"/>
    </row>
    <row r="105" spans="1:9" ht="15.75" customHeight="1">
      <c r="A105" s="11"/>
    </row>
    <row r="106" spans="1:9" ht="15.75" customHeight="1">
      <c r="A106" s="133" t="s">
        <v>9</v>
      </c>
      <c r="B106" s="133"/>
      <c r="C106" s="133"/>
      <c r="D106" s="133"/>
      <c r="E106" s="133"/>
      <c r="F106" s="133"/>
      <c r="G106" s="133"/>
      <c r="H106" s="133"/>
      <c r="I106" s="133"/>
    </row>
    <row r="107" spans="1:9" ht="15.75" customHeight="1">
      <c r="A107" s="4"/>
    </row>
    <row r="108" spans="1:9" ht="15.75" customHeight="1">
      <c r="B108" s="102" t="s">
        <v>10</v>
      </c>
      <c r="C108" s="134" t="s">
        <v>96</v>
      </c>
      <c r="D108" s="134"/>
      <c r="E108" s="134"/>
      <c r="F108" s="61"/>
      <c r="I108" s="105"/>
    </row>
    <row r="109" spans="1:9" ht="15.75" customHeight="1">
      <c r="A109" s="99"/>
      <c r="C109" s="130" t="s">
        <v>11</v>
      </c>
      <c r="D109" s="130"/>
      <c r="E109" s="130"/>
      <c r="F109" s="24"/>
      <c r="I109" s="104" t="s">
        <v>12</v>
      </c>
    </row>
    <row r="110" spans="1:9" ht="15.75" customHeight="1">
      <c r="A110" s="25"/>
      <c r="C110" s="12"/>
      <c r="D110" s="12"/>
      <c r="G110" s="12"/>
      <c r="H110" s="12"/>
    </row>
    <row r="111" spans="1:9" ht="15.75" customHeight="1">
      <c r="B111" s="102" t="s">
        <v>13</v>
      </c>
      <c r="C111" s="135"/>
      <c r="D111" s="135"/>
      <c r="E111" s="135"/>
      <c r="F111" s="62"/>
      <c r="I111" s="105"/>
    </row>
    <row r="112" spans="1:9" ht="15.75" customHeight="1">
      <c r="A112" s="99"/>
      <c r="C112" s="110" t="s">
        <v>11</v>
      </c>
      <c r="D112" s="110"/>
      <c r="E112" s="110"/>
      <c r="F112" s="99"/>
      <c r="I112" s="104" t="s">
        <v>12</v>
      </c>
    </row>
    <row r="113" spans="1:9" ht="15.75" customHeight="1">
      <c r="A113" s="4" t="s">
        <v>14</v>
      </c>
    </row>
    <row r="114" spans="1:9" ht="15.75" customHeight="1">
      <c r="A114" s="136" t="s">
        <v>15</v>
      </c>
      <c r="B114" s="136"/>
      <c r="C114" s="136"/>
      <c r="D114" s="136"/>
      <c r="E114" s="136"/>
      <c r="F114" s="136"/>
      <c r="G114" s="136"/>
      <c r="H114" s="136"/>
      <c r="I114" s="136"/>
    </row>
    <row r="115" spans="1:9" ht="45" customHeight="1">
      <c r="A115" s="132" t="s">
        <v>16</v>
      </c>
      <c r="B115" s="132"/>
      <c r="C115" s="132"/>
      <c r="D115" s="132"/>
      <c r="E115" s="132"/>
      <c r="F115" s="132"/>
      <c r="G115" s="132"/>
      <c r="H115" s="132"/>
      <c r="I115" s="132"/>
    </row>
    <row r="116" spans="1:9" ht="30" customHeight="1">
      <c r="A116" s="132" t="s">
        <v>17</v>
      </c>
      <c r="B116" s="132"/>
      <c r="C116" s="132"/>
      <c r="D116" s="132"/>
      <c r="E116" s="132"/>
      <c r="F116" s="132"/>
      <c r="G116" s="132"/>
      <c r="H116" s="132"/>
      <c r="I116" s="132"/>
    </row>
    <row r="117" spans="1:9" ht="30" customHeight="1">
      <c r="A117" s="132" t="s">
        <v>21</v>
      </c>
      <c r="B117" s="132"/>
      <c r="C117" s="132"/>
      <c r="D117" s="132"/>
      <c r="E117" s="132"/>
      <c r="F117" s="132"/>
      <c r="G117" s="132"/>
      <c r="H117" s="132"/>
      <c r="I117" s="132"/>
    </row>
    <row r="118" spans="1:9" ht="15" customHeight="1">
      <c r="A118" s="132" t="s">
        <v>20</v>
      </c>
      <c r="B118" s="132"/>
      <c r="C118" s="132"/>
      <c r="D118" s="132"/>
      <c r="E118" s="132"/>
      <c r="F118" s="132"/>
      <c r="G118" s="132"/>
      <c r="H118" s="132"/>
      <c r="I118" s="132"/>
    </row>
  </sheetData>
  <autoFilter ref="I12:I62"/>
  <mergeCells count="29"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7:I47"/>
    <mergeCell ref="A57:I57"/>
    <mergeCell ref="R67:U67"/>
    <mergeCell ref="C112:E112"/>
    <mergeCell ref="A87:I87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114:I114"/>
    <mergeCell ref="A115:I115"/>
    <mergeCell ref="A116:I116"/>
    <mergeCell ref="A117:I117"/>
    <mergeCell ref="A118:I11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92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14" t="s">
        <v>193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146</v>
      </c>
      <c r="B4" s="115"/>
      <c r="C4" s="115"/>
      <c r="D4" s="115"/>
      <c r="E4" s="115"/>
      <c r="F4" s="115"/>
      <c r="G4" s="115"/>
      <c r="H4" s="115"/>
      <c r="I4" s="115"/>
    </row>
    <row r="5" spans="1:13" ht="15.75" customHeight="1">
      <c r="A5" s="114" t="s">
        <v>211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 customHeight="1">
      <c r="A6" s="2"/>
      <c r="B6" s="55"/>
      <c r="C6" s="55"/>
      <c r="D6" s="55"/>
      <c r="E6" s="55"/>
      <c r="F6" s="55"/>
      <c r="G6" s="55"/>
      <c r="H6" s="55"/>
      <c r="I6" s="30">
        <v>42794</v>
      </c>
      <c r="J6" s="2"/>
      <c r="K6" s="2"/>
      <c r="L6" s="2"/>
      <c r="M6" s="2"/>
    </row>
    <row r="7" spans="1:13" ht="15.75" customHeight="1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7" t="s">
        <v>152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8" t="s">
        <v>209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19" t="s">
        <v>61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29">
        <v>1</v>
      </c>
      <c r="B16" s="69" t="s">
        <v>93</v>
      </c>
      <c r="C16" s="70" t="s">
        <v>115</v>
      </c>
      <c r="D16" s="69" t="s">
        <v>116</v>
      </c>
      <c r="E16" s="71">
        <v>176.24</v>
      </c>
      <c r="F16" s="72">
        <f>SUM(E16*156/100)</f>
        <v>274.93440000000004</v>
      </c>
      <c r="G16" s="72">
        <v>187.48</v>
      </c>
      <c r="H16" s="73">
        <f t="shared" ref="H16:H26" si="0">SUM(F16*G16/1000)</f>
        <v>51.544701312000008</v>
      </c>
      <c r="I16" s="13">
        <f>F16/12*G16</f>
        <v>4295.3917760000004</v>
      </c>
      <c r="J16" s="8"/>
      <c r="K16" s="8"/>
      <c r="L16" s="8"/>
      <c r="M16" s="8"/>
    </row>
    <row r="17" spans="1:13" ht="15.75" customHeight="1">
      <c r="A17" s="29">
        <v>2</v>
      </c>
      <c r="B17" s="69" t="s">
        <v>100</v>
      </c>
      <c r="C17" s="70" t="s">
        <v>115</v>
      </c>
      <c r="D17" s="69" t="s">
        <v>117</v>
      </c>
      <c r="E17" s="71">
        <v>704.96</v>
      </c>
      <c r="F17" s="72">
        <f>SUM(E17*104/100)</f>
        <v>733.15839999999992</v>
      </c>
      <c r="G17" s="72">
        <v>187.48</v>
      </c>
      <c r="H17" s="73">
        <v>137.453</v>
      </c>
      <c r="I17" s="13">
        <f>F17/12*G17</f>
        <v>11454.378069333332</v>
      </c>
      <c r="J17" s="22"/>
      <c r="K17" s="8"/>
      <c r="L17" s="8"/>
      <c r="M17" s="8"/>
    </row>
    <row r="18" spans="1:13" ht="15.75" customHeight="1">
      <c r="A18" s="29">
        <v>3</v>
      </c>
      <c r="B18" s="69" t="s">
        <v>101</v>
      </c>
      <c r="C18" s="70" t="s">
        <v>115</v>
      </c>
      <c r="D18" s="69" t="s">
        <v>118</v>
      </c>
      <c r="E18" s="71">
        <f>SUM(E16+E17)</f>
        <v>881.2</v>
      </c>
      <c r="F18" s="72">
        <f>SUM(E18*24/100)</f>
        <v>211.48800000000003</v>
      </c>
      <c r="G18" s="72">
        <v>539.30999999999995</v>
      </c>
      <c r="H18" s="73">
        <f t="shared" si="0"/>
        <v>114.05759328000001</v>
      </c>
      <c r="I18" s="13">
        <f>F18/12*G18</f>
        <v>9504.7994400000007</v>
      </c>
      <c r="J18" s="22"/>
      <c r="K18" s="8"/>
      <c r="L18" s="8"/>
      <c r="M18" s="8"/>
    </row>
    <row r="19" spans="1:13" ht="15.75" hidden="1" customHeight="1">
      <c r="A19" s="29">
        <v>4</v>
      </c>
      <c r="B19" s="69" t="s">
        <v>119</v>
      </c>
      <c r="C19" s="70" t="s">
        <v>120</v>
      </c>
      <c r="D19" s="69" t="s">
        <v>121</v>
      </c>
      <c r="E19" s="71">
        <v>28.8</v>
      </c>
      <c r="F19" s="72">
        <f>SUM(E19/10)</f>
        <v>2.88</v>
      </c>
      <c r="G19" s="72">
        <v>181.91</v>
      </c>
      <c r="H19" s="73">
        <f t="shared" si="0"/>
        <v>0.52390080000000006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69" t="s">
        <v>106</v>
      </c>
      <c r="C20" s="70" t="s">
        <v>115</v>
      </c>
      <c r="D20" s="69" t="s">
        <v>30</v>
      </c>
      <c r="E20" s="71">
        <v>17.5</v>
      </c>
      <c r="F20" s="72">
        <f>SUM(E20*12/100)</f>
        <v>2.1</v>
      </c>
      <c r="G20" s="72">
        <v>232.92</v>
      </c>
      <c r="H20" s="73">
        <f t="shared" si="0"/>
        <v>0.48913200000000001</v>
      </c>
      <c r="I20" s="13">
        <f>F20/12*G20</f>
        <v>40.761000000000003</v>
      </c>
      <c r="J20" s="22"/>
      <c r="K20" s="8"/>
      <c r="L20" s="8"/>
      <c r="M20" s="8"/>
    </row>
    <row r="21" spans="1:13" ht="15.75" hidden="1" customHeight="1">
      <c r="A21" s="29">
        <v>5</v>
      </c>
      <c r="B21" s="69" t="s">
        <v>107</v>
      </c>
      <c r="C21" s="70" t="s">
        <v>115</v>
      </c>
      <c r="D21" s="69" t="s">
        <v>114</v>
      </c>
      <c r="E21" s="71">
        <v>5.94</v>
      </c>
      <c r="F21" s="72">
        <f>SUM(E21*6/100)</f>
        <v>0.35639999999999999</v>
      </c>
      <c r="G21" s="72">
        <v>231.03</v>
      </c>
      <c r="H21" s="73">
        <f t="shared" si="0"/>
        <v>8.2339091999999989E-2</v>
      </c>
      <c r="I21" s="13">
        <f>F21/6*G21</f>
        <v>13.723182</v>
      </c>
      <c r="J21" s="22"/>
      <c r="K21" s="8"/>
      <c r="L21" s="8"/>
      <c r="M21" s="8"/>
    </row>
    <row r="22" spans="1:13" ht="15.75" hidden="1" customHeight="1">
      <c r="A22" s="29">
        <v>7</v>
      </c>
      <c r="B22" s="69" t="s">
        <v>122</v>
      </c>
      <c r="C22" s="70" t="s">
        <v>53</v>
      </c>
      <c r="D22" s="69" t="s">
        <v>121</v>
      </c>
      <c r="E22" s="71">
        <v>376</v>
      </c>
      <c r="F22" s="72">
        <f>SUM(E22/100)</f>
        <v>3.76</v>
      </c>
      <c r="G22" s="72">
        <v>287.83999999999997</v>
      </c>
      <c r="H22" s="73">
        <f t="shared" si="0"/>
        <v>1.0822783999999999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9" t="s">
        <v>123</v>
      </c>
      <c r="C23" s="70" t="s">
        <v>53</v>
      </c>
      <c r="D23" s="69" t="s">
        <v>121</v>
      </c>
      <c r="E23" s="74">
        <v>60.4</v>
      </c>
      <c r="F23" s="72">
        <f>SUM(E23/100)</f>
        <v>0.60399999999999998</v>
      </c>
      <c r="G23" s="72">
        <v>47.34</v>
      </c>
      <c r="H23" s="73">
        <f t="shared" si="0"/>
        <v>2.8593360000000002E-2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9" t="s">
        <v>110</v>
      </c>
      <c r="C24" s="70" t="s">
        <v>53</v>
      </c>
      <c r="D24" s="69" t="s">
        <v>54</v>
      </c>
      <c r="E24" s="18">
        <v>25</v>
      </c>
      <c r="F24" s="75">
        <f>E24/100</f>
        <v>0.25</v>
      </c>
      <c r="G24" s="72">
        <v>416.62</v>
      </c>
      <c r="H24" s="73">
        <f>F24*G24/1000</f>
        <v>0.104155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9" t="s">
        <v>124</v>
      </c>
      <c r="C25" s="70" t="s">
        <v>53</v>
      </c>
      <c r="D25" s="69" t="s">
        <v>121</v>
      </c>
      <c r="E25" s="74">
        <v>23.75</v>
      </c>
      <c r="F25" s="72">
        <f>E25/100</f>
        <v>0.23749999999999999</v>
      </c>
      <c r="G25" s="72">
        <v>231.03</v>
      </c>
      <c r="H25" s="73">
        <f>F25*G25/1000</f>
        <v>5.4869624999999998E-2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11</v>
      </c>
      <c r="B26" s="69" t="s">
        <v>111</v>
      </c>
      <c r="C26" s="70" t="s">
        <v>53</v>
      </c>
      <c r="D26" s="69" t="s">
        <v>121</v>
      </c>
      <c r="E26" s="71">
        <v>10.63</v>
      </c>
      <c r="F26" s="72">
        <f>SUM(E26/100)</f>
        <v>0.10630000000000001</v>
      </c>
      <c r="G26" s="72">
        <v>556.74</v>
      </c>
      <c r="H26" s="73">
        <f t="shared" si="0"/>
        <v>5.9181462000000004E-2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5</v>
      </c>
      <c r="B27" s="69" t="s">
        <v>66</v>
      </c>
      <c r="C27" s="70" t="s">
        <v>34</v>
      </c>
      <c r="D27" s="69" t="s">
        <v>91</v>
      </c>
      <c r="E27" s="71">
        <v>0.1</v>
      </c>
      <c r="F27" s="72">
        <f>SUM(E27*365)</f>
        <v>36.5</v>
      </c>
      <c r="G27" s="72">
        <v>157.18</v>
      </c>
      <c r="H27" s="73">
        <f>SUM(F27*G27/1000)</f>
        <v>5.737070000000001</v>
      </c>
      <c r="I27" s="13">
        <f>F27/12*G27</f>
        <v>478.08916666666664</v>
      </c>
      <c r="J27" s="23"/>
    </row>
    <row r="28" spans="1:13" ht="15.75" customHeight="1">
      <c r="A28" s="29">
        <v>6</v>
      </c>
      <c r="B28" s="77" t="s">
        <v>23</v>
      </c>
      <c r="C28" s="70" t="s">
        <v>24</v>
      </c>
      <c r="D28" s="69" t="s">
        <v>91</v>
      </c>
      <c r="E28" s="71">
        <v>5816.5</v>
      </c>
      <c r="F28" s="72">
        <f>SUM(E28*12)</f>
        <v>69798</v>
      </c>
      <c r="G28" s="72">
        <v>4.72</v>
      </c>
      <c r="H28" s="73">
        <f>SUM(F28*G28/1000)</f>
        <v>329.44655999999998</v>
      </c>
      <c r="I28" s="13">
        <f>F28/12*G28</f>
        <v>27453.879999999997</v>
      </c>
      <c r="J28" s="23"/>
    </row>
    <row r="29" spans="1:13" ht="15.75" customHeight="1">
      <c r="A29" s="121" t="s">
        <v>90</v>
      </c>
      <c r="B29" s="121"/>
      <c r="C29" s="121"/>
      <c r="D29" s="121"/>
      <c r="E29" s="121"/>
      <c r="F29" s="121"/>
      <c r="G29" s="121"/>
      <c r="H29" s="121"/>
      <c r="I29" s="121"/>
      <c r="J29" s="22"/>
      <c r="K29" s="8"/>
      <c r="L29" s="8"/>
      <c r="M29" s="8"/>
    </row>
    <row r="30" spans="1:13" ht="15.75" hidden="1" customHeight="1">
      <c r="A30" s="29"/>
      <c r="B30" s="90" t="s">
        <v>28</v>
      </c>
      <c r="C30" s="70"/>
      <c r="D30" s="69"/>
      <c r="E30" s="71"/>
      <c r="F30" s="72"/>
      <c r="G30" s="72"/>
      <c r="H30" s="73"/>
      <c r="I30" s="13"/>
      <c r="J30" s="22"/>
      <c r="K30" s="8"/>
      <c r="L30" s="8"/>
      <c r="M30" s="8"/>
    </row>
    <row r="31" spans="1:13" ht="15.75" hidden="1" customHeight="1">
      <c r="A31" s="29">
        <v>7</v>
      </c>
      <c r="B31" s="69" t="s">
        <v>125</v>
      </c>
      <c r="C31" s="70" t="s">
        <v>126</v>
      </c>
      <c r="D31" s="69" t="s">
        <v>127</v>
      </c>
      <c r="E31" s="72">
        <v>357.22</v>
      </c>
      <c r="F31" s="72">
        <f>SUM(E31*52/1000)</f>
        <v>18.575440000000004</v>
      </c>
      <c r="G31" s="72">
        <v>166.65</v>
      </c>
      <c r="H31" s="73">
        <f t="shared" ref="H31:H38" si="1">SUM(F31*G31/1000)</f>
        <v>3.0955970760000011</v>
      </c>
      <c r="I31" s="13">
        <f>F31/6*G31</f>
        <v>515.93284600000015</v>
      </c>
      <c r="J31" s="22"/>
      <c r="K31" s="8"/>
      <c r="L31" s="8"/>
      <c r="M31" s="8"/>
    </row>
    <row r="32" spans="1:13" ht="31.5" hidden="1" customHeight="1">
      <c r="A32" s="29">
        <v>8</v>
      </c>
      <c r="B32" s="69" t="s">
        <v>191</v>
      </c>
      <c r="C32" s="70" t="s">
        <v>126</v>
      </c>
      <c r="D32" s="69" t="s">
        <v>128</v>
      </c>
      <c r="E32" s="72">
        <v>475.06</v>
      </c>
      <c r="F32" s="72">
        <f>SUM(E32*78/1000)</f>
        <v>37.054679999999998</v>
      </c>
      <c r="G32" s="72">
        <v>276.48</v>
      </c>
      <c r="H32" s="73">
        <f t="shared" si="1"/>
        <v>10.244877926400001</v>
      </c>
      <c r="I32" s="13">
        <f t="shared" ref="I32:I35" si="2">F32/6*G32</f>
        <v>1707.4796544000001</v>
      </c>
      <c r="J32" s="22"/>
      <c r="K32" s="8"/>
      <c r="L32" s="8"/>
      <c r="M32" s="8"/>
    </row>
    <row r="33" spans="1:14" ht="15.75" hidden="1" customHeight="1">
      <c r="A33" s="29">
        <v>16</v>
      </c>
      <c r="B33" s="69" t="s">
        <v>27</v>
      </c>
      <c r="C33" s="70" t="s">
        <v>126</v>
      </c>
      <c r="D33" s="69" t="s">
        <v>54</v>
      </c>
      <c r="E33" s="72">
        <v>357.22</v>
      </c>
      <c r="F33" s="72">
        <f>SUM(E33/1000)</f>
        <v>0.35722000000000004</v>
      </c>
      <c r="G33" s="72">
        <v>3228.73</v>
      </c>
      <c r="H33" s="73">
        <f t="shared" si="1"/>
        <v>1.1533669306000001</v>
      </c>
      <c r="I33" s="13">
        <f>F33*G33</f>
        <v>1153.3669306000002</v>
      </c>
      <c r="J33" s="22"/>
      <c r="K33" s="8"/>
      <c r="L33" s="8"/>
      <c r="M33" s="8"/>
    </row>
    <row r="34" spans="1:14" ht="15.75" hidden="1" customHeight="1">
      <c r="A34" s="29">
        <v>9</v>
      </c>
      <c r="B34" s="69" t="s">
        <v>157</v>
      </c>
      <c r="C34" s="70" t="s">
        <v>40</v>
      </c>
      <c r="D34" s="69" t="s">
        <v>158</v>
      </c>
      <c r="E34" s="72">
        <v>5</v>
      </c>
      <c r="F34" s="72">
        <f>E34*155/100</f>
        <v>7.75</v>
      </c>
      <c r="G34" s="72">
        <v>1391.86</v>
      </c>
      <c r="H34" s="73">
        <f>G34*F34/1000</f>
        <v>10.786914999999999</v>
      </c>
      <c r="I34" s="13">
        <f t="shared" si="2"/>
        <v>1797.8191666666667</v>
      </c>
      <c r="J34" s="22"/>
      <c r="K34" s="8"/>
      <c r="L34" s="8"/>
      <c r="M34" s="8"/>
    </row>
    <row r="35" spans="1:14" ht="15.75" hidden="1" customHeight="1">
      <c r="A35" s="29">
        <v>10</v>
      </c>
      <c r="B35" s="69" t="s">
        <v>129</v>
      </c>
      <c r="C35" s="70" t="s">
        <v>31</v>
      </c>
      <c r="D35" s="69" t="s">
        <v>65</v>
      </c>
      <c r="E35" s="76">
        <v>0.33333333333333331</v>
      </c>
      <c r="F35" s="72">
        <f>155/3</f>
        <v>51.666666666666664</v>
      </c>
      <c r="G35" s="72">
        <v>60.6</v>
      </c>
      <c r="H35" s="73">
        <f>SUM(G35*155/3/1000)</f>
        <v>3.1309999999999998</v>
      </c>
      <c r="I35" s="13">
        <f t="shared" si="2"/>
        <v>521.83333333333337</v>
      </c>
      <c r="J35" s="22"/>
      <c r="K35" s="8"/>
    </row>
    <row r="36" spans="1:14" ht="15.75" hidden="1" customHeight="1">
      <c r="A36" s="29"/>
      <c r="B36" s="69" t="s">
        <v>67</v>
      </c>
      <c r="C36" s="70" t="s">
        <v>34</v>
      </c>
      <c r="D36" s="69" t="s">
        <v>69</v>
      </c>
      <c r="E36" s="71"/>
      <c r="F36" s="72">
        <v>3</v>
      </c>
      <c r="G36" s="72">
        <v>204.52</v>
      </c>
      <c r="H36" s="73">
        <f t="shared" si="1"/>
        <v>0.61356000000000011</v>
      </c>
      <c r="I36" s="13">
        <v>0</v>
      </c>
      <c r="J36" s="23"/>
    </row>
    <row r="37" spans="1:14" ht="15.75" hidden="1" customHeight="1">
      <c r="A37" s="29"/>
      <c r="B37" s="69" t="s">
        <v>68</v>
      </c>
      <c r="C37" s="70" t="s">
        <v>33</v>
      </c>
      <c r="D37" s="69" t="s">
        <v>69</v>
      </c>
      <c r="E37" s="71"/>
      <c r="F37" s="72">
        <v>2</v>
      </c>
      <c r="G37" s="72">
        <v>1214.74</v>
      </c>
      <c r="H37" s="73">
        <f t="shared" si="1"/>
        <v>2.4294799999999999</v>
      </c>
      <c r="I37" s="13">
        <v>0</v>
      </c>
      <c r="J37" s="23"/>
    </row>
    <row r="38" spans="1:14" ht="15.75" hidden="1" customHeight="1">
      <c r="A38" s="29"/>
      <c r="B38" s="46" t="s">
        <v>159</v>
      </c>
      <c r="C38" s="65" t="s">
        <v>29</v>
      </c>
      <c r="D38" s="69"/>
      <c r="E38" s="71">
        <v>360.36</v>
      </c>
      <c r="F38" s="72">
        <f>E38*36/1000</f>
        <v>12.97296</v>
      </c>
      <c r="G38" s="72">
        <v>3228.73</v>
      </c>
      <c r="H38" s="73">
        <f t="shared" si="1"/>
        <v>41.886185140800002</v>
      </c>
      <c r="I38" s="13">
        <v>0</v>
      </c>
      <c r="J38" s="23"/>
    </row>
    <row r="39" spans="1:14" ht="15.75" customHeight="1">
      <c r="A39" s="29"/>
      <c r="B39" s="90" t="s">
        <v>5</v>
      </c>
      <c r="C39" s="70"/>
      <c r="D39" s="69"/>
      <c r="E39" s="71"/>
      <c r="F39" s="72"/>
      <c r="G39" s="72"/>
      <c r="H39" s="73" t="s">
        <v>143</v>
      </c>
      <c r="I39" s="13"/>
      <c r="J39" s="23"/>
    </row>
    <row r="40" spans="1:14" ht="15.75" customHeight="1">
      <c r="A40" s="29">
        <v>7</v>
      </c>
      <c r="B40" s="69" t="s">
        <v>26</v>
      </c>
      <c r="C40" s="70" t="s">
        <v>33</v>
      </c>
      <c r="D40" s="69"/>
      <c r="E40" s="71"/>
      <c r="F40" s="72">
        <v>10</v>
      </c>
      <c r="G40" s="72">
        <v>1632.6</v>
      </c>
      <c r="H40" s="73">
        <f t="shared" ref="H40:H46" si="3">SUM(F40*G40/1000)</f>
        <v>16.326000000000001</v>
      </c>
      <c r="I40" s="13">
        <f>F40/6*G40</f>
        <v>2721</v>
      </c>
      <c r="J40" s="23"/>
      <c r="L40" s="19"/>
      <c r="M40" s="20"/>
      <c r="N40" s="21"/>
    </row>
    <row r="41" spans="1:14" ht="15.75" customHeight="1">
      <c r="A41" s="29">
        <v>8</v>
      </c>
      <c r="B41" s="69" t="s">
        <v>70</v>
      </c>
      <c r="C41" s="70" t="s">
        <v>29</v>
      </c>
      <c r="D41" s="69" t="s">
        <v>130</v>
      </c>
      <c r="E41" s="72">
        <v>469.73</v>
      </c>
      <c r="F41" s="72">
        <f>SUM(E41*30/1000)</f>
        <v>14.091900000000001</v>
      </c>
      <c r="G41" s="72">
        <v>2247.8000000000002</v>
      </c>
      <c r="H41" s="73">
        <f t="shared" si="3"/>
        <v>31.675772820000006</v>
      </c>
      <c r="I41" s="13">
        <f>F41/6*G41</f>
        <v>5279.2954700000009</v>
      </c>
      <c r="J41" s="23"/>
      <c r="L41" s="19"/>
      <c r="M41" s="20"/>
      <c r="N41" s="21"/>
    </row>
    <row r="42" spans="1:14" ht="15.75" hidden="1" customHeight="1">
      <c r="A42" s="29"/>
      <c r="B42" s="69" t="s">
        <v>102</v>
      </c>
      <c r="C42" s="70" t="s">
        <v>147</v>
      </c>
      <c r="D42" s="69" t="s">
        <v>69</v>
      </c>
      <c r="E42" s="71"/>
      <c r="F42" s="72">
        <v>120</v>
      </c>
      <c r="G42" s="72">
        <v>213.2</v>
      </c>
      <c r="H42" s="73">
        <f t="shared" si="3"/>
        <v>25.584</v>
      </c>
      <c r="I42" s="13">
        <v>0</v>
      </c>
      <c r="J42" s="23"/>
      <c r="L42" s="19"/>
      <c r="M42" s="20"/>
      <c r="N42" s="21"/>
    </row>
    <row r="43" spans="1:14" ht="15.75" customHeight="1">
      <c r="A43" s="29">
        <v>9</v>
      </c>
      <c r="B43" s="69" t="s">
        <v>71</v>
      </c>
      <c r="C43" s="70" t="s">
        <v>29</v>
      </c>
      <c r="D43" s="69" t="s">
        <v>131</v>
      </c>
      <c r="E43" s="72">
        <v>475.06</v>
      </c>
      <c r="F43" s="72">
        <f>SUM(E43*155/1000)</f>
        <v>73.634299999999996</v>
      </c>
      <c r="G43" s="72">
        <v>374.95</v>
      </c>
      <c r="H43" s="73">
        <f t="shared" si="3"/>
        <v>27.609180784999996</v>
      </c>
      <c r="I43" s="13">
        <f>F43/6*G43</f>
        <v>4601.5301308333328</v>
      </c>
      <c r="J43" s="23"/>
      <c r="L43" s="19"/>
      <c r="M43" s="20"/>
      <c r="N43" s="21"/>
    </row>
    <row r="44" spans="1:14" ht="47.25" customHeight="1">
      <c r="A44" s="29">
        <v>10</v>
      </c>
      <c r="B44" s="69" t="s">
        <v>87</v>
      </c>
      <c r="C44" s="70" t="s">
        <v>126</v>
      </c>
      <c r="D44" s="69" t="s">
        <v>148</v>
      </c>
      <c r="E44" s="72">
        <v>40.6</v>
      </c>
      <c r="F44" s="72">
        <f>SUM(E44*35/1000)</f>
        <v>1.421</v>
      </c>
      <c r="G44" s="72">
        <v>6203.7</v>
      </c>
      <c r="H44" s="73">
        <f t="shared" si="3"/>
        <v>8.8154577000000014</v>
      </c>
      <c r="I44" s="13">
        <f>F44/6*G44</f>
        <v>1469.2429500000001</v>
      </c>
      <c r="J44" s="23"/>
      <c r="L44" s="19"/>
      <c r="M44" s="20"/>
      <c r="N44" s="21"/>
    </row>
    <row r="45" spans="1:14" ht="15.75" hidden="1" customHeight="1">
      <c r="A45" s="29">
        <v>11</v>
      </c>
      <c r="B45" s="69" t="s">
        <v>132</v>
      </c>
      <c r="C45" s="70" t="s">
        <v>126</v>
      </c>
      <c r="D45" s="69" t="s">
        <v>72</v>
      </c>
      <c r="E45" s="72">
        <v>167.03</v>
      </c>
      <c r="F45" s="72">
        <f>SUM(E45*45/1000)</f>
        <v>7.5163500000000001</v>
      </c>
      <c r="G45" s="72">
        <v>458.28</v>
      </c>
      <c r="H45" s="73">
        <f t="shared" si="3"/>
        <v>3.4445928779999999</v>
      </c>
      <c r="I45" s="13">
        <f>F45/6*G45</f>
        <v>574.09881299999995</v>
      </c>
      <c r="J45" s="23"/>
      <c r="L45" s="19"/>
      <c r="M45" s="20"/>
      <c r="N45" s="21"/>
    </row>
    <row r="46" spans="1:14" ht="15.75" customHeight="1">
      <c r="A46" s="29">
        <v>11</v>
      </c>
      <c r="B46" s="69" t="s">
        <v>73</v>
      </c>
      <c r="C46" s="70" t="s">
        <v>34</v>
      </c>
      <c r="D46" s="69"/>
      <c r="E46" s="71"/>
      <c r="F46" s="72">
        <v>1.2</v>
      </c>
      <c r="G46" s="72">
        <v>853.06</v>
      </c>
      <c r="H46" s="73">
        <f t="shared" si="3"/>
        <v>1.0236719999999999</v>
      </c>
      <c r="I46" s="13">
        <f>F46/6*G46</f>
        <v>170.61199999999997</v>
      </c>
      <c r="J46" s="23"/>
      <c r="L46" s="19"/>
      <c r="M46" s="20"/>
      <c r="N46" s="21"/>
    </row>
    <row r="47" spans="1:14" ht="15.75" customHeight="1">
      <c r="A47" s="122" t="s">
        <v>153</v>
      </c>
      <c r="B47" s="123"/>
      <c r="C47" s="123"/>
      <c r="D47" s="123"/>
      <c r="E47" s="123"/>
      <c r="F47" s="123"/>
      <c r="G47" s="123"/>
      <c r="H47" s="123"/>
      <c r="I47" s="124"/>
      <c r="J47" s="23"/>
      <c r="L47" s="19"/>
      <c r="M47" s="20"/>
      <c r="N47" s="21"/>
    </row>
    <row r="48" spans="1:14" ht="15.75" hidden="1" customHeight="1">
      <c r="A48" s="29"/>
      <c r="B48" s="69" t="s">
        <v>133</v>
      </c>
      <c r="C48" s="70" t="s">
        <v>126</v>
      </c>
      <c r="D48" s="69" t="s">
        <v>42</v>
      </c>
      <c r="E48" s="71">
        <v>1603.6</v>
      </c>
      <c r="F48" s="72">
        <f>SUM(E48*2/1000)</f>
        <v>3.2071999999999998</v>
      </c>
      <c r="G48" s="13">
        <v>908.11</v>
      </c>
      <c r="H48" s="73">
        <f t="shared" ref="H48:H56" si="4">SUM(F48*G48/1000)</f>
        <v>2.9124903919999996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9" t="s">
        <v>35</v>
      </c>
      <c r="C49" s="70" t="s">
        <v>126</v>
      </c>
      <c r="D49" s="69" t="s">
        <v>42</v>
      </c>
      <c r="E49" s="71">
        <v>65</v>
      </c>
      <c r="F49" s="72">
        <f>SUM(E49*2/1000)</f>
        <v>0.13</v>
      </c>
      <c r="G49" s="13">
        <v>619.46</v>
      </c>
      <c r="H49" s="73">
        <f t="shared" si="4"/>
        <v>8.0529800000000012E-2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9" t="s">
        <v>36</v>
      </c>
      <c r="C50" s="70" t="s">
        <v>126</v>
      </c>
      <c r="D50" s="69" t="s">
        <v>42</v>
      </c>
      <c r="E50" s="71">
        <v>1825.8</v>
      </c>
      <c r="F50" s="72">
        <f>SUM(E50*2/1000)</f>
        <v>3.6515999999999997</v>
      </c>
      <c r="G50" s="13">
        <v>619.46</v>
      </c>
      <c r="H50" s="73">
        <f t="shared" si="4"/>
        <v>2.2620201360000003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69" t="s">
        <v>37</v>
      </c>
      <c r="C51" s="70" t="s">
        <v>126</v>
      </c>
      <c r="D51" s="69" t="s">
        <v>42</v>
      </c>
      <c r="E51" s="71">
        <v>3163.96</v>
      </c>
      <c r="F51" s="72">
        <f>SUM(E51*2/1000)</f>
        <v>6.3279199999999998</v>
      </c>
      <c r="G51" s="13">
        <v>648.64</v>
      </c>
      <c r="H51" s="73">
        <f t="shared" si="4"/>
        <v>4.1045420287999992</v>
      </c>
      <c r="I51" s="13">
        <v>0</v>
      </c>
      <c r="J51" s="23"/>
      <c r="L51" s="19"/>
      <c r="M51" s="20"/>
      <c r="N51" s="21"/>
    </row>
    <row r="52" spans="1:22" ht="15.75" customHeight="1">
      <c r="A52" s="29">
        <v>12</v>
      </c>
      <c r="B52" s="69" t="s">
        <v>58</v>
      </c>
      <c r="C52" s="70" t="s">
        <v>126</v>
      </c>
      <c r="D52" s="69" t="s">
        <v>192</v>
      </c>
      <c r="E52" s="71">
        <v>1583</v>
      </c>
      <c r="F52" s="72">
        <f>SUM(E52*5/1000)</f>
        <v>7.915</v>
      </c>
      <c r="G52" s="13">
        <v>1297.28</v>
      </c>
      <c r="H52" s="73">
        <f t="shared" si="4"/>
        <v>10.2679712</v>
      </c>
      <c r="I52" s="13">
        <f>F52/5*G52</f>
        <v>2053.5942399999999</v>
      </c>
      <c r="J52" s="23"/>
      <c r="L52" s="19"/>
      <c r="M52" s="20"/>
      <c r="N52" s="21"/>
    </row>
    <row r="53" spans="1:22" ht="31.5" customHeight="1">
      <c r="A53" s="29">
        <v>13</v>
      </c>
      <c r="B53" s="69" t="s">
        <v>134</v>
      </c>
      <c r="C53" s="70" t="s">
        <v>126</v>
      </c>
      <c r="D53" s="69" t="s">
        <v>42</v>
      </c>
      <c r="E53" s="71">
        <v>1583</v>
      </c>
      <c r="F53" s="72">
        <f>SUM(E53*2/1000)</f>
        <v>3.1659999999999999</v>
      </c>
      <c r="G53" s="13">
        <v>1297.28</v>
      </c>
      <c r="H53" s="73">
        <f t="shared" si="4"/>
        <v>4.1071884799999996</v>
      </c>
      <c r="I53" s="13">
        <f>F53/2*G53</f>
        <v>2053.5942399999999</v>
      </c>
      <c r="J53" s="23"/>
      <c r="L53" s="19"/>
      <c r="M53" s="20"/>
      <c r="N53" s="21"/>
    </row>
    <row r="54" spans="1:22" ht="31.5" hidden="1" customHeight="1">
      <c r="A54" s="29"/>
      <c r="B54" s="69" t="s">
        <v>135</v>
      </c>
      <c r="C54" s="70" t="s">
        <v>38</v>
      </c>
      <c r="D54" s="69" t="s">
        <v>42</v>
      </c>
      <c r="E54" s="71">
        <v>25</v>
      </c>
      <c r="F54" s="72">
        <f>SUM(E54*2/100)</f>
        <v>0.5</v>
      </c>
      <c r="G54" s="13">
        <v>2918.89</v>
      </c>
      <c r="H54" s="73">
        <f t="shared" si="4"/>
        <v>1.4594449999999999</v>
      </c>
      <c r="I54" s="13">
        <v>0</v>
      </c>
      <c r="J54" s="23"/>
      <c r="L54" s="19"/>
      <c r="M54" s="20"/>
      <c r="N54" s="21"/>
    </row>
    <row r="55" spans="1:22" ht="15.75" hidden="1" customHeight="1">
      <c r="A55" s="29"/>
      <c r="B55" s="69" t="s">
        <v>39</v>
      </c>
      <c r="C55" s="70" t="s">
        <v>40</v>
      </c>
      <c r="D55" s="69" t="s">
        <v>42</v>
      </c>
      <c r="E55" s="71">
        <v>1</v>
      </c>
      <c r="F55" s="72">
        <v>0.02</v>
      </c>
      <c r="G55" s="13">
        <v>6042.12</v>
      </c>
      <c r="H55" s="73">
        <f t="shared" si="4"/>
        <v>0.1208424</v>
      </c>
      <c r="I55" s="13">
        <v>0</v>
      </c>
      <c r="J55" s="23"/>
      <c r="L55" s="19"/>
      <c r="M55" s="20"/>
      <c r="N55" s="21"/>
    </row>
    <row r="56" spans="1:22" ht="15.75" hidden="1" customHeight="1">
      <c r="A56" s="29">
        <v>15</v>
      </c>
      <c r="B56" s="69" t="s">
        <v>41</v>
      </c>
      <c r="C56" s="70" t="s">
        <v>31</v>
      </c>
      <c r="D56" s="69" t="s">
        <v>74</v>
      </c>
      <c r="E56" s="71">
        <v>36</v>
      </c>
      <c r="F56" s="72">
        <f>SUM(E56)*3</f>
        <v>108</v>
      </c>
      <c r="G56" s="13">
        <v>70.209999999999994</v>
      </c>
      <c r="H56" s="73">
        <f t="shared" si="4"/>
        <v>7.582679999999999</v>
      </c>
      <c r="I56" s="13">
        <f>E56*G56</f>
        <v>2527.56</v>
      </c>
      <c r="J56" s="23"/>
      <c r="L56" s="19"/>
      <c r="M56" s="20"/>
      <c r="N56" s="21"/>
    </row>
    <row r="57" spans="1:22" ht="15.75" customHeight="1">
      <c r="A57" s="122" t="s">
        <v>154</v>
      </c>
      <c r="B57" s="123"/>
      <c r="C57" s="123"/>
      <c r="D57" s="123"/>
      <c r="E57" s="123"/>
      <c r="F57" s="123"/>
      <c r="G57" s="123"/>
      <c r="H57" s="123"/>
      <c r="I57" s="124"/>
      <c r="J57" s="23"/>
      <c r="L57" s="19"/>
      <c r="M57" s="20"/>
      <c r="N57" s="21"/>
    </row>
    <row r="58" spans="1:22" ht="15.75" customHeight="1">
      <c r="A58" s="29"/>
      <c r="B58" s="90" t="s">
        <v>43</v>
      </c>
      <c r="C58" s="70"/>
      <c r="D58" s="69"/>
      <c r="E58" s="71"/>
      <c r="F58" s="72"/>
      <c r="G58" s="72"/>
      <c r="H58" s="73"/>
      <c r="I58" s="13"/>
      <c r="J58" s="23"/>
      <c r="L58" s="19"/>
      <c r="M58" s="20"/>
      <c r="N58" s="21"/>
    </row>
    <row r="59" spans="1:22" ht="31.5" customHeight="1">
      <c r="A59" s="29">
        <v>14</v>
      </c>
      <c r="B59" s="69" t="s">
        <v>149</v>
      </c>
      <c r="C59" s="70" t="s">
        <v>115</v>
      </c>
      <c r="D59" s="69" t="s">
        <v>75</v>
      </c>
      <c r="E59" s="78">
        <v>3.78</v>
      </c>
      <c r="F59" s="13">
        <f>E59*6/100</f>
        <v>0.2268</v>
      </c>
      <c r="G59" s="72">
        <v>1654.04</v>
      </c>
      <c r="H59" s="73">
        <f>SUM(F59*G59/1000)</f>
        <v>0.37513627199999999</v>
      </c>
      <c r="I59" s="13">
        <f>F59/6*G59</f>
        <v>62.522711999999999</v>
      </c>
      <c r="J59" s="23"/>
      <c r="L59" s="19"/>
      <c r="M59" s="20"/>
      <c r="N59" s="21"/>
    </row>
    <row r="60" spans="1:22" ht="31.5" customHeight="1">
      <c r="A60" s="29">
        <v>15</v>
      </c>
      <c r="B60" s="69" t="s">
        <v>137</v>
      </c>
      <c r="C60" s="70" t="s">
        <v>115</v>
      </c>
      <c r="D60" s="69" t="s">
        <v>75</v>
      </c>
      <c r="E60" s="71">
        <v>185.36</v>
      </c>
      <c r="F60" s="72">
        <f>E60*6/100</f>
        <v>11.121600000000001</v>
      </c>
      <c r="G60" s="79">
        <v>1654.04</v>
      </c>
      <c r="H60" s="73">
        <f>F60*G60/1000</f>
        <v>18.395571264000001</v>
      </c>
      <c r="I60" s="13">
        <f>F60/6*G60</f>
        <v>3065.9285440000003</v>
      </c>
      <c r="J60" s="23"/>
      <c r="L60" s="19"/>
    </row>
    <row r="61" spans="1:22" ht="15.75" hidden="1" customHeight="1">
      <c r="A61" s="29"/>
      <c r="B61" s="80" t="s">
        <v>108</v>
      </c>
      <c r="C61" s="70" t="s">
        <v>109</v>
      </c>
      <c r="D61" s="80" t="s">
        <v>42</v>
      </c>
      <c r="E61" s="81">
        <v>5</v>
      </c>
      <c r="F61" s="82">
        <v>10</v>
      </c>
      <c r="G61" s="79">
        <v>198.25</v>
      </c>
      <c r="H61" s="83">
        <v>0.99099999999999999</v>
      </c>
      <c r="I61" s="13">
        <v>0</v>
      </c>
      <c r="J61" s="23"/>
      <c r="L61" s="19"/>
    </row>
    <row r="62" spans="1:22" ht="15.75" customHeight="1">
      <c r="A62" s="29"/>
      <c r="B62" s="91" t="s">
        <v>44</v>
      </c>
      <c r="C62" s="84"/>
      <c r="D62" s="80"/>
      <c r="E62" s="81"/>
      <c r="F62" s="82"/>
      <c r="G62" s="85"/>
      <c r="H62" s="83"/>
      <c r="I62" s="13"/>
    </row>
    <row r="63" spans="1:22" ht="15.75" hidden="1" customHeight="1">
      <c r="A63" s="29"/>
      <c r="B63" s="80" t="s">
        <v>45</v>
      </c>
      <c r="C63" s="84" t="s">
        <v>53</v>
      </c>
      <c r="D63" s="80" t="s">
        <v>54</v>
      </c>
      <c r="E63" s="81">
        <v>1752</v>
      </c>
      <c r="F63" s="82">
        <f>E63/100</f>
        <v>17.52</v>
      </c>
      <c r="G63" s="72">
        <v>848.37</v>
      </c>
      <c r="H63" s="83">
        <f>G63*F63/1000</f>
        <v>14.8634424</v>
      </c>
      <c r="I63" s="13">
        <v>0</v>
      </c>
    </row>
    <row r="64" spans="1:22" ht="15.75" customHeight="1">
      <c r="A64" s="29">
        <v>16</v>
      </c>
      <c r="B64" s="80" t="s">
        <v>103</v>
      </c>
      <c r="C64" s="84" t="s">
        <v>25</v>
      </c>
      <c r="D64" s="80" t="s">
        <v>160</v>
      </c>
      <c r="E64" s="81">
        <v>352</v>
      </c>
      <c r="F64" s="82">
        <f>E64*12</f>
        <v>4224</v>
      </c>
      <c r="G64" s="72">
        <v>2.6</v>
      </c>
      <c r="H64" s="83">
        <f>G64*F64/1000</f>
        <v>10.9824</v>
      </c>
      <c r="I64" s="13">
        <f>F64/12*G64</f>
        <v>915.2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29"/>
      <c r="B65" s="91" t="s">
        <v>46</v>
      </c>
      <c r="C65" s="84"/>
      <c r="D65" s="80"/>
      <c r="E65" s="81"/>
      <c r="F65" s="82"/>
      <c r="G65" s="92"/>
      <c r="H65" s="83" t="s">
        <v>143</v>
      </c>
      <c r="I65" s="13"/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29">
        <v>17</v>
      </c>
      <c r="B66" s="14" t="s">
        <v>47</v>
      </c>
      <c r="C66" s="16" t="s">
        <v>136</v>
      </c>
      <c r="D66" s="14" t="s">
        <v>69</v>
      </c>
      <c r="E66" s="18">
        <v>10</v>
      </c>
      <c r="F66" s="72">
        <v>10</v>
      </c>
      <c r="G66" s="13">
        <v>237.74</v>
      </c>
      <c r="H66" s="66">
        <f t="shared" ref="H66:H80" si="5">SUM(F66*G66/1000)</f>
        <v>2.3774000000000002</v>
      </c>
      <c r="I66" s="13">
        <f>G66</f>
        <v>237.74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48</v>
      </c>
      <c r="C67" s="16" t="s">
        <v>136</v>
      </c>
      <c r="D67" s="14" t="s">
        <v>69</v>
      </c>
      <c r="E67" s="18">
        <v>5</v>
      </c>
      <c r="F67" s="72">
        <v>5</v>
      </c>
      <c r="G67" s="13">
        <v>81.510000000000005</v>
      </c>
      <c r="H67" s="66">
        <f t="shared" si="5"/>
        <v>0.40755000000000002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10"/>
      <c r="S67" s="110"/>
      <c r="T67" s="110"/>
      <c r="U67" s="110"/>
    </row>
    <row r="68" spans="1:21" ht="15.75" hidden="1" customHeight="1">
      <c r="A68" s="29"/>
      <c r="B68" s="14" t="s">
        <v>49</v>
      </c>
      <c r="C68" s="16" t="s">
        <v>138</v>
      </c>
      <c r="D68" s="14" t="s">
        <v>54</v>
      </c>
      <c r="E68" s="71">
        <v>23808</v>
      </c>
      <c r="F68" s="13">
        <f>SUM(E68/100)</f>
        <v>238.08</v>
      </c>
      <c r="G68" s="13">
        <v>226.79</v>
      </c>
      <c r="H68" s="66">
        <f t="shared" si="5"/>
        <v>53.994163200000003</v>
      </c>
      <c r="I68" s="13">
        <f>F68*G68</f>
        <v>53994.163200000003</v>
      </c>
    </row>
    <row r="69" spans="1:21" ht="15.75" hidden="1" customHeight="1">
      <c r="A69" s="29"/>
      <c r="B69" s="14" t="s">
        <v>50</v>
      </c>
      <c r="C69" s="16" t="s">
        <v>139</v>
      </c>
      <c r="D69" s="14"/>
      <c r="E69" s="71">
        <v>23808</v>
      </c>
      <c r="F69" s="13">
        <f>SUM(E69/1000)</f>
        <v>23.808</v>
      </c>
      <c r="G69" s="13">
        <v>176.61</v>
      </c>
      <c r="H69" s="66">
        <f t="shared" si="5"/>
        <v>4.2047308800000005</v>
      </c>
      <c r="I69" s="13">
        <f t="shared" ref="I69:I73" si="6">F69*G69</f>
        <v>4204.7308800000001</v>
      </c>
    </row>
    <row r="70" spans="1:21" ht="15.75" hidden="1" customHeight="1">
      <c r="A70" s="29"/>
      <c r="B70" s="14" t="s">
        <v>51</v>
      </c>
      <c r="C70" s="16" t="s">
        <v>80</v>
      </c>
      <c r="D70" s="14" t="s">
        <v>54</v>
      </c>
      <c r="E70" s="71">
        <v>3810</v>
      </c>
      <c r="F70" s="13">
        <f>SUM(E70/100)</f>
        <v>38.1</v>
      </c>
      <c r="G70" s="13">
        <v>2217.7800000000002</v>
      </c>
      <c r="H70" s="66">
        <f t="shared" si="5"/>
        <v>84.49741800000001</v>
      </c>
      <c r="I70" s="13">
        <f t="shared" si="6"/>
        <v>84497.418000000005</v>
      </c>
    </row>
    <row r="71" spans="1:21" ht="15.75" hidden="1" customHeight="1">
      <c r="A71" s="29"/>
      <c r="B71" s="86" t="s">
        <v>140</v>
      </c>
      <c r="C71" s="16" t="s">
        <v>34</v>
      </c>
      <c r="D71" s="14"/>
      <c r="E71" s="71">
        <v>23.4</v>
      </c>
      <c r="F71" s="13">
        <f>SUM(E71)</f>
        <v>23.4</v>
      </c>
      <c r="G71" s="13">
        <v>42.67</v>
      </c>
      <c r="H71" s="66">
        <f t="shared" si="5"/>
        <v>0.99847799999999998</v>
      </c>
      <c r="I71" s="13">
        <f t="shared" si="6"/>
        <v>998.47799999999995</v>
      </c>
    </row>
    <row r="72" spans="1:21" ht="15.75" hidden="1" customHeight="1">
      <c r="A72" s="29"/>
      <c r="B72" s="86" t="s">
        <v>150</v>
      </c>
      <c r="C72" s="16" t="s">
        <v>34</v>
      </c>
      <c r="D72" s="14"/>
      <c r="E72" s="71">
        <v>23.4</v>
      </c>
      <c r="F72" s="13">
        <f>SUM(E72)</f>
        <v>23.4</v>
      </c>
      <c r="G72" s="13">
        <v>39.81</v>
      </c>
      <c r="H72" s="66">
        <f t="shared" si="5"/>
        <v>0.93155399999999999</v>
      </c>
      <c r="I72" s="13">
        <f t="shared" si="6"/>
        <v>931.55399999999997</v>
      </c>
    </row>
    <row r="73" spans="1:21" ht="15.75" hidden="1" customHeight="1">
      <c r="A73" s="29"/>
      <c r="B73" s="14" t="s">
        <v>59</v>
      </c>
      <c r="C73" s="16" t="s">
        <v>60</v>
      </c>
      <c r="D73" s="14" t="s">
        <v>54</v>
      </c>
      <c r="E73" s="18">
        <v>5</v>
      </c>
      <c r="F73" s="72">
        <f>SUM(E73)</f>
        <v>5</v>
      </c>
      <c r="G73" s="13">
        <v>53.32</v>
      </c>
      <c r="H73" s="66">
        <f t="shared" si="5"/>
        <v>0.2666</v>
      </c>
      <c r="I73" s="13">
        <f t="shared" si="6"/>
        <v>266.60000000000002</v>
      </c>
    </row>
    <row r="74" spans="1:21" ht="15.75" customHeight="1">
      <c r="A74" s="29">
        <v>17</v>
      </c>
      <c r="B74" s="14" t="s">
        <v>151</v>
      </c>
      <c r="C74" s="16" t="s">
        <v>60</v>
      </c>
      <c r="D74" s="14" t="s">
        <v>30</v>
      </c>
      <c r="E74" s="18">
        <v>1</v>
      </c>
      <c r="F74" s="59">
        <v>12</v>
      </c>
      <c r="G74" s="13">
        <v>711</v>
      </c>
      <c r="H74" s="66">
        <v>8.5310000000000006</v>
      </c>
      <c r="I74" s="13">
        <f>F74/12*G74</f>
        <v>711</v>
      </c>
    </row>
    <row r="75" spans="1:21" ht="15.75" customHeight="1">
      <c r="A75" s="29"/>
      <c r="B75" s="54" t="s">
        <v>76</v>
      </c>
      <c r="C75" s="16"/>
      <c r="D75" s="14"/>
      <c r="E75" s="18"/>
      <c r="F75" s="13"/>
      <c r="G75" s="13"/>
      <c r="H75" s="66" t="s">
        <v>143</v>
      </c>
      <c r="I75" s="13"/>
    </row>
    <row r="76" spans="1:21" ht="15.75" customHeight="1">
      <c r="A76" s="29">
        <v>18</v>
      </c>
      <c r="B76" s="14" t="s">
        <v>77</v>
      </c>
      <c r="C76" s="16" t="s">
        <v>32</v>
      </c>
      <c r="D76" s="14" t="s">
        <v>69</v>
      </c>
      <c r="E76" s="18">
        <v>2</v>
      </c>
      <c r="F76" s="59">
        <v>0.2</v>
      </c>
      <c r="G76" s="13">
        <v>536.23</v>
      </c>
      <c r="H76" s="66">
        <v>0.107</v>
      </c>
      <c r="I76" s="13">
        <f>G76*5</f>
        <v>2681.15</v>
      </c>
    </row>
    <row r="77" spans="1:21" ht="15.75" hidden="1" customHeight="1">
      <c r="A77" s="29"/>
      <c r="B77" s="14" t="s">
        <v>94</v>
      </c>
      <c r="C77" s="16" t="s">
        <v>31</v>
      </c>
      <c r="D77" s="14"/>
      <c r="E77" s="18">
        <v>1</v>
      </c>
      <c r="F77" s="72">
        <f>SUM(E77)</f>
        <v>1</v>
      </c>
      <c r="G77" s="13">
        <v>383.25</v>
      </c>
      <c r="H77" s="66">
        <f t="shared" si="5"/>
        <v>0.38324999999999998</v>
      </c>
      <c r="I77" s="13">
        <v>0</v>
      </c>
    </row>
    <row r="78" spans="1:21" ht="15.75" hidden="1" customHeight="1">
      <c r="A78" s="29"/>
      <c r="B78" s="14" t="s">
        <v>78</v>
      </c>
      <c r="C78" s="16" t="s">
        <v>31</v>
      </c>
      <c r="D78" s="14"/>
      <c r="E78" s="18">
        <v>1</v>
      </c>
      <c r="F78" s="13">
        <v>1</v>
      </c>
      <c r="G78" s="13">
        <v>911.85</v>
      </c>
      <c r="H78" s="66">
        <f>F78*G78/1000</f>
        <v>0.91185000000000005</v>
      </c>
      <c r="I78" s="13">
        <v>0</v>
      </c>
    </row>
    <row r="79" spans="1:21" ht="15.75" hidden="1" customHeight="1">
      <c r="A79" s="29"/>
      <c r="B79" s="87" t="s">
        <v>79</v>
      </c>
      <c r="C79" s="16"/>
      <c r="D79" s="14"/>
      <c r="E79" s="18"/>
      <c r="F79" s="13"/>
      <c r="G79" s="13" t="s">
        <v>143</v>
      </c>
      <c r="H79" s="66" t="s">
        <v>143</v>
      </c>
      <c r="I79" s="13"/>
    </row>
    <row r="80" spans="1:21" ht="15.75" hidden="1" customHeight="1">
      <c r="A80" s="29"/>
      <c r="B80" s="42" t="s">
        <v>144</v>
      </c>
      <c r="C80" s="16" t="s">
        <v>80</v>
      </c>
      <c r="D80" s="14"/>
      <c r="E80" s="18"/>
      <c r="F80" s="13">
        <v>0.6</v>
      </c>
      <c r="G80" s="13">
        <v>2949.85</v>
      </c>
      <c r="H80" s="66">
        <f t="shared" si="5"/>
        <v>1.7699099999999999</v>
      </c>
      <c r="I80" s="13">
        <v>0</v>
      </c>
      <c r="J80" s="5"/>
      <c r="K80" s="5"/>
      <c r="L80" s="5"/>
      <c r="M80" s="5"/>
      <c r="N80" s="5"/>
      <c r="O80" s="5"/>
      <c r="P80" s="5"/>
      <c r="Q80" s="5"/>
      <c r="R80" s="53"/>
      <c r="S80" s="53"/>
      <c r="T80" s="53"/>
      <c r="U80" s="53"/>
    </row>
    <row r="81" spans="1:21" ht="15.75" hidden="1" customHeight="1">
      <c r="A81" s="43"/>
      <c r="B81" s="54" t="s">
        <v>141</v>
      </c>
      <c r="C81" s="54"/>
      <c r="D81" s="54"/>
      <c r="E81" s="54"/>
      <c r="F81" s="54"/>
      <c r="G81" s="54"/>
      <c r="H81" s="54"/>
      <c r="I81" s="18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29"/>
      <c r="B82" s="69" t="s">
        <v>142</v>
      </c>
      <c r="C82" s="16"/>
      <c r="D82" s="14"/>
      <c r="E82" s="60"/>
      <c r="F82" s="13">
        <v>1</v>
      </c>
      <c r="G82" s="13">
        <v>21062.799999999999</v>
      </c>
      <c r="H82" s="66">
        <f>G82*F82/1000</f>
        <v>21.062799999999999</v>
      </c>
      <c r="I82" s="13">
        <v>0</v>
      </c>
      <c r="J82" s="5"/>
      <c r="K82" s="5"/>
      <c r="L82" s="5"/>
      <c r="M82" s="5"/>
      <c r="N82" s="5"/>
      <c r="O82" s="5"/>
      <c r="P82" s="5"/>
      <c r="Q82" s="5"/>
      <c r="R82" s="53"/>
      <c r="S82" s="53"/>
      <c r="T82" s="53"/>
      <c r="U82" s="53"/>
    </row>
    <row r="83" spans="1:21" ht="15.75" customHeight="1">
      <c r="A83" s="111" t="s">
        <v>155</v>
      </c>
      <c r="B83" s="112"/>
      <c r="C83" s="112"/>
      <c r="D83" s="112"/>
      <c r="E83" s="112"/>
      <c r="F83" s="112"/>
      <c r="G83" s="112"/>
      <c r="H83" s="112"/>
      <c r="I83" s="113"/>
    </row>
    <row r="84" spans="1:21" ht="15.75" customHeight="1">
      <c r="A84" s="29">
        <v>19</v>
      </c>
      <c r="B84" s="69" t="s">
        <v>145</v>
      </c>
      <c r="C84" s="16" t="s">
        <v>56</v>
      </c>
      <c r="D84" s="88" t="s">
        <v>57</v>
      </c>
      <c r="E84" s="13">
        <v>5816.5</v>
      </c>
      <c r="F84" s="13">
        <f>SUM(E84*12)</f>
        <v>69798</v>
      </c>
      <c r="G84" s="13">
        <v>2.54</v>
      </c>
      <c r="H84" s="66">
        <f>SUM(F84*G84/1000)</f>
        <v>177.28692000000001</v>
      </c>
      <c r="I84" s="13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53"/>
      <c r="S84" s="53"/>
      <c r="T84" s="53"/>
      <c r="U84" s="53"/>
    </row>
    <row r="85" spans="1:21" ht="31.5" customHeight="1">
      <c r="A85" s="29">
        <v>20</v>
      </c>
      <c r="B85" s="14" t="s">
        <v>81</v>
      </c>
      <c r="C85" s="16"/>
      <c r="D85" s="88" t="s">
        <v>57</v>
      </c>
      <c r="E85" s="71">
        <f>E84</f>
        <v>5816.5</v>
      </c>
      <c r="F85" s="13">
        <f>E85*12</f>
        <v>69798</v>
      </c>
      <c r="G85" s="13">
        <v>2.0499999999999998</v>
      </c>
      <c r="H85" s="66">
        <f>F85*G85/1000</f>
        <v>143.08589999999998</v>
      </c>
      <c r="I85" s="13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53"/>
      <c r="S85" s="53"/>
      <c r="T85" s="53"/>
      <c r="U85" s="53"/>
    </row>
    <row r="86" spans="1:21" ht="15.75" customHeight="1">
      <c r="A86" s="43"/>
      <c r="B86" s="34" t="s">
        <v>84</v>
      </c>
      <c r="C86" s="35"/>
      <c r="D86" s="15"/>
      <c r="E86" s="15"/>
      <c r="F86" s="15"/>
      <c r="G86" s="18"/>
      <c r="H86" s="18"/>
      <c r="I86" s="31">
        <f>I16+I17+I18+I20+I27+I28+I40+I41+I43+I44+I46+I52+I53+I59+I60+I64+I74+I76+I84+I85</f>
        <v>105709.70473883332</v>
      </c>
    </row>
    <row r="87" spans="1:21" ht="15.75" customHeight="1">
      <c r="A87" s="125" t="s">
        <v>62</v>
      </c>
      <c r="B87" s="126"/>
      <c r="C87" s="126"/>
      <c r="D87" s="126"/>
      <c r="E87" s="126"/>
      <c r="F87" s="126"/>
      <c r="G87" s="126"/>
      <c r="H87" s="126"/>
      <c r="I87" s="127"/>
    </row>
    <row r="88" spans="1:21" ht="15.75" customHeight="1">
      <c r="A88" s="29">
        <v>21</v>
      </c>
      <c r="B88" s="46" t="s">
        <v>113</v>
      </c>
      <c r="C88" s="65" t="s">
        <v>136</v>
      </c>
      <c r="D88" s="42"/>
      <c r="E88" s="13"/>
      <c r="F88" s="13">
        <v>1</v>
      </c>
      <c r="G88" s="13">
        <v>1102.53</v>
      </c>
      <c r="H88" s="13">
        <f t="shared" ref="H88" si="7">G88*F88/1000</f>
        <v>1.10253</v>
      </c>
      <c r="I88" s="13">
        <f>G88</f>
        <v>1102.53</v>
      </c>
      <c r="J88" s="5"/>
      <c r="K88" s="5"/>
      <c r="L88" s="5"/>
      <c r="M88" s="5"/>
      <c r="N88" s="5"/>
      <c r="O88" s="5"/>
      <c r="P88" s="5"/>
      <c r="Q88" s="5"/>
      <c r="R88" s="53"/>
      <c r="S88" s="53"/>
      <c r="T88" s="53"/>
      <c r="U88" s="53"/>
    </row>
    <row r="89" spans="1:21" ht="15.75" customHeight="1">
      <c r="A89" s="29">
        <v>22</v>
      </c>
      <c r="B89" s="46" t="s">
        <v>212</v>
      </c>
      <c r="C89" s="65" t="s">
        <v>98</v>
      </c>
      <c r="D89" s="42"/>
      <c r="E89" s="13"/>
      <c r="F89" s="13">
        <f>92/3</f>
        <v>30.666666666666668</v>
      </c>
      <c r="G89" s="13">
        <v>1120.8900000000001</v>
      </c>
      <c r="H89" s="13">
        <f>G89*F89/1000</f>
        <v>34.373960000000004</v>
      </c>
      <c r="I89" s="13">
        <f>G89*((10+10)/3)</f>
        <v>7472.6000000000013</v>
      </c>
      <c r="J89" s="5"/>
      <c r="K89" s="5"/>
      <c r="L89" s="5"/>
      <c r="M89" s="5"/>
      <c r="N89" s="5"/>
      <c r="O89" s="5"/>
      <c r="P89" s="5"/>
      <c r="Q89" s="5"/>
      <c r="R89" s="53"/>
      <c r="S89" s="53"/>
      <c r="T89" s="53"/>
      <c r="U89" s="53"/>
    </row>
    <row r="90" spans="1:21" ht="15.75" customHeight="1">
      <c r="A90" s="29"/>
      <c r="B90" s="40" t="s">
        <v>52</v>
      </c>
      <c r="C90" s="36"/>
      <c r="D90" s="44"/>
      <c r="E90" s="36">
        <v>1</v>
      </c>
      <c r="F90" s="36"/>
      <c r="G90" s="36"/>
      <c r="H90" s="36"/>
      <c r="I90" s="31">
        <f>SUM(I88:I89)</f>
        <v>8575.130000000001</v>
      </c>
    </row>
    <row r="91" spans="1:21" ht="15.75" customHeight="1">
      <c r="A91" s="29"/>
      <c r="B91" s="42" t="s">
        <v>82</v>
      </c>
      <c r="C91" s="15"/>
      <c r="D91" s="15"/>
      <c r="E91" s="37"/>
      <c r="F91" s="37"/>
      <c r="G91" s="38"/>
      <c r="H91" s="38"/>
      <c r="I91" s="17">
        <v>0</v>
      </c>
    </row>
    <row r="92" spans="1:21" ht="15.75" customHeight="1">
      <c r="A92" s="45"/>
      <c r="B92" s="41" t="s">
        <v>210</v>
      </c>
      <c r="C92" s="32"/>
      <c r="D92" s="32"/>
      <c r="E92" s="32"/>
      <c r="F92" s="32"/>
      <c r="G92" s="32"/>
      <c r="H92" s="32"/>
      <c r="I92" s="39">
        <f>I86+I90</f>
        <v>114284.83473883332</v>
      </c>
    </row>
    <row r="93" spans="1:21" ht="15.75" customHeight="1">
      <c r="A93" s="128" t="s">
        <v>282</v>
      </c>
      <c r="B93" s="128"/>
      <c r="C93" s="128"/>
      <c r="D93" s="128"/>
      <c r="E93" s="128"/>
      <c r="F93" s="128"/>
      <c r="G93" s="128"/>
      <c r="H93" s="128"/>
      <c r="I93" s="128"/>
    </row>
    <row r="94" spans="1:21" ht="15.75" customHeight="1">
      <c r="A94" s="57"/>
      <c r="B94" s="129" t="s">
        <v>283</v>
      </c>
      <c r="C94" s="129"/>
      <c r="D94" s="129"/>
      <c r="E94" s="129"/>
      <c r="F94" s="129"/>
      <c r="G94" s="129"/>
      <c r="H94" s="63"/>
      <c r="I94" s="3"/>
    </row>
    <row r="95" spans="1:21" ht="15.75" customHeight="1">
      <c r="A95" s="53"/>
      <c r="B95" s="130" t="s">
        <v>6</v>
      </c>
      <c r="C95" s="130"/>
      <c r="D95" s="130"/>
      <c r="E95" s="130"/>
      <c r="F95" s="130"/>
      <c r="G95" s="130"/>
      <c r="H95" s="24"/>
      <c r="I95" s="5"/>
    </row>
    <row r="96" spans="1:21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31" t="s">
        <v>7</v>
      </c>
      <c r="B97" s="131"/>
      <c r="C97" s="131"/>
      <c r="D97" s="131"/>
      <c r="E97" s="131"/>
      <c r="F97" s="131"/>
      <c r="G97" s="131"/>
      <c r="H97" s="131"/>
      <c r="I97" s="131"/>
    </row>
    <row r="98" spans="1:9" ht="15.75" customHeight="1">
      <c r="A98" s="131" t="s">
        <v>8</v>
      </c>
      <c r="B98" s="131"/>
      <c r="C98" s="131"/>
      <c r="D98" s="131"/>
      <c r="E98" s="131"/>
      <c r="F98" s="131"/>
      <c r="G98" s="131"/>
      <c r="H98" s="131"/>
      <c r="I98" s="131"/>
    </row>
    <row r="99" spans="1:9" ht="15.75" customHeight="1">
      <c r="A99" s="120" t="s">
        <v>63</v>
      </c>
      <c r="B99" s="120"/>
      <c r="C99" s="120"/>
      <c r="D99" s="120"/>
      <c r="E99" s="120"/>
      <c r="F99" s="120"/>
      <c r="G99" s="120"/>
      <c r="H99" s="120"/>
      <c r="I99" s="120"/>
    </row>
    <row r="100" spans="1:9" ht="15.75" customHeight="1">
      <c r="A100" s="11"/>
    </row>
    <row r="101" spans="1:9" ht="15.75" customHeight="1">
      <c r="A101" s="133" t="s">
        <v>9</v>
      </c>
      <c r="B101" s="133"/>
      <c r="C101" s="133"/>
      <c r="D101" s="133"/>
      <c r="E101" s="133"/>
      <c r="F101" s="133"/>
      <c r="G101" s="133"/>
      <c r="H101" s="133"/>
      <c r="I101" s="133"/>
    </row>
    <row r="102" spans="1:9" ht="15.75" customHeight="1">
      <c r="A102" s="4"/>
    </row>
    <row r="103" spans="1:9" ht="15.75" customHeight="1">
      <c r="B103" s="56" t="s">
        <v>10</v>
      </c>
      <c r="C103" s="134" t="s">
        <v>96</v>
      </c>
      <c r="D103" s="134"/>
      <c r="E103" s="134"/>
      <c r="F103" s="61"/>
      <c r="I103" s="52"/>
    </row>
    <row r="104" spans="1:9" ht="15.75" customHeight="1">
      <c r="A104" s="53"/>
      <c r="C104" s="130" t="s">
        <v>11</v>
      </c>
      <c r="D104" s="130"/>
      <c r="E104" s="130"/>
      <c r="F104" s="24"/>
      <c r="I104" s="51" t="s">
        <v>12</v>
      </c>
    </row>
    <row r="105" spans="1:9" ht="15.75" customHeight="1">
      <c r="A105" s="25"/>
      <c r="C105" s="12"/>
      <c r="D105" s="12"/>
      <c r="G105" s="12"/>
      <c r="H105" s="12"/>
    </row>
    <row r="106" spans="1:9" ht="15.75" customHeight="1">
      <c r="B106" s="56" t="s">
        <v>13</v>
      </c>
      <c r="C106" s="135"/>
      <c r="D106" s="135"/>
      <c r="E106" s="135"/>
      <c r="F106" s="62"/>
      <c r="I106" s="52"/>
    </row>
    <row r="107" spans="1:9" ht="15.75" customHeight="1">
      <c r="A107" s="53"/>
      <c r="C107" s="110" t="s">
        <v>11</v>
      </c>
      <c r="D107" s="110"/>
      <c r="E107" s="110"/>
      <c r="F107" s="53"/>
      <c r="I107" s="51" t="s">
        <v>12</v>
      </c>
    </row>
    <row r="108" spans="1:9" ht="15.75" customHeight="1">
      <c r="A108" s="4" t="s">
        <v>14</v>
      </c>
    </row>
    <row r="109" spans="1:9" ht="15.75" customHeight="1">
      <c r="A109" s="136" t="s">
        <v>15</v>
      </c>
      <c r="B109" s="136"/>
      <c r="C109" s="136"/>
      <c r="D109" s="136"/>
      <c r="E109" s="136"/>
      <c r="F109" s="136"/>
      <c r="G109" s="136"/>
      <c r="H109" s="136"/>
      <c r="I109" s="136"/>
    </row>
    <row r="110" spans="1:9" ht="45" customHeight="1">
      <c r="A110" s="132" t="s">
        <v>16</v>
      </c>
      <c r="B110" s="132"/>
      <c r="C110" s="132"/>
      <c r="D110" s="132"/>
      <c r="E110" s="132"/>
      <c r="F110" s="132"/>
      <c r="G110" s="132"/>
      <c r="H110" s="132"/>
      <c r="I110" s="132"/>
    </row>
    <row r="111" spans="1:9" ht="30" customHeight="1">
      <c r="A111" s="132" t="s">
        <v>17</v>
      </c>
      <c r="B111" s="132"/>
      <c r="C111" s="132"/>
      <c r="D111" s="132"/>
      <c r="E111" s="132"/>
      <c r="F111" s="132"/>
      <c r="G111" s="132"/>
      <c r="H111" s="132"/>
      <c r="I111" s="132"/>
    </row>
    <row r="112" spans="1:9" ht="30" customHeight="1">
      <c r="A112" s="132" t="s">
        <v>21</v>
      </c>
      <c r="B112" s="132"/>
      <c r="C112" s="132"/>
      <c r="D112" s="132"/>
      <c r="E112" s="132"/>
      <c r="F112" s="132"/>
      <c r="G112" s="132"/>
      <c r="H112" s="132"/>
      <c r="I112" s="132"/>
    </row>
    <row r="113" spans="1:9" ht="15" customHeight="1">
      <c r="A113" s="132" t="s">
        <v>20</v>
      </c>
      <c r="B113" s="132"/>
      <c r="C113" s="132"/>
      <c r="D113" s="132"/>
      <c r="E113" s="132"/>
      <c r="F113" s="132"/>
      <c r="G113" s="132"/>
      <c r="H113" s="132"/>
      <c r="I113" s="132"/>
    </row>
  </sheetData>
  <autoFilter ref="I12:I62"/>
  <mergeCells count="29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9:I29"/>
    <mergeCell ref="A47:I47"/>
    <mergeCell ref="A57:I57"/>
    <mergeCell ref="A87:I87"/>
    <mergeCell ref="A93:I93"/>
    <mergeCell ref="B94:G94"/>
    <mergeCell ref="B95:G95"/>
    <mergeCell ref="A97:I97"/>
    <mergeCell ref="A98:I98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3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92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14" t="s">
        <v>194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146</v>
      </c>
      <c r="B4" s="115"/>
      <c r="C4" s="115"/>
      <c r="D4" s="115"/>
      <c r="E4" s="115"/>
      <c r="F4" s="115"/>
      <c r="G4" s="115"/>
      <c r="H4" s="115"/>
      <c r="I4" s="115"/>
    </row>
    <row r="5" spans="1:13" ht="15.75" customHeight="1">
      <c r="A5" s="114" t="s">
        <v>213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 customHeight="1">
      <c r="A6" s="2"/>
      <c r="B6" s="55"/>
      <c r="C6" s="55"/>
      <c r="D6" s="55"/>
      <c r="E6" s="55"/>
      <c r="F6" s="55"/>
      <c r="G6" s="55"/>
      <c r="H6" s="55"/>
      <c r="I6" s="30">
        <v>42825</v>
      </c>
      <c r="J6" s="2"/>
      <c r="K6" s="2"/>
      <c r="L6" s="2"/>
      <c r="M6" s="2"/>
    </row>
    <row r="7" spans="1:13" ht="15.75" customHeight="1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7" t="s">
        <v>152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8" t="s">
        <v>209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19" t="s">
        <v>61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29">
        <v>1</v>
      </c>
      <c r="B16" s="69" t="s">
        <v>93</v>
      </c>
      <c r="C16" s="70" t="s">
        <v>115</v>
      </c>
      <c r="D16" s="69" t="s">
        <v>116</v>
      </c>
      <c r="E16" s="71">
        <v>176.24</v>
      </c>
      <c r="F16" s="72">
        <f>SUM(E16*156/100)</f>
        <v>274.93440000000004</v>
      </c>
      <c r="G16" s="72">
        <v>187.48</v>
      </c>
      <c r="H16" s="73">
        <f t="shared" ref="H16:H26" si="0">SUM(F16*G16/1000)</f>
        <v>51.544701312000008</v>
      </c>
      <c r="I16" s="13">
        <f>F16/12*G16</f>
        <v>4295.3917760000004</v>
      </c>
      <c r="J16" s="8"/>
      <c r="K16" s="8"/>
      <c r="L16" s="8"/>
      <c r="M16" s="8"/>
    </row>
    <row r="17" spans="1:13" ht="15.75" customHeight="1">
      <c r="A17" s="29">
        <v>2</v>
      </c>
      <c r="B17" s="69" t="s">
        <v>100</v>
      </c>
      <c r="C17" s="70" t="s">
        <v>115</v>
      </c>
      <c r="D17" s="69" t="s">
        <v>117</v>
      </c>
      <c r="E17" s="71">
        <v>704.96</v>
      </c>
      <c r="F17" s="72">
        <f>SUM(E17*104/100)</f>
        <v>733.15839999999992</v>
      </c>
      <c r="G17" s="72">
        <v>187.48</v>
      </c>
      <c r="H17" s="73">
        <v>137.453</v>
      </c>
      <c r="I17" s="13">
        <f>F17/12*G17</f>
        <v>11454.378069333332</v>
      </c>
      <c r="J17" s="22"/>
      <c r="K17" s="8"/>
      <c r="L17" s="8"/>
      <c r="M17" s="8"/>
    </row>
    <row r="18" spans="1:13" ht="15.75" customHeight="1">
      <c r="A18" s="29">
        <v>3</v>
      </c>
      <c r="B18" s="69" t="s">
        <v>101</v>
      </c>
      <c r="C18" s="70" t="s">
        <v>115</v>
      </c>
      <c r="D18" s="69" t="s">
        <v>118</v>
      </c>
      <c r="E18" s="71">
        <f>SUM(E16+E17)</f>
        <v>881.2</v>
      </c>
      <c r="F18" s="72">
        <f>SUM(E18*24/100)</f>
        <v>211.48800000000003</v>
      </c>
      <c r="G18" s="72">
        <v>539.30999999999995</v>
      </c>
      <c r="H18" s="73">
        <f t="shared" si="0"/>
        <v>114.05759328000001</v>
      </c>
      <c r="I18" s="13">
        <f>F18/12*G18</f>
        <v>9504.7994400000007</v>
      </c>
      <c r="J18" s="22"/>
      <c r="K18" s="8"/>
      <c r="L18" s="8"/>
      <c r="M18" s="8"/>
    </row>
    <row r="19" spans="1:13" ht="15.75" hidden="1" customHeight="1">
      <c r="A19" s="29">
        <v>4</v>
      </c>
      <c r="B19" s="69" t="s">
        <v>119</v>
      </c>
      <c r="C19" s="70" t="s">
        <v>120</v>
      </c>
      <c r="D19" s="69" t="s">
        <v>121</v>
      </c>
      <c r="E19" s="71">
        <v>28.8</v>
      </c>
      <c r="F19" s="72">
        <f>SUM(E19/10)</f>
        <v>2.88</v>
      </c>
      <c r="G19" s="72">
        <v>181.91</v>
      </c>
      <c r="H19" s="73">
        <f t="shared" si="0"/>
        <v>0.52390080000000006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69" t="s">
        <v>106</v>
      </c>
      <c r="C20" s="70" t="s">
        <v>115</v>
      </c>
      <c r="D20" s="69" t="s">
        <v>30</v>
      </c>
      <c r="E20" s="71">
        <v>17.5</v>
      </c>
      <c r="F20" s="72">
        <f>SUM(E20*12/100)</f>
        <v>2.1</v>
      </c>
      <c r="G20" s="72">
        <v>232.92</v>
      </c>
      <c r="H20" s="73">
        <f t="shared" si="0"/>
        <v>0.48913200000000001</v>
      </c>
      <c r="I20" s="13">
        <f>F20/12*G20</f>
        <v>40.761000000000003</v>
      </c>
      <c r="J20" s="22"/>
      <c r="K20" s="8"/>
      <c r="L20" s="8"/>
      <c r="M20" s="8"/>
    </row>
    <row r="21" spans="1:13" ht="15.75" customHeight="1">
      <c r="A21" s="29">
        <v>5</v>
      </c>
      <c r="B21" s="69" t="s">
        <v>107</v>
      </c>
      <c r="C21" s="70" t="s">
        <v>115</v>
      </c>
      <c r="D21" s="69" t="s">
        <v>114</v>
      </c>
      <c r="E21" s="71">
        <v>5.94</v>
      </c>
      <c r="F21" s="72">
        <f>SUM(E21*6/100)</f>
        <v>0.35639999999999999</v>
      </c>
      <c r="G21" s="72">
        <v>231.03</v>
      </c>
      <c r="H21" s="73">
        <f t="shared" si="0"/>
        <v>8.2339091999999989E-2</v>
      </c>
      <c r="I21" s="13">
        <f>F21/6*G21</f>
        <v>13.723182</v>
      </c>
      <c r="J21" s="22"/>
      <c r="K21" s="8"/>
      <c r="L21" s="8"/>
      <c r="M21" s="8"/>
    </row>
    <row r="22" spans="1:13" ht="15.75" hidden="1" customHeight="1">
      <c r="A22" s="29">
        <v>7</v>
      </c>
      <c r="B22" s="69" t="s">
        <v>122</v>
      </c>
      <c r="C22" s="70" t="s">
        <v>53</v>
      </c>
      <c r="D22" s="69" t="s">
        <v>121</v>
      </c>
      <c r="E22" s="71">
        <v>376</v>
      </c>
      <c r="F22" s="72">
        <f>SUM(E22/100)</f>
        <v>3.76</v>
      </c>
      <c r="G22" s="72">
        <v>287.83999999999997</v>
      </c>
      <c r="H22" s="73">
        <f t="shared" si="0"/>
        <v>1.0822783999999999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9" t="s">
        <v>123</v>
      </c>
      <c r="C23" s="70" t="s">
        <v>53</v>
      </c>
      <c r="D23" s="69" t="s">
        <v>121</v>
      </c>
      <c r="E23" s="74">
        <v>60.4</v>
      </c>
      <c r="F23" s="72">
        <f>SUM(E23/100)</f>
        <v>0.60399999999999998</v>
      </c>
      <c r="G23" s="72">
        <v>47.34</v>
      </c>
      <c r="H23" s="73">
        <f t="shared" si="0"/>
        <v>2.8593360000000002E-2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9" t="s">
        <v>110</v>
      </c>
      <c r="C24" s="70" t="s">
        <v>53</v>
      </c>
      <c r="D24" s="69" t="s">
        <v>54</v>
      </c>
      <c r="E24" s="18">
        <v>25</v>
      </c>
      <c r="F24" s="75">
        <f>E24/100</f>
        <v>0.25</v>
      </c>
      <c r="G24" s="72">
        <v>416.62</v>
      </c>
      <c r="H24" s="73">
        <f>F24*G24/1000</f>
        <v>0.104155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9" t="s">
        <v>124</v>
      </c>
      <c r="C25" s="70" t="s">
        <v>53</v>
      </c>
      <c r="D25" s="69" t="s">
        <v>121</v>
      </c>
      <c r="E25" s="74">
        <v>23.75</v>
      </c>
      <c r="F25" s="72">
        <f>E25/100</f>
        <v>0.23749999999999999</v>
      </c>
      <c r="G25" s="72">
        <v>231.03</v>
      </c>
      <c r="H25" s="73">
        <f>F25*G25/1000</f>
        <v>5.4869624999999998E-2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11</v>
      </c>
      <c r="B26" s="69" t="s">
        <v>111</v>
      </c>
      <c r="C26" s="70" t="s">
        <v>53</v>
      </c>
      <c r="D26" s="69" t="s">
        <v>121</v>
      </c>
      <c r="E26" s="71">
        <v>10.63</v>
      </c>
      <c r="F26" s="72">
        <f>SUM(E26/100)</f>
        <v>0.10630000000000001</v>
      </c>
      <c r="G26" s="72">
        <v>556.74</v>
      </c>
      <c r="H26" s="73">
        <f t="shared" si="0"/>
        <v>5.9181462000000004E-2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6</v>
      </c>
      <c r="B27" s="69" t="s">
        <v>66</v>
      </c>
      <c r="C27" s="70" t="s">
        <v>34</v>
      </c>
      <c r="D27" s="69" t="s">
        <v>91</v>
      </c>
      <c r="E27" s="71">
        <v>0.1</v>
      </c>
      <c r="F27" s="72">
        <f>SUM(E27*365)</f>
        <v>36.5</v>
      </c>
      <c r="G27" s="72">
        <v>157.18</v>
      </c>
      <c r="H27" s="73">
        <f>SUM(F27*G27/1000)</f>
        <v>5.737070000000001</v>
      </c>
      <c r="I27" s="13">
        <f>F27/12*G27</f>
        <v>478.08916666666664</v>
      </c>
      <c r="J27" s="23"/>
    </row>
    <row r="28" spans="1:13" ht="15.75" customHeight="1">
      <c r="A28" s="29">
        <v>7</v>
      </c>
      <c r="B28" s="77" t="s">
        <v>23</v>
      </c>
      <c r="C28" s="70" t="s">
        <v>24</v>
      </c>
      <c r="D28" s="69" t="s">
        <v>91</v>
      </c>
      <c r="E28" s="71">
        <v>5816.5</v>
      </c>
      <c r="F28" s="72">
        <f>SUM(E28*12)</f>
        <v>69798</v>
      </c>
      <c r="G28" s="72">
        <v>4.72</v>
      </c>
      <c r="H28" s="73">
        <f>SUM(F28*G28/1000)</f>
        <v>329.44655999999998</v>
      </c>
      <c r="I28" s="13">
        <f>F28/12*G28</f>
        <v>27453.879999999997</v>
      </c>
      <c r="J28" s="23"/>
    </row>
    <row r="29" spans="1:13" ht="15.75" customHeight="1">
      <c r="A29" s="121" t="s">
        <v>90</v>
      </c>
      <c r="B29" s="121"/>
      <c r="C29" s="121"/>
      <c r="D29" s="121"/>
      <c r="E29" s="121"/>
      <c r="F29" s="121"/>
      <c r="G29" s="121"/>
      <c r="H29" s="121"/>
      <c r="I29" s="121"/>
      <c r="J29" s="22"/>
      <c r="K29" s="8"/>
      <c r="L29" s="8"/>
      <c r="M29" s="8"/>
    </row>
    <row r="30" spans="1:13" ht="15.75" hidden="1" customHeight="1">
      <c r="A30" s="29"/>
      <c r="B30" s="90" t="s">
        <v>28</v>
      </c>
      <c r="C30" s="70"/>
      <c r="D30" s="69"/>
      <c r="E30" s="71"/>
      <c r="F30" s="72"/>
      <c r="G30" s="72"/>
      <c r="H30" s="73"/>
      <c r="I30" s="13"/>
      <c r="J30" s="22"/>
      <c r="K30" s="8"/>
      <c r="L30" s="8"/>
      <c r="M30" s="8"/>
    </row>
    <row r="31" spans="1:13" ht="15.75" hidden="1" customHeight="1">
      <c r="A31" s="29">
        <v>7</v>
      </c>
      <c r="B31" s="69" t="s">
        <v>125</v>
      </c>
      <c r="C31" s="70" t="s">
        <v>126</v>
      </c>
      <c r="D31" s="69" t="s">
        <v>127</v>
      </c>
      <c r="E31" s="72">
        <v>357.22</v>
      </c>
      <c r="F31" s="72">
        <f>SUM(E31*52/1000)</f>
        <v>18.575440000000004</v>
      </c>
      <c r="G31" s="72">
        <v>166.65</v>
      </c>
      <c r="H31" s="73">
        <f t="shared" ref="H31:H38" si="1">SUM(F31*G31/1000)</f>
        <v>3.0955970760000011</v>
      </c>
      <c r="I31" s="13">
        <f>F31/6*G31</f>
        <v>515.93284600000015</v>
      </c>
      <c r="J31" s="22"/>
      <c r="K31" s="8"/>
      <c r="L31" s="8"/>
      <c r="M31" s="8"/>
    </row>
    <row r="32" spans="1:13" ht="31.5" hidden="1" customHeight="1">
      <c r="A32" s="29">
        <v>8</v>
      </c>
      <c r="B32" s="69" t="s">
        <v>191</v>
      </c>
      <c r="C32" s="70" t="s">
        <v>126</v>
      </c>
      <c r="D32" s="69" t="s">
        <v>128</v>
      </c>
      <c r="E32" s="72">
        <v>475.06</v>
      </c>
      <c r="F32" s="72">
        <f>SUM(E32*78/1000)</f>
        <v>37.054679999999998</v>
      </c>
      <c r="G32" s="72">
        <v>276.48</v>
      </c>
      <c r="H32" s="73">
        <f t="shared" si="1"/>
        <v>10.244877926400001</v>
      </c>
      <c r="I32" s="13">
        <f t="shared" ref="I32:I35" si="2">F32/6*G32</f>
        <v>1707.4796544000001</v>
      </c>
      <c r="J32" s="22"/>
      <c r="K32" s="8"/>
      <c r="L32" s="8"/>
      <c r="M32" s="8"/>
    </row>
    <row r="33" spans="1:14" ht="15.75" hidden="1" customHeight="1">
      <c r="A33" s="29">
        <v>16</v>
      </c>
      <c r="B33" s="69" t="s">
        <v>27</v>
      </c>
      <c r="C33" s="70" t="s">
        <v>126</v>
      </c>
      <c r="D33" s="69" t="s">
        <v>54</v>
      </c>
      <c r="E33" s="72">
        <v>357.22</v>
      </c>
      <c r="F33" s="72">
        <f>SUM(E33/1000)</f>
        <v>0.35722000000000004</v>
      </c>
      <c r="G33" s="72">
        <v>3228.73</v>
      </c>
      <c r="H33" s="73">
        <f t="shared" si="1"/>
        <v>1.1533669306000001</v>
      </c>
      <c r="I33" s="13">
        <f>F33*G33</f>
        <v>1153.3669306000002</v>
      </c>
      <c r="J33" s="22"/>
      <c r="K33" s="8"/>
      <c r="L33" s="8"/>
      <c r="M33" s="8"/>
    </row>
    <row r="34" spans="1:14" ht="15.75" hidden="1" customHeight="1">
      <c r="A34" s="29">
        <v>9</v>
      </c>
      <c r="B34" s="69" t="s">
        <v>157</v>
      </c>
      <c r="C34" s="70" t="s">
        <v>40</v>
      </c>
      <c r="D34" s="69" t="s">
        <v>158</v>
      </c>
      <c r="E34" s="72">
        <v>5</v>
      </c>
      <c r="F34" s="72">
        <f>E34*155/100</f>
        <v>7.75</v>
      </c>
      <c r="G34" s="72">
        <v>1391.86</v>
      </c>
      <c r="H34" s="73">
        <f>G34*F34/1000</f>
        <v>10.786914999999999</v>
      </c>
      <c r="I34" s="13">
        <f t="shared" si="2"/>
        <v>1797.8191666666667</v>
      </c>
      <c r="J34" s="22"/>
      <c r="K34" s="8"/>
      <c r="L34" s="8"/>
      <c r="M34" s="8"/>
    </row>
    <row r="35" spans="1:14" ht="15.75" hidden="1" customHeight="1">
      <c r="A35" s="29">
        <v>10</v>
      </c>
      <c r="B35" s="69" t="s">
        <v>129</v>
      </c>
      <c r="C35" s="70" t="s">
        <v>31</v>
      </c>
      <c r="D35" s="69" t="s">
        <v>65</v>
      </c>
      <c r="E35" s="76">
        <v>0.33333333333333331</v>
      </c>
      <c r="F35" s="72">
        <f>155/3</f>
        <v>51.666666666666664</v>
      </c>
      <c r="G35" s="72">
        <v>60.6</v>
      </c>
      <c r="H35" s="73">
        <f>SUM(G35*155/3/1000)</f>
        <v>3.1309999999999998</v>
      </c>
      <c r="I35" s="13">
        <f t="shared" si="2"/>
        <v>521.83333333333337</v>
      </c>
      <c r="J35" s="22"/>
      <c r="K35" s="8"/>
    </row>
    <row r="36" spans="1:14" ht="15.75" hidden="1" customHeight="1">
      <c r="A36" s="29"/>
      <c r="B36" s="69" t="s">
        <v>67</v>
      </c>
      <c r="C36" s="70" t="s">
        <v>34</v>
      </c>
      <c r="D36" s="69" t="s">
        <v>69</v>
      </c>
      <c r="E36" s="71"/>
      <c r="F36" s="72">
        <v>3</v>
      </c>
      <c r="G36" s="72">
        <v>204.52</v>
      </c>
      <c r="H36" s="73">
        <f t="shared" si="1"/>
        <v>0.61356000000000011</v>
      </c>
      <c r="I36" s="13">
        <v>0</v>
      </c>
      <c r="J36" s="23"/>
    </row>
    <row r="37" spans="1:14" ht="15.75" hidden="1" customHeight="1">
      <c r="A37" s="29"/>
      <c r="B37" s="69" t="s">
        <v>68</v>
      </c>
      <c r="C37" s="70" t="s">
        <v>33</v>
      </c>
      <c r="D37" s="69" t="s">
        <v>69</v>
      </c>
      <c r="E37" s="71"/>
      <c r="F37" s="72">
        <v>2</v>
      </c>
      <c r="G37" s="72">
        <v>1214.74</v>
      </c>
      <c r="H37" s="73">
        <f t="shared" si="1"/>
        <v>2.4294799999999999</v>
      </c>
      <c r="I37" s="13">
        <v>0</v>
      </c>
      <c r="J37" s="23"/>
    </row>
    <row r="38" spans="1:14" ht="15.75" hidden="1" customHeight="1">
      <c r="A38" s="29"/>
      <c r="B38" s="46" t="s">
        <v>159</v>
      </c>
      <c r="C38" s="65" t="s">
        <v>29</v>
      </c>
      <c r="D38" s="69"/>
      <c r="E38" s="71">
        <v>360.36</v>
      </c>
      <c r="F38" s="72">
        <f>E38*36/1000</f>
        <v>12.97296</v>
      </c>
      <c r="G38" s="72">
        <v>3228.73</v>
      </c>
      <c r="H38" s="73">
        <f t="shared" si="1"/>
        <v>41.886185140800002</v>
      </c>
      <c r="I38" s="13">
        <v>0</v>
      </c>
      <c r="J38" s="23"/>
    </row>
    <row r="39" spans="1:14" ht="15.75" customHeight="1">
      <c r="A39" s="29"/>
      <c r="B39" s="90" t="s">
        <v>5</v>
      </c>
      <c r="C39" s="70"/>
      <c r="D39" s="69"/>
      <c r="E39" s="71"/>
      <c r="F39" s="72"/>
      <c r="G39" s="72"/>
      <c r="H39" s="73" t="s">
        <v>143</v>
      </c>
      <c r="I39" s="13"/>
      <c r="J39" s="23"/>
    </row>
    <row r="40" spans="1:14" ht="15.75" customHeight="1">
      <c r="A40" s="29">
        <v>8</v>
      </c>
      <c r="B40" s="69" t="s">
        <v>26</v>
      </c>
      <c r="C40" s="70" t="s">
        <v>33</v>
      </c>
      <c r="D40" s="69"/>
      <c r="E40" s="71"/>
      <c r="F40" s="72">
        <v>10</v>
      </c>
      <c r="G40" s="72">
        <v>1632.6</v>
      </c>
      <c r="H40" s="73">
        <f t="shared" ref="H40:H46" si="3">SUM(F40*G40/1000)</f>
        <v>16.326000000000001</v>
      </c>
      <c r="I40" s="13">
        <f>F40/6*G40</f>
        <v>2721</v>
      </c>
      <c r="J40" s="23"/>
      <c r="L40" s="19"/>
      <c r="M40" s="20"/>
      <c r="N40" s="21"/>
    </row>
    <row r="41" spans="1:14" ht="15.75" customHeight="1">
      <c r="A41" s="29">
        <v>9</v>
      </c>
      <c r="B41" s="69" t="s">
        <v>70</v>
      </c>
      <c r="C41" s="70" t="s">
        <v>29</v>
      </c>
      <c r="D41" s="69" t="s">
        <v>130</v>
      </c>
      <c r="E41" s="72">
        <v>469.73</v>
      </c>
      <c r="F41" s="72">
        <f>SUM(E41*30/1000)</f>
        <v>14.091900000000001</v>
      </c>
      <c r="G41" s="72">
        <v>2247.8000000000002</v>
      </c>
      <c r="H41" s="73">
        <f t="shared" si="3"/>
        <v>31.675772820000006</v>
      </c>
      <c r="I41" s="13">
        <f>F41/6*G41</f>
        <v>5279.2954700000009</v>
      </c>
      <c r="J41" s="23"/>
      <c r="L41" s="19"/>
      <c r="M41" s="20"/>
      <c r="N41" s="21"/>
    </row>
    <row r="42" spans="1:14" ht="15.75" hidden="1" customHeight="1">
      <c r="A42" s="29"/>
      <c r="B42" s="69" t="s">
        <v>102</v>
      </c>
      <c r="C42" s="70" t="s">
        <v>147</v>
      </c>
      <c r="D42" s="69" t="s">
        <v>69</v>
      </c>
      <c r="E42" s="71"/>
      <c r="F42" s="72">
        <v>120</v>
      </c>
      <c r="G42" s="72">
        <v>213.2</v>
      </c>
      <c r="H42" s="73">
        <f t="shared" si="3"/>
        <v>25.584</v>
      </c>
      <c r="I42" s="13">
        <v>0</v>
      </c>
      <c r="J42" s="23"/>
      <c r="L42" s="19"/>
      <c r="M42" s="20"/>
      <c r="N42" s="21"/>
    </row>
    <row r="43" spans="1:14" ht="15.75" customHeight="1">
      <c r="A43" s="29">
        <v>10</v>
      </c>
      <c r="B43" s="69" t="s">
        <v>71</v>
      </c>
      <c r="C43" s="70" t="s">
        <v>29</v>
      </c>
      <c r="D43" s="69" t="s">
        <v>131</v>
      </c>
      <c r="E43" s="72">
        <v>475.06</v>
      </c>
      <c r="F43" s="72">
        <f>SUM(E43*155/1000)</f>
        <v>73.634299999999996</v>
      </c>
      <c r="G43" s="72">
        <v>374.95</v>
      </c>
      <c r="H43" s="73">
        <f t="shared" si="3"/>
        <v>27.609180784999996</v>
      </c>
      <c r="I43" s="13">
        <f>F43/6*G43</f>
        <v>4601.5301308333328</v>
      </c>
      <c r="J43" s="23"/>
      <c r="L43" s="19"/>
      <c r="M43" s="20"/>
      <c r="N43" s="21"/>
    </row>
    <row r="44" spans="1:14" ht="47.25" customHeight="1">
      <c r="A44" s="29">
        <v>11</v>
      </c>
      <c r="B44" s="69" t="s">
        <v>87</v>
      </c>
      <c r="C44" s="70" t="s">
        <v>126</v>
      </c>
      <c r="D44" s="69" t="s">
        <v>148</v>
      </c>
      <c r="E44" s="72">
        <v>40.6</v>
      </c>
      <c r="F44" s="72">
        <f>SUM(E44*35/1000)</f>
        <v>1.421</v>
      </c>
      <c r="G44" s="72">
        <v>6203.7</v>
      </c>
      <c r="H44" s="73">
        <f t="shared" si="3"/>
        <v>8.8154577000000014</v>
      </c>
      <c r="I44" s="13">
        <f>F44/6*G44</f>
        <v>1469.2429500000001</v>
      </c>
      <c r="J44" s="23"/>
      <c r="L44" s="19"/>
      <c r="M44" s="20"/>
      <c r="N44" s="21"/>
    </row>
    <row r="45" spans="1:14" ht="15.75" customHeight="1">
      <c r="A45" s="29">
        <v>12</v>
      </c>
      <c r="B45" s="69" t="s">
        <v>132</v>
      </c>
      <c r="C45" s="70" t="s">
        <v>126</v>
      </c>
      <c r="D45" s="137" t="s">
        <v>284</v>
      </c>
      <c r="E45" s="138">
        <v>167.03</v>
      </c>
      <c r="F45" s="139">
        <f>SUM(E45*15/1000)</f>
        <v>2.5054499999999997</v>
      </c>
      <c r="G45" s="138">
        <v>458.28</v>
      </c>
      <c r="H45" s="140">
        <f t="shared" ref="H45" si="4">SUM(F45*G45/1000)</f>
        <v>1.148197626</v>
      </c>
      <c r="I45" s="13">
        <f>F45/2*G45</f>
        <v>574.09881299999995</v>
      </c>
      <c r="J45" s="23"/>
      <c r="L45" s="19"/>
      <c r="M45" s="20"/>
      <c r="N45" s="21"/>
    </row>
    <row r="46" spans="1:14" ht="15.75" customHeight="1">
      <c r="A46" s="29">
        <v>13</v>
      </c>
      <c r="B46" s="69" t="s">
        <v>73</v>
      </c>
      <c r="C46" s="70" t="s">
        <v>34</v>
      </c>
      <c r="D46" s="69"/>
      <c r="E46" s="71"/>
      <c r="F46" s="72">
        <v>1.2</v>
      </c>
      <c r="G46" s="72">
        <v>853.06</v>
      </c>
      <c r="H46" s="73">
        <f t="shared" si="3"/>
        <v>1.0236719999999999</v>
      </c>
      <c r="I46" s="13">
        <f>F46/6*G46</f>
        <v>170.61199999999997</v>
      </c>
      <c r="J46" s="23"/>
      <c r="L46" s="19"/>
      <c r="M46" s="20"/>
      <c r="N46" s="21"/>
    </row>
    <row r="47" spans="1:14" ht="15.75" hidden="1" customHeight="1">
      <c r="A47" s="122" t="s">
        <v>153</v>
      </c>
      <c r="B47" s="123"/>
      <c r="C47" s="123"/>
      <c r="D47" s="123"/>
      <c r="E47" s="123"/>
      <c r="F47" s="123"/>
      <c r="G47" s="123"/>
      <c r="H47" s="123"/>
      <c r="I47" s="124"/>
      <c r="J47" s="23"/>
      <c r="L47" s="19"/>
      <c r="M47" s="20"/>
      <c r="N47" s="21"/>
    </row>
    <row r="48" spans="1:14" ht="15.75" hidden="1" customHeight="1">
      <c r="A48" s="29"/>
      <c r="B48" s="69" t="s">
        <v>133</v>
      </c>
      <c r="C48" s="70" t="s">
        <v>126</v>
      </c>
      <c r="D48" s="69" t="s">
        <v>42</v>
      </c>
      <c r="E48" s="71">
        <v>1603.6</v>
      </c>
      <c r="F48" s="72">
        <f>SUM(E48*2/1000)</f>
        <v>3.2071999999999998</v>
      </c>
      <c r="G48" s="13">
        <v>908.11</v>
      </c>
      <c r="H48" s="73">
        <f t="shared" ref="H48:H56" si="5">SUM(F48*G48/1000)</f>
        <v>2.9124903919999996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9" t="s">
        <v>35</v>
      </c>
      <c r="C49" s="70" t="s">
        <v>126</v>
      </c>
      <c r="D49" s="69" t="s">
        <v>42</v>
      </c>
      <c r="E49" s="71">
        <v>65</v>
      </c>
      <c r="F49" s="72">
        <f>SUM(E49*2/1000)</f>
        <v>0.13</v>
      </c>
      <c r="G49" s="13">
        <v>619.46</v>
      </c>
      <c r="H49" s="73">
        <f t="shared" si="5"/>
        <v>8.0529800000000012E-2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9" t="s">
        <v>36</v>
      </c>
      <c r="C50" s="70" t="s">
        <v>126</v>
      </c>
      <c r="D50" s="69" t="s">
        <v>42</v>
      </c>
      <c r="E50" s="71">
        <v>1825.8</v>
      </c>
      <c r="F50" s="72">
        <f>SUM(E50*2/1000)</f>
        <v>3.6515999999999997</v>
      </c>
      <c r="G50" s="13">
        <v>619.46</v>
      </c>
      <c r="H50" s="73">
        <f t="shared" si="5"/>
        <v>2.2620201360000003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69" t="s">
        <v>37</v>
      </c>
      <c r="C51" s="70" t="s">
        <v>126</v>
      </c>
      <c r="D51" s="69" t="s">
        <v>42</v>
      </c>
      <c r="E51" s="71">
        <v>3163.96</v>
      </c>
      <c r="F51" s="72">
        <f>SUM(E51*2/1000)</f>
        <v>6.3279199999999998</v>
      </c>
      <c r="G51" s="13">
        <v>648.64</v>
      </c>
      <c r="H51" s="73">
        <f t="shared" si="5"/>
        <v>4.1045420287999992</v>
      </c>
      <c r="I51" s="13">
        <v>0</v>
      </c>
      <c r="J51" s="23"/>
      <c r="L51" s="19"/>
      <c r="M51" s="20"/>
      <c r="N51" s="21"/>
    </row>
    <row r="52" spans="1:22" ht="15.75" hidden="1" customHeight="1">
      <c r="A52" s="29">
        <v>14</v>
      </c>
      <c r="B52" s="69" t="s">
        <v>58</v>
      </c>
      <c r="C52" s="70" t="s">
        <v>126</v>
      </c>
      <c r="D52" s="69" t="s">
        <v>192</v>
      </c>
      <c r="E52" s="71">
        <v>1583</v>
      </c>
      <c r="F52" s="72">
        <f>SUM(E52*5/1000)</f>
        <v>7.915</v>
      </c>
      <c r="G52" s="13">
        <v>1297.28</v>
      </c>
      <c r="H52" s="73">
        <f t="shared" si="5"/>
        <v>10.2679712</v>
      </c>
      <c r="I52" s="13">
        <f>F52/5*G52</f>
        <v>2053.5942399999999</v>
      </c>
      <c r="J52" s="23"/>
      <c r="L52" s="19"/>
      <c r="M52" s="20"/>
      <c r="N52" s="21"/>
    </row>
    <row r="53" spans="1:22" ht="31.5" hidden="1" customHeight="1">
      <c r="A53" s="29"/>
      <c r="B53" s="69" t="s">
        <v>134</v>
      </c>
      <c r="C53" s="70" t="s">
        <v>126</v>
      </c>
      <c r="D53" s="69" t="s">
        <v>42</v>
      </c>
      <c r="E53" s="71">
        <v>1583</v>
      </c>
      <c r="F53" s="72">
        <f>SUM(E53*2/1000)</f>
        <v>3.1659999999999999</v>
      </c>
      <c r="G53" s="13">
        <v>1297.28</v>
      </c>
      <c r="H53" s="73">
        <f t="shared" si="5"/>
        <v>4.1071884799999996</v>
      </c>
      <c r="I53" s="13">
        <v>0</v>
      </c>
      <c r="J53" s="23"/>
      <c r="L53" s="19"/>
      <c r="M53" s="20"/>
      <c r="N53" s="21"/>
    </row>
    <row r="54" spans="1:22" ht="31.5" hidden="1" customHeight="1">
      <c r="A54" s="29"/>
      <c r="B54" s="69" t="s">
        <v>135</v>
      </c>
      <c r="C54" s="70" t="s">
        <v>38</v>
      </c>
      <c r="D54" s="69" t="s">
        <v>42</v>
      </c>
      <c r="E54" s="71">
        <v>25</v>
      </c>
      <c r="F54" s="72">
        <f>SUM(E54*2/100)</f>
        <v>0.5</v>
      </c>
      <c r="G54" s="13">
        <v>2918.89</v>
      </c>
      <c r="H54" s="73">
        <f t="shared" si="5"/>
        <v>1.4594449999999999</v>
      </c>
      <c r="I54" s="13">
        <v>0</v>
      </c>
      <c r="J54" s="23"/>
      <c r="L54" s="19"/>
      <c r="M54" s="20"/>
      <c r="N54" s="21"/>
    </row>
    <row r="55" spans="1:22" ht="15.75" hidden="1" customHeight="1">
      <c r="A55" s="29"/>
      <c r="B55" s="69" t="s">
        <v>39</v>
      </c>
      <c r="C55" s="70" t="s">
        <v>40</v>
      </c>
      <c r="D55" s="69" t="s">
        <v>42</v>
      </c>
      <c r="E55" s="71">
        <v>1</v>
      </c>
      <c r="F55" s="72">
        <v>0.02</v>
      </c>
      <c r="G55" s="13">
        <v>6042.12</v>
      </c>
      <c r="H55" s="73">
        <f t="shared" si="5"/>
        <v>0.1208424</v>
      </c>
      <c r="I55" s="13">
        <v>0</v>
      </c>
      <c r="J55" s="23"/>
      <c r="L55" s="19"/>
      <c r="M55" s="20"/>
      <c r="N55" s="21"/>
    </row>
    <row r="56" spans="1:22" ht="15.75" hidden="1" customHeight="1">
      <c r="A56" s="29">
        <v>15</v>
      </c>
      <c r="B56" s="69" t="s">
        <v>41</v>
      </c>
      <c r="C56" s="70" t="s">
        <v>31</v>
      </c>
      <c r="D56" s="69" t="s">
        <v>74</v>
      </c>
      <c r="E56" s="71">
        <v>36</v>
      </c>
      <c r="F56" s="72">
        <f>SUM(E56)*3</f>
        <v>108</v>
      </c>
      <c r="G56" s="13">
        <v>70.209999999999994</v>
      </c>
      <c r="H56" s="73">
        <f t="shared" si="5"/>
        <v>7.582679999999999</v>
      </c>
      <c r="I56" s="13">
        <f>E56*G56</f>
        <v>2527.56</v>
      </c>
      <c r="J56" s="23"/>
      <c r="L56" s="19"/>
      <c r="M56" s="20"/>
      <c r="N56" s="21"/>
    </row>
    <row r="57" spans="1:22" ht="15.75" customHeight="1">
      <c r="A57" s="122" t="s">
        <v>195</v>
      </c>
      <c r="B57" s="123"/>
      <c r="C57" s="123"/>
      <c r="D57" s="123"/>
      <c r="E57" s="123"/>
      <c r="F57" s="123"/>
      <c r="G57" s="123"/>
      <c r="H57" s="123"/>
      <c r="I57" s="124"/>
      <c r="J57" s="23"/>
      <c r="L57" s="19"/>
      <c r="M57" s="20"/>
      <c r="N57" s="21"/>
    </row>
    <row r="58" spans="1:22" ht="15.75" customHeight="1">
      <c r="A58" s="29"/>
      <c r="B58" s="90" t="s">
        <v>43</v>
      </c>
      <c r="C58" s="70"/>
      <c r="D58" s="69"/>
      <c r="E58" s="71"/>
      <c r="F58" s="72"/>
      <c r="G58" s="72"/>
      <c r="H58" s="73"/>
      <c r="I58" s="13"/>
      <c r="J58" s="23"/>
      <c r="L58" s="19"/>
      <c r="M58" s="20"/>
      <c r="N58" s="21"/>
    </row>
    <row r="59" spans="1:22" ht="31.5" customHeight="1">
      <c r="A59" s="29">
        <v>14</v>
      </c>
      <c r="B59" s="69" t="s">
        <v>149</v>
      </c>
      <c r="C59" s="70" t="s">
        <v>115</v>
      </c>
      <c r="D59" s="69" t="s">
        <v>75</v>
      </c>
      <c r="E59" s="78">
        <v>3.78</v>
      </c>
      <c r="F59" s="13">
        <f>E59*6/100</f>
        <v>0.2268</v>
      </c>
      <c r="G59" s="72">
        <v>1654.04</v>
      </c>
      <c r="H59" s="73">
        <f>SUM(F59*G59/1000)</f>
        <v>0.37513627199999999</v>
      </c>
      <c r="I59" s="13">
        <f>F59/6*G59</f>
        <v>62.522711999999999</v>
      </c>
      <c r="J59" s="23"/>
      <c r="L59" s="19"/>
      <c r="M59" s="20"/>
      <c r="N59" s="21"/>
    </row>
    <row r="60" spans="1:22" ht="31.5" customHeight="1">
      <c r="A60" s="29">
        <v>15</v>
      </c>
      <c r="B60" s="69" t="s">
        <v>137</v>
      </c>
      <c r="C60" s="70" t="s">
        <v>115</v>
      </c>
      <c r="D60" s="69" t="s">
        <v>75</v>
      </c>
      <c r="E60" s="71">
        <v>185.36</v>
      </c>
      <c r="F60" s="72">
        <f>E60*6/100</f>
        <v>11.121600000000001</v>
      </c>
      <c r="G60" s="79">
        <v>1654.04</v>
      </c>
      <c r="H60" s="73">
        <f>F60*G60/1000</f>
        <v>18.395571264000001</v>
      </c>
      <c r="I60" s="13">
        <f>F60/6*G60</f>
        <v>3065.9285440000003</v>
      </c>
      <c r="J60" s="23"/>
      <c r="L60" s="19"/>
    </row>
    <row r="61" spans="1:22" ht="15.75" customHeight="1">
      <c r="A61" s="29">
        <v>16</v>
      </c>
      <c r="B61" s="80" t="s">
        <v>108</v>
      </c>
      <c r="C61" s="70" t="s">
        <v>109</v>
      </c>
      <c r="D61" s="80" t="s">
        <v>42</v>
      </c>
      <c r="E61" s="81">
        <v>5</v>
      </c>
      <c r="F61" s="82">
        <v>10</v>
      </c>
      <c r="G61" s="79">
        <v>198.25</v>
      </c>
      <c r="H61" s="83">
        <v>0.99099999999999999</v>
      </c>
      <c r="I61" s="13">
        <f>F61/2*G61</f>
        <v>991.25</v>
      </c>
      <c r="J61" s="23"/>
      <c r="L61" s="19"/>
    </row>
    <row r="62" spans="1:22" ht="15.75" customHeight="1">
      <c r="A62" s="29"/>
      <c r="B62" s="91" t="s">
        <v>44</v>
      </c>
      <c r="C62" s="84"/>
      <c r="D62" s="80"/>
      <c r="E62" s="81"/>
      <c r="F62" s="82"/>
      <c r="G62" s="85"/>
      <c r="H62" s="83"/>
      <c r="I62" s="13"/>
    </row>
    <row r="63" spans="1:22" ht="15.75" hidden="1" customHeight="1">
      <c r="A63" s="29"/>
      <c r="B63" s="80" t="s">
        <v>45</v>
      </c>
      <c r="C63" s="84" t="s">
        <v>53</v>
      </c>
      <c r="D63" s="80" t="s">
        <v>54</v>
      </c>
      <c r="E63" s="81">
        <v>1752</v>
      </c>
      <c r="F63" s="82">
        <f>E63/100</f>
        <v>17.52</v>
      </c>
      <c r="G63" s="72">
        <v>848.37</v>
      </c>
      <c r="H63" s="83">
        <f>G63*F63/1000</f>
        <v>14.8634424</v>
      </c>
      <c r="I63" s="13">
        <v>0</v>
      </c>
    </row>
    <row r="64" spans="1:22" ht="15.75" customHeight="1">
      <c r="A64" s="29">
        <v>17</v>
      </c>
      <c r="B64" s="80" t="s">
        <v>103</v>
      </c>
      <c r="C64" s="84" t="s">
        <v>25</v>
      </c>
      <c r="D64" s="80" t="s">
        <v>160</v>
      </c>
      <c r="E64" s="81">
        <v>352</v>
      </c>
      <c r="F64" s="82">
        <f>E64*12</f>
        <v>4224</v>
      </c>
      <c r="G64" s="72">
        <v>2.6</v>
      </c>
      <c r="H64" s="83">
        <f>G64*F64/1000</f>
        <v>10.9824</v>
      </c>
      <c r="I64" s="13">
        <f>F64/12*G64</f>
        <v>915.2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29"/>
      <c r="B65" s="91" t="s">
        <v>46</v>
      </c>
      <c r="C65" s="84"/>
      <c r="D65" s="80"/>
      <c r="E65" s="81"/>
      <c r="F65" s="82"/>
      <c r="G65" s="92"/>
      <c r="H65" s="83" t="s">
        <v>143</v>
      </c>
      <c r="I65" s="13"/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29">
        <v>18</v>
      </c>
      <c r="B66" s="14" t="s">
        <v>47</v>
      </c>
      <c r="C66" s="16" t="s">
        <v>136</v>
      </c>
      <c r="D66" s="14" t="s">
        <v>69</v>
      </c>
      <c r="E66" s="18">
        <v>10</v>
      </c>
      <c r="F66" s="72">
        <v>10</v>
      </c>
      <c r="G66" s="13">
        <v>237.74</v>
      </c>
      <c r="H66" s="66">
        <f t="shared" ref="H66:H80" si="6">SUM(F66*G66/1000)</f>
        <v>2.3774000000000002</v>
      </c>
      <c r="I66" s="13">
        <f>G66*4</f>
        <v>950.96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48</v>
      </c>
      <c r="C67" s="16" t="s">
        <v>136</v>
      </c>
      <c r="D67" s="14" t="s">
        <v>69</v>
      </c>
      <c r="E67" s="18">
        <v>5</v>
      </c>
      <c r="F67" s="72">
        <v>5</v>
      </c>
      <c r="G67" s="13">
        <v>81.510000000000005</v>
      </c>
      <c r="H67" s="66">
        <f t="shared" si="6"/>
        <v>0.40755000000000002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10"/>
      <c r="S67" s="110"/>
      <c r="T67" s="110"/>
      <c r="U67" s="110"/>
    </row>
    <row r="68" spans="1:21" ht="15.75" hidden="1" customHeight="1">
      <c r="A68" s="29"/>
      <c r="B68" s="14" t="s">
        <v>49</v>
      </c>
      <c r="C68" s="16" t="s">
        <v>138</v>
      </c>
      <c r="D68" s="14" t="s">
        <v>54</v>
      </c>
      <c r="E68" s="71">
        <v>23808</v>
      </c>
      <c r="F68" s="13">
        <f>SUM(E68/100)</f>
        <v>238.08</v>
      </c>
      <c r="G68" s="13">
        <v>226.79</v>
      </c>
      <c r="H68" s="66">
        <f t="shared" si="6"/>
        <v>53.994163200000003</v>
      </c>
      <c r="I68" s="13">
        <f>F68*G68</f>
        <v>53994.163200000003</v>
      </c>
    </row>
    <row r="69" spans="1:21" ht="15.75" hidden="1" customHeight="1">
      <c r="A69" s="29"/>
      <c r="B69" s="14" t="s">
        <v>50</v>
      </c>
      <c r="C69" s="16" t="s">
        <v>139</v>
      </c>
      <c r="D69" s="14"/>
      <c r="E69" s="71">
        <v>23808</v>
      </c>
      <c r="F69" s="13">
        <f>SUM(E69/1000)</f>
        <v>23.808</v>
      </c>
      <c r="G69" s="13">
        <v>176.61</v>
      </c>
      <c r="H69" s="66">
        <f t="shared" si="6"/>
        <v>4.2047308800000005</v>
      </c>
      <c r="I69" s="13">
        <f t="shared" ref="I69:I73" si="7">F69*G69</f>
        <v>4204.7308800000001</v>
      </c>
    </row>
    <row r="70" spans="1:21" ht="15.75" hidden="1" customHeight="1">
      <c r="A70" s="29"/>
      <c r="B70" s="14" t="s">
        <v>51</v>
      </c>
      <c r="C70" s="16" t="s">
        <v>80</v>
      </c>
      <c r="D70" s="14" t="s">
        <v>54</v>
      </c>
      <c r="E70" s="71">
        <v>3810</v>
      </c>
      <c r="F70" s="13">
        <f>SUM(E70/100)</f>
        <v>38.1</v>
      </c>
      <c r="G70" s="13">
        <v>2217.7800000000002</v>
      </c>
      <c r="H70" s="66">
        <f t="shared" si="6"/>
        <v>84.49741800000001</v>
      </c>
      <c r="I70" s="13">
        <f t="shared" si="7"/>
        <v>84497.418000000005</v>
      </c>
    </row>
    <row r="71" spans="1:21" ht="15.75" hidden="1" customHeight="1">
      <c r="A71" s="29"/>
      <c r="B71" s="86" t="s">
        <v>140</v>
      </c>
      <c r="C71" s="16" t="s">
        <v>34</v>
      </c>
      <c r="D71" s="14"/>
      <c r="E71" s="71">
        <v>23.4</v>
      </c>
      <c r="F71" s="13">
        <f>SUM(E71)</f>
        <v>23.4</v>
      </c>
      <c r="G71" s="13">
        <v>42.67</v>
      </c>
      <c r="H71" s="66">
        <f t="shared" si="6"/>
        <v>0.99847799999999998</v>
      </c>
      <c r="I71" s="13">
        <f t="shared" si="7"/>
        <v>998.47799999999995</v>
      </c>
    </row>
    <row r="72" spans="1:21" ht="15.75" hidden="1" customHeight="1">
      <c r="A72" s="29"/>
      <c r="B72" s="86" t="s">
        <v>150</v>
      </c>
      <c r="C72" s="16" t="s">
        <v>34</v>
      </c>
      <c r="D72" s="14"/>
      <c r="E72" s="71">
        <v>23.4</v>
      </c>
      <c r="F72" s="13">
        <f>SUM(E72)</f>
        <v>23.4</v>
      </c>
      <c r="G72" s="13">
        <v>39.81</v>
      </c>
      <c r="H72" s="66">
        <f t="shared" si="6"/>
        <v>0.93155399999999999</v>
      </c>
      <c r="I72" s="13">
        <f t="shared" si="7"/>
        <v>931.55399999999997</v>
      </c>
    </row>
    <row r="73" spans="1:21" ht="15.75" hidden="1" customHeight="1">
      <c r="A73" s="29"/>
      <c r="B73" s="14" t="s">
        <v>59</v>
      </c>
      <c r="C73" s="16" t="s">
        <v>60</v>
      </c>
      <c r="D73" s="14" t="s">
        <v>54</v>
      </c>
      <c r="E73" s="18">
        <v>5</v>
      </c>
      <c r="F73" s="72">
        <f>SUM(E73)</f>
        <v>5</v>
      </c>
      <c r="G73" s="13">
        <v>53.32</v>
      </c>
      <c r="H73" s="66">
        <f t="shared" si="6"/>
        <v>0.2666</v>
      </c>
      <c r="I73" s="13">
        <f t="shared" si="7"/>
        <v>266.60000000000002</v>
      </c>
    </row>
    <row r="74" spans="1:21" ht="15.75" customHeight="1">
      <c r="A74" s="29">
        <v>19</v>
      </c>
      <c r="B74" s="14" t="s">
        <v>151</v>
      </c>
      <c r="C74" s="16" t="s">
        <v>60</v>
      </c>
      <c r="D74" s="14" t="s">
        <v>30</v>
      </c>
      <c r="E74" s="18">
        <v>1</v>
      </c>
      <c r="F74" s="59">
        <v>12</v>
      </c>
      <c r="G74" s="13">
        <v>711</v>
      </c>
      <c r="H74" s="66">
        <v>8.5310000000000006</v>
      </c>
      <c r="I74" s="13">
        <f>F74/12*G74</f>
        <v>711</v>
      </c>
    </row>
    <row r="75" spans="1:21" ht="15.75" customHeight="1">
      <c r="A75" s="29"/>
      <c r="B75" s="54" t="s">
        <v>76</v>
      </c>
      <c r="C75" s="16"/>
      <c r="D75" s="14"/>
      <c r="E75" s="18"/>
      <c r="F75" s="13"/>
      <c r="G75" s="13"/>
      <c r="H75" s="66" t="s">
        <v>143</v>
      </c>
      <c r="I75" s="13"/>
    </row>
    <row r="76" spans="1:21" ht="15.75" customHeight="1">
      <c r="A76" s="29">
        <v>20</v>
      </c>
      <c r="B76" s="14" t="s">
        <v>77</v>
      </c>
      <c r="C76" s="16" t="s">
        <v>32</v>
      </c>
      <c r="D76" s="14" t="s">
        <v>69</v>
      </c>
      <c r="E76" s="18">
        <v>2</v>
      </c>
      <c r="F76" s="59">
        <v>0.2</v>
      </c>
      <c r="G76" s="13">
        <v>536.23</v>
      </c>
      <c r="H76" s="66">
        <v>0.107</v>
      </c>
      <c r="I76" s="13">
        <f>G76*0.4</f>
        <v>214.49200000000002</v>
      </c>
    </row>
    <row r="77" spans="1:21" ht="15.75" hidden="1" customHeight="1">
      <c r="A77" s="29"/>
      <c r="B77" s="14" t="s">
        <v>94</v>
      </c>
      <c r="C77" s="16" t="s">
        <v>31</v>
      </c>
      <c r="D77" s="14"/>
      <c r="E77" s="18">
        <v>1</v>
      </c>
      <c r="F77" s="72">
        <f>SUM(E77)</f>
        <v>1</v>
      </c>
      <c r="G77" s="13">
        <v>383.25</v>
      </c>
      <c r="H77" s="66">
        <f t="shared" si="6"/>
        <v>0.38324999999999998</v>
      </c>
      <c r="I77" s="13">
        <v>0</v>
      </c>
    </row>
    <row r="78" spans="1:21" ht="15.75" hidden="1" customHeight="1">
      <c r="A78" s="29"/>
      <c r="B78" s="14" t="s">
        <v>78</v>
      </c>
      <c r="C78" s="16" t="s">
        <v>31</v>
      </c>
      <c r="D78" s="14"/>
      <c r="E78" s="18">
        <v>1</v>
      </c>
      <c r="F78" s="13">
        <v>1</v>
      </c>
      <c r="G78" s="13">
        <v>911.85</v>
      </c>
      <c r="H78" s="66">
        <f>F78*G78/1000</f>
        <v>0.91185000000000005</v>
      </c>
      <c r="I78" s="13">
        <v>0</v>
      </c>
    </row>
    <row r="79" spans="1:21" ht="15.75" hidden="1" customHeight="1">
      <c r="A79" s="29"/>
      <c r="B79" s="87" t="s">
        <v>79</v>
      </c>
      <c r="C79" s="16"/>
      <c r="D79" s="14"/>
      <c r="E79" s="18"/>
      <c r="F79" s="13"/>
      <c r="G79" s="13" t="s">
        <v>143</v>
      </c>
      <c r="H79" s="66" t="s">
        <v>143</v>
      </c>
      <c r="I79" s="13"/>
    </row>
    <row r="80" spans="1:21" ht="15.75" hidden="1" customHeight="1">
      <c r="A80" s="29"/>
      <c r="B80" s="42" t="s">
        <v>144</v>
      </c>
      <c r="C80" s="16" t="s">
        <v>80</v>
      </c>
      <c r="D80" s="14"/>
      <c r="E80" s="18"/>
      <c r="F80" s="13">
        <v>0.6</v>
      </c>
      <c r="G80" s="13">
        <v>2949.85</v>
      </c>
      <c r="H80" s="66">
        <f t="shared" si="6"/>
        <v>1.7699099999999999</v>
      </c>
      <c r="I80" s="13">
        <v>0</v>
      </c>
      <c r="J80" s="5"/>
      <c r="K80" s="5"/>
      <c r="L80" s="5"/>
      <c r="M80" s="5"/>
      <c r="N80" s="5"/>
      <c r="O80" s="5"/>
      <c r="P80" s="5"/>
      <c r="Q80" s="5"/>
      <c r="R80" s="53"/>
      <c r="S80" s="53"/>
      <c r="T80" s="53"/>
      <c r="U80" s="53"/>
    </row>
    <row r="81" spans="1:21" ht="15.75" hidden="1" customHeight="1">
      <c r="A81" s="43"/>
      <c r="B81" s="54" t="s">
        <v>141</v>
      </c>
      <c r="C81" s="54"/>
      <c r="D81" s="54"/>
      <c r="E81" s="54"/>
      <c r="F81" s="54"/>
      <c r="G81" s="54"/>
      <c r="H81" s="54"/>
      <c r="I81" s="18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29"/>
      <c r="B82" s="69" t="s">
        <v>142</v>
      </c>
      <c r="C82" s="16"/>
      <c r="D82" s="14"/>
      <c r="E82" s="60"/>
      <c r="F82" s="13">
        <v>1</v>
      </c>
      <c r="G82" s="13">
        <v>21062.799999999999</v>
      </c>
      <c r="H82" s="66">
        <f>G82*F82/1000</f>
        <v>21.062799999999999</v>
      </c>
      <c r="I82" s="13">
        <v>0</v>
      </c>
      <c r="J82" s="5"/>
      <c r="K82" s="5"/>
      <c r="L82" s="5"/>
      <c r="M82" s="5"/>
      <c r="N82" s="5"/>
      <c r="O82" s="5"/>
      <c r="P82" s="5"/>
      <c r="Q82" s="5"/>
      <c r="R82" s="53"/>
      <c r="S82" s="53"/>
      <c r="T82" s="53"/>
      <c r="U82" s="53"/>
    </row>
    <row r="83" spans="1:21" ht="15.75" customHeight="1">
      <c r="A83" s="111" t="s">
        <v>196</v>
      </c>
      <c r="B83" s="112"/>
      <c r="C83" s="112"/>
      <c r="D83" s="112"/>
      <c r="E83" s="112"/>
      <c r="F83" s="112"/>
      <c r="G83" s="112"/>
      <c r="H83" s="112"/>
      <c r="I83" s="113"/>
    </row>
    <row r="84" spans="1:21" ht="15.75" customHeight="1">
      <c r="A84" s="29">
        <v>21</v>
      </c>
      <c r="B84" s="69" t="s">
        <v>145</v>
      </c>
      <c r="C84" s="16" t="s">
        <v>56</v>
      </c>
      <c r="D84" s="88" t="s">
        <v>57</v>
      </c>
      <c r="E84" s="13">
        <v>5816.5</v>
      </c>
      <c r="F84" s="13">
        <f>SUM(E84*12)</f>
        <v>69798</v>
      </c>
      <c r="G84" s="13">
        <v>2.54</v>
      </c>
      <c r="H84" s="66">
        <f>SUM(F84*G84/1000)</f>
        <v>177.28692000000001</v>
      </c>
      <c r="I84" s="13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53"/>
      <c r="S84" s="53"/>
      <c r="T84" s="53"/>
      <c r="U84" s="53"/>
    </row>
    <row r="85" spans="1:21" ht="31.5" customHeight="1">
      <c r="A85" s="29">
        <v>22</v>
      </c>
      <c r="B85" s="14" t="s">
        <v>81</v>
      </c>
      <c r="C85" s="16"/>
      <c r="D85" s="88" t="s">
        <v>57</v>
      </c>
      <c r="E85" s="71">
        <f>E84</f>
        <v>5816.5</v>
      </c>
      <c r="F85" s="13">
        <f>E85*12</f>
        <v>69798</v>
      </c>
      <c r="G85" s="13">
        <v>2.0499999999999998</v>
      </c>
      <c r="H85" s="66">
        <f>F85*G85/1000</f>
        <v>143.08589999999998</v>
      </c>
      <c r="I85" s="13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53"/>
      <c r="S85" s="53"/>
      <c r="T85" s="53"/>
      <c r="U85" s="53"/>
    </row>
    <row r="86" spans="1:21" ht="15.75" customHeight="1">
      <c r="A86" s="43"/>
      <c r="B86" s="34" t="s">
        <v>84</v>
      </c>
      <c r="C86" s="35"/>
      <c r="D86" s="15"/>
      <c r="E86" s="15"/>
      <c r="F86" s="15"/>
      <c r="G86" s="18"/>
      <c r="H86" s="18"/>
      <c r="I86" s="31">
        <f>I16+I17+I18+I20+I21+I27+I28+I40+I41+I43+I44+I45+I46+I59+I60+I61+I64+I66+I74+I76+I84+I85</f>
        <v>101665.89025383332</v>
      </c>
    </row>
    <row r="87" spans="1:21" ht="15.75" customHeight="1">
      <c r="A87" s="125" t="s">
        <v>62</v>
      </c>
      <c r="B87" s="126"/>
      <c r="C87" s="126"/>
      <c r="D87" s="126"/>
      <c r="E87" s="126"/>
      <c r="F87" s="126"/>
      <c r="G87" s="126"/>
      <c r="H87" s="126"/>
      <c r="I87" s="127"/>
    </row>
    <row r="88" spans="1:21" ht="15.75" customHeight="1">
      <c r="A88" s="29">
        <v>23</v>
      </c>
      <c r="B88" s="46" t="s">
        <v>86</v>
      </c>
      <c r="C88" s="65" t="s">
        <v>136</v>
      </c>
      <c r="D88" s="42"/>
      <c r="E88" s="13"/>
      <c r="F88" s="13">
        <v>26</v>
      </c>
      <c r="G88" s="13">
        <v>189.88</v>
      </c>
      <c r="H88" s="66">
        <f t="shared" ref="H88" si="8">G88*F88/1000</f>
        <v>4.9368800000000004</v>
      </c>
      <c r="I88" s="47">
        <f>G88*7</f>
        <v>1329.1599999999999</v>
      </c>
    </row>
    <row r="89" spans="1:21" ht="15.75" customHeight="1">
      <c r="A89" s="29">
        <v>24</v>
      </c>
      <c r="B89" s="67" t="s">
        <v>212</v>
      </c>
      <c r="C89" s="68" t="s">
        <v>98</v>
      </c>
      <c r="D89" s="42"/>
      <c r="E89" s="13"/>
      <c r="F89" s="13">
        <f>92/3</f>
        <v>30.666666666666668</v>
      </c>
      <c r="G89" s="13">
        <v>1120.8900000000001</v>
      </c>
      <c r="H89" s="66">
        <f>G89*F89/1000</f>
        <v>34.373960000000004</v>
      </c>
      <c r="I89" s="47">
        <f>G89*((15+15+16)/3)</f>
        <v>17186.980000000003</v>
      </c>
    </row>
    <row r="90" spans="1:21" ht="15.75" customHeight="1">
      <c r="A90" s="29">
        <v>25</v>
      </c>
      <c r="B90" s="46" t="s">
        <v>162</v>
      </c>
      <c r="C90" s="65" t="s">
        <v>88</v>
      </c>
      <c r="D90" s="42"/>
      <c r="E90" s="13"/>
      <c r="F90" s="13">
        <v>10</v>
      </c>
      <c r="G90" s="13">
        <v>195.85</v>
      </c>
      <c r="H90" s="66">
        <f>G90*F90/1000</f>
        <v>1.9584999999999999</v>
      </c>
      <c r="I90" s="47">
        <f>G90</f>
        <v>195.85</v>
      </c>
    </row>
    <row r="91" spans="1:21" ht="31.5" customHeight="1">
      <c r="A91" s="29">
        <v>26</v>
      </c>
      <c r="B91" s="46" t="s">
        <v>214</v>
      </c>
      <c r="C91" s="65" t="s">
        <v>99</v>
      </c>
      <c r="D91" s="42"/>
      <c r="E91" s="13"/>
      <c r="F91" s="13">
        <v>1</v>
      </c>
      <c r="G91" s="13">
        <v>803.54</v>
      </c>
      <c r="H91" s="66">
        <f t="shared" ref="H91" si="9">G91*F91/1000</f>
        <v>0.80353999999999992</v>
      </c>
      <c r="I91" s="47">
        <f>G91</f>
        <v>803.54</v>
      </c>
    </row>
    <row r="92" spans="1:21" ht="31.5" customHeight="1">
      <c r="A92" s="29">
        <v>27</v>
      </c>
      <c r="B92" s="46" t="s">
        <v>95</v>
      </c>
      <c r="C92" s="65" t="s">
        <v>99</v>
      </c>
      <c r="D92" s="42"/>
      <c r="E92" s="13"/>
      <c r="F92" s="13">
        <v>2</v>
      </c>
      <c r="G92" s="13">
        <v>589.84</v>
      </c>
      <c r="H92" s="66">
        <f>G92*F92/1000</f>
        <v>1.1796800000000001</v>
      </c>
      <c r="I92" s="47">
        <f>G92*2</f>
        <v>1179.68</v>
      </c>
    </row>
    <row r="93" spans="1:21" ht="31.5" customHeight="1">
      <c r="A93" s="29">
        <v>28</v>
      </c>
      <c r="B93" s="46" t="s">
        <v>215</v>
      </c>
      <c r="C93" s="65" t="s">
        <v>99</v>
      </c>
      <c r="D93" s="14"/>
      <c r="E93" s="18"/>
      <c r="F93" s="13">
        <v>1</v>
      </c>
      <c r="G93" s="13">
        <v>666.24</v>
      </c>
      <c r="H93" s="66">
        <f t="shared" ref="H93:H108" si="10">G93*F93/1000</f>
        <v>0.66624000000000005</v>
      </c>
      <c r="I93" s="47">
        <f>G93</f>
        <v>666.24</v>
      </c>
    </row>
    <row r="94" spans="1:21" ht="31.5" customHeight="1">
      <c r="A94" s="29">
        <v>29</v>
      </c>
      <c r="B94" s="46" t="s">
        <v>216</v>
      </c>
      <c r="C94" s="65" t="s">
        <v>99</v>
      </c>
      <c r="D94" s="42"/>
      <c r="E94" s="13"/>
      <c r="F94" s="13">
        <v>54</v>
      </c>
      <c r="G94" s="13">
        <v>1046.06</v>
      </c>
      <c r="H94" s="66">
        <f t="shared" si="10"/>
        <v>56.48724</v>
      </c>
      <c r="I94" s="47">
        <f>G94*(7+13+28)</f>
        <v>50210.879999999997</v>
      </c>
    </row>
    <row r="95" spans="1:21" ht="15.75" customHeight="1">
      <c r="A95" s="29">
        <v>30</v>
      </c>
      <c r="B95" s="46" t="s">
        <v>230</v>
      </c>
      <c r="C95" s="65" t="s">
        <v>136</v>
      </c>
      <c r="D95" s="42"/>
      <c r="E95" s="13"/>
      <c r="F95" s="13">
        <v>2</v>
      </c>
      <c r="G95" s="13">
        <v>22</v>
      </c>
      <c r="H95" s="66">
        <f t="shared" si="10"/>
        <v>4.3999999999999997E-2</v>
      </c>
      <c r="I95" s="47">
        <f>G95*2</f>
        <v>44</v>
      </c>
    </row>
    <row r="96" spans="1:21" ht="15.75" customHeight="1">
      <c r="A96" s="29">
        <v>31</v>
      </c>
      <c r="B96" s="46" t="s">
        <v>217</v>
      </c>
      <c r="C96" s="65" t="s">
        <v>136</v>
      </c>
      <c r="D96" s="42"/>
      <c r="E96" s="13"/>
      <c r="F96" s="13">
        <v>3</v>
      </c>
      <c r="G96" s="13">
        <v>62</v>
      </c>
      <c r="H96" s="66">
        <f t="shared" si="10"/>
        <v>0.186</v>
      </c>
      <c r="I96" s="47">
        <f>G96*(1+2)</f>
        <v>186</v>
      </c>
    </row>
    <row r="97" spans="1:9" ht="15.75" customHeight="1">
      <c r="A97" s="29">
        <v>32</v>
      </c>
      <c r="B97" s="46" t="s">
        <v>179</v>
      </c>
      <c r="C97" s="65" t="s">
        <v>136</v>
      </c>
      <c r="D97" s="42"/>
      <c r="E97" s="13"/>
      <c r="F97" s="13">
        <v>3</v>
      </c>
      <c r="G97" s="13">
        <v>118</v>
      </c>
      <c r="H97" s="66">
        <f t="shared" si="10"/>
        <v>0.35399999999999998</v>
      </c>
      <c r="I97" s="47">
        <f t="shared" ref="I97" si="11">G97*2</f>
        <v>236</v>
      </c>
    </row>
    <row r="98" spans="1:9" ht="15.75" customHeight="1">
      <c r="A98" s="29">
        <v>33</v>
      </c>
      <c r="B98" s="46" t="s">
        <v>218</v>
      </c>
      <c r="C98" s="65" t="s">
        <v>136</v>
      </c>
      <c r="D98" s="14"/>
      <c r="E98" s="18"/>
      <c r="F98" s="13">
        <v>15</v>
      </c>
      <c r="G98" s="13">
        <v>140</v>
      </c>
      <c r="H98" s="66">
        <f t="shared" si="10"/>
        <v>2.1</v>
      </c>
      <c r="I98" s="47">
        <f>G98*(4+3+1+4)</f>
        <v>1680</v>
      </c>
    </row>
    <row r="99" spans="1:9" ht="15.75" customHeight="1">
      <c r="A99" s="29">
        <v>34</v>
      </c>
      <c r="B99" s="46" t="s">
        <v>219</v>
      </c>
      <c r="C99" s="65" t="s">
        <v>136</v>
      </c>
      <c r="D99" s="42"/>
      <c r="E99" s="13"/>
      <c r="F99" s="13">
        <v>6</v>
      </c>
      <c r="G99" s="13">
        <v>63</v>
      </c>
      <c r="H99" s="66">
        <f t="shared" si="10"/>
        <v>0.378</v>
      </c>
      <c r="I99" s="47">
        <f>G99*(1+2+2)</f>
        <v>315</v>
      </c>
    </row>
    <row r="100" spans="1:9" ht="15.75" customHeight="1">
      <c r="A100" s="29">
        <v>35</v>
      </c>
      <c r="B100" s="46" t="s">
        <v>220</v>
      </c>
      <c r="C100" s="65" t="s">
        <v>136</v>
      </c>
      <c r="D100" s="42"/>
      <c r="E100" s="13"/>
      <c r="F100" s="13">
        <v>11</v>
      </c>
      <c r="G100" s="13">
        <v>61</v>
      </c>
      <c r="H100" s="66">
        <f t="shared" si="10"/>
        <v>0.67100000000000004</v>
      </c>
      <c r="I100" s="47">
        <f>G100*(2+6+3)</f>
        <v>671</v>
      </c>
    </row>
    <row r="101" spans="1:9" ht="31.5" customHeight="1">
      <c r="A101" s="29">
        <v>36</v>
      </c>
      <c r="B101" s="46" t="s">
        <v>221</v>
      </c>
      <c r="C101" s="65" t="s">
        <v>222</v>
      </c>
      <c r="D101" s="42"/>
      <c r="E101" s="13"/>
      <c r="F101" s="13">
        <v>1</v>
      </c>
      <c r="G101" s="13">
        <v>663.38</v>
      </c>
      <c r="H101" s="66">
        <f t="shared" si="10"/>
        <v>0.66337999999999997</v>
      </c>
      <c r="I101" s="47">
        <f>G101</f>
        <v>663.38</v>
      </c>
    </row>
    <row r="102" spans="1:9" ht="15.75" customHeight="1">
      <c r="A102" s="29">
        <v>37</v>
      </c>
      <c r="B102" s="46" t="s">
        <v>223</v>
      </c>
      <c r="C102" s="65" t="s">
        <v>136</v>
      </c>
      <c r="D102" s="42"/>
      <c r="E102" s="13"/>
      <c r="F102" s="13">
        <v>2</v>
      </c>
      <c r="G102" s="13">
        <v>120</v>
      </c>
      <c r="H102" s="66">
        <f t="shared" si="10"/>
        <v>0.24</v>
      </c>
      <c r="I102" s="47">
        <f>G102*2</f>
        <v>240</v>
      </c>
    </row>
    <row r="103" spans="1:9" ht="15.75" customHeight="1">
      <c r="A103" s="29">
        <v>38</v>
      </c>
      <c r="B103" s="46" t="s">
        <v>224</v>
      </c>
      <c r="C103" s="65" t="s">
        <v>136</v>
      </c>
      <c r="D103" s="42"/>
      <c r="E103" s="13"/>
      <c r="F103" s="13">
        <v>5</v>
      </c>
      <c r="G103" s="13">
        <v>40</v>
      </c>
      <c r="H103" s="66">
        <f t="shared" si="10"/>
        <v>0.2</v>
      </c>
      <c r="I103" s="47">
        <f>G103*3</f>
        <v>120</v>
      </c>
    </row>
    <row r="104" spans="1:9" ht="15.75" customHeight="1">
      <c r="A104" s="29">
        <v>39</v>
      </c>
      <c r="B104" s="46" t="s">
        <v>225</v>
      </c>
      <c r="C104" s="65" t="s">
        <v>136</v>
      </c>
      <c r="D104" s="42"/>
      <c r="E104" s="13"/>
      <c r="F104" s="13">
        <v>7</v>
      </c>
      <c r="G104" s="13">
        <v>112</v>
      </c>
      <c r="H104" s="66">
        <f t="shared" si="10"/>
        <v>0.78400000000000003</v>
      </c>
      <c r="I104" s="47">
        <f>G104*(1+4)</f>
        <v>560</v>
      </c>
    </row>
    <row r="105" spans="1:9" ht="31.5" customHeight="1">
      <c r="A105" s="29">
        <v>40</v>
      </c>
      <c r="B105" s="46" t="s">
        <v>231</v>
      </c>
      <c r="C105" s="65" t="s">
        <v>99</v>
      </c>
      <c r="D105" s="42"/>
      <c r="E105" s="13"/>
      <c r="F105" s="13">
        <v>2</v>
      </c>
      <c r="G105" s="13">
        <v>727.73</v>
      </c>
      <c r="H105" s="66">
        <f t="shared" si="10"/>
        <v>1.45546</v>
      </c>
      <c r="I105" s="47">
        <f>G105*2</f>
        <v>1455.46</v>
      </c>
    </row>
    <row r="106" spans="1:9" ht="31.5" customHeight="1">
      <c r="A106" s="29">
        <v>41</v>
      </c>
      <c r="B106" s="46" t="s">
        <v>232</v>
      </c>
      <c r="C106" s="65" t="s">
        <v>99</v>
      </c>
      <c r="D106" s="42"/>
      <c r="E106" s="13"/>
      <c r="F106" s="13">
        <v>4</v>
      </c>
      <c r="G106" s="13">
        <v>671.73</v>
      </c>
      <c r="H106" s="66">
        <f t="shared" si="10"/>
        <v>2.6869200000000002</v>
      </c>
      <c r="I106" s="47">
        <f>G106*4</f>
        <v>2686.92</v>
      </c>
    </row>
    <row r="107" spans="1:9" ht="15.75" customHeight="1">
      <c r="A107" s="29">
        <v>42</v>
      </c>
      <c r="B107" s="46" t="s">
        <v>233</v>
      </c>
      <c r="C107" s="65" t="s">
        <v>136</v>
      </c>
      <c r="D107" s="42"/>
      <c r="E107" s="13"/>
      <c r="F107" s="13">
        <v>1</v>
      </c>
      <c r="G107" s="13">
        <v>82</v>
      </c>
      <c r="H107" s="66">
        <f t="shared" si="10"/>
        <v>8.2000000000000003E-2</v>
      </c>
      <c r="I107" s="47">
        <f>G107</f>
        <v>82</v>
      </c>
    </row>
    <row r="108" spans="1:9" ht="15.75" customHeight="1">
      <c r="A108" s="29">
        <v>43</v>
      </c>
      <c r="B108" s="46" t="s">
        <v>226</v>
      </c>
      <c r="C108" s="65" t="s">
        <v>136</v>
      </c>
      <c r="D108" s="14"/>
      <c r="E108" s="18"/>
      <c r="F108" s="13">
        <v>2</v>
      </c>
      <c r="G108" s="13">
        <v>70</v>
      </c>
      <c r="H108" s="66">
        <f t="shared" si="10"/>
        <v>0.14000000000000001</v>
      </c>
      <c r="I108" s="47">
        <f t="shared" ref="I108:I111" si="12">G108</f>
        <v>70</v>
      </c>
    </row>
    <row r="109" spans="1:9" ht="31.5" customHeight="1">
      <c r="A109" s="29">
        <v>44</v>
      </c>
      <c r="B109" s="46" t="s">
        <v>83</v>
      </c>
      <c r="C109" s="65" t="s">
        <v>136</v>
      </c>
      <c r="D109" s="42"/>
      <c r="E109" s="13"/>
      <c r="F109" s="13">
        <v>4</v>
      </c>
      <c r="G109" s="13">
        <v>83.36</v>
      </c>
      <c r="H109" s="66">
        <f>G109*F109/1000</f>
        <v>0.33344000000000001</v>
      </c>
      <c r="I109" s="47">
        <f t="shared" si="12"/>
        <v>83.36</v>
      </c>
    </row>
    <row r="110" spans="1:9" ht="15.75" customHeight="1">
      <c r="A110" s="29">
        <v>45</v>
      </c>
      <c r="B110" s="46" t="s">
        <v>227</v>
      </c>
      <c r="C110" s="65" t="s">
        <v>136</v>
      </c>
      <c r="D110" s="42"/>
      <c r="E110" s="13"/>
      <c r="F110" s="13">
        <v>4</v>
      </c>
      <c r="G110" s="13">
        <v>157.72999999999999</v>
      </c>
      <c r="H110" s="66">
        <f>G110*F110/1000</f>
        <v>0.63091999999999993</v>
      </c>
      <c r="I110" s="47">
        <f>G110*4</f>
        <v>630.91999999999996</v>
      </c>
    </row>
    <row r="111" spans="1:9" ht="15.75" customHeight="1">
      <c r="A111" s="29">
        <v>46</v>
      </c>
      <c r="B111" s="64" t="s">
        <v>228</v>
      </c>
      <c r="C111" s="29" t="s">
        <v>229</v>
      </c>
      <c r="D111" s="89"/>
      <c r="E111" s="13"/>
      <c r="F111" s="13">
        <v>1</v>
      </c>
      <c r="G111" s="13">
        <v>402.59</v>
      </c>
      <c r="H111" s="66">
        <f>G111*F111/1000</f>
        <v>0.40258999999999995</v>
      </c>
      <c r="I111" s="47">
        <f t="shared" si="12"/>
        <v>402.59</v>
      </c>
    </row>
    <row r="112" spans="1:9" ht="15.75" customHeight="1">
      <c r="A112" s="29"/>
      <c r="B112" s="40" t="s">
        <v>52</v>
      </c>
      <c r="C112" s="36"/>
      <c r="D112" s="44"/>
      <c r="E112" s="36">
        <v>1</v>
      </c>
      <c r="F112" s="36"/>
      <c r="G112" s="36"/>
      <c r="H112" s="36"/>
      <c r="I112" s="31">
        <f>SUM(I88:I111)</f>
        <v>81698.960000000006</v>
      </c>
    </row>
    <row r="113" spans="1:9" ht="15.75" customHeight="1">
      <c r="A113" s="29"/>
      <c r="B113" s="42" t="s">
        <v>82</v>
      </c>
      <c r="C113" s="15"/>
      <c r="D113" s="15"/>
      <c r="E113" s="37"/>
      <c r="F113" s="37"/>
      <c r="G113" s="38"/>
      <c r="H113" s="38"/>
      <c r="I113" s="17">
        <v>0</v>
      </c>
    </row>
    <row r="114" spans="1:9" ht="15.75" customHeight="1">
      <c r="A114" s="45"/>
      <c r="B114" s="41" t="s">
        <v>210</v>
      </c>
      <c r="C114" s="32"/>
      <c r="D114" s="32"/>
      <c r="E114" s="32"/>
      <c r="F114" s="32"/>
      <c r="G114" s="32"/>
      <c r="H114" s="32"/>
      <c r="I114" s="39">
        <f>I86+I112</f>
        <v>183364.85025383334</v>
      </c>
    </row>
    <row r="115" spans="1:9" ht="15.75" customHeight="1">
      <c r="A115" s="128" t="s">
        <v>261</v>
      </c>
      <c r="B115" s="128"/>
      <c r="C115" s="128"/>
      <c r="D115" s="128"/>
      <c r="E115" s="128"/>
      <c r="F115" s="128"/>
      <c r="G115" s="128"/>
      <c r="H115" s="128"/>
      <c r="I115" s="128"/>
    </row>
    <row r="116" spans="1:9" ht="15.75" customHeight="1">
      <c r="A116" s="57"/>
      <c r="B116" s="129" t="s">
        <v>262</v>
      </c>
      <c r="C116" s="129"/>
      <c r="D116" s="129"/>
      <c r="E116" s="129"/>
      <c r="F116" s="129"/>
      <c r="G116" s="129"/>
      <c r="H116" s="63"/>
      <c r="I116" s="3"/>
    </row>
    <row r="117" spans="1:9" ht="15.75" customHeight="1">
      <c r="A117" s="53"/>
      <c r="B117" s="130" t="s">
        <v>6</v>
      </c>
      <c r="C117" s="130"/>
      <c r="D117" s="130"/>
      <c r="E117" s="130"/>
      <c r="F117" s="130"/>
      <c r="G117" s="130"/>
      <c r="H117" s="24"/>
      <c r="I117" s="5"/>
    </row>
    <row r="118" spans="1:9" ht="15.75" customHeight="1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ht="15.75" customHeight="1">
      <c r="A119" s="131" t="s">
        <v>7</v>
      </c>
      <c r="B119" s="131"/>
      <c r="C119" s="131"/>
      <c r="D119" s="131"/>
      <c r="E119" s="131"/>
      <c r="F119" s="131"/>
      <c r="G119" s="131"/>
      <c r="H119" s="131"/>
      <c r="I119" s="131"/>
    </row>
    <row r="120" spans="1:9" ht="15.75" customHeight="1">
      <c r="A120" s="131" t="s">
        <v>8</v>
      </c>
      <c r="B120" s="131"/>
      <c r="C120" s="131"/>
      <c r="D120" s="131"/>
      <c r="E120" s="131"/>
      <c r="F120" s="131"/>
      <c r="G120" s="131"/>
      <c r="H120" s="131"/>
      <c r="I120" s="131"/>
    </row>
    <row r="121" spans="1:9" ht="15.75" customHeight="1">
      <c r="A121" s="120" t="s">
        <v>63</v>
      </c>
      <c r="B121" s="120"/>
      <c r="C121" s="120"/>
      <c r="D121" s="120"/>
      <c r="E121" s="120"/>
      <c r="F121" s="120"/>
      <c r="G121" s="120"/>
      <c r="H121" s="120"/>
      <c r="I121" s="120"/>
    </row>
    <row r="122" spans="1:9" ht="15.75" customHeight="1">
      <c r="A122" s="11"/>
    </row>
    <row r="123" spans="1:9" ht="15.75" customHeight="1">
      <c r="A123" s="133" t="s">
        <v>9</v>
      </c>
      <c r="B123" s="133"/>
      <c r="C123" s="133"/>
      <c r="D123" s="133"/>
      <c r="E123" s="133"/>
      <c r="F123" s="133"/>
      <c r="G123" s="133"/>
      <c r="H123" s="133"/>
      <c r="I123" s="133"/>
    </row>
    <row r="124" spans="1:9" ht="15.75" customHeight="1">
      <c r="A124" s="4"/>
    </row>
    <row r="125" spans="1:9" ht="15.75" customHeight="1">
      <c r="B125" s="56" t="s">
        <v>10</v>
      </c>
      <c r="C125" s="134" t="s">
        <v>96</v>
      </c>
      <c r="D125" s="134"/>
      <c r="E125" s="134"/>
      <c r="F125" s="61"/>
      <c r="I125" s="52"/>
    </row>
    <row r="126" spans="1:9" ht="15.75" customHeight="1">
      <c r="A126" s="53"/>
      <c r="C126" s="130" t="s">
        <v>11</v>
      </c>
      <c r="D126" s="130"/>
      <c r="E126" s="130"/>
      <c r="F126" s="24"/>
      <c r="I126" s="51" t="s">
        <v>12</v>
      </c>
    </row>
    <row r="127" spans="1:9" ht="15.75" customHeight="1">
      <c r="A127" s="25"/>
      <c r="C127" s="12"/>
      <c r="D127" s="12"/>
      <c r="G127" s="12"/>
      <c r="H127" s="12"/>
    </row>
    <row r="128" spans="1:9" ht="15.75" customHeight="1">
      <c r="B128" s="56" t="s">
        <v>13</v>
      </c>
      <c r="C128" s="135"/>
      <c r="D128" s="135"/>
      <c r="E128" s="135"/>
      <c r="F128" s="62"/>
      <c r="I128" s="52"/>
    </row>
    <row r="129" spans="1:9" ht="15.75" customHeight="1">
      <c r="A129" s="53"/>
      <c r="C129" s="110" t="s">
        <v>11</v>
      </c>
      <c r="D129" s="110"/>
      <c r="E129" s="110"/>
      <c r="F129" s="53"/>
      <c r="I129" s="51" t="s">
        <v>12</v>
      </c>
    </row>
    <row r="130" spans="1:9" ht="15.75" customHeight="1">
      <c r="A130" s="4" t="s">
        <v>14</v>
      </c>
    </row>
    <row r="131" spans="1:9" ht="15.75" customHeight="1">
      <c r="A131" s="136" t="s">
        <v>15</v>
      </c>
      <c r="B131" s="136"/>
      <c r="C131" s="136"/>
      <c r="D131" s="136"/>
      <c r="E131" s="136"/>
      <c r="F131" s="136"/>
      <c r="G131" s="136"/>
      <c r="H131" s="136"/>
      <c r="I131" s="136"/>
    </row>
    <row r="132" spans="1:9" ht="45" customHeight="1">
      <c r="A132" s="132" t="s">
        <v>16</v>
      </c>
      <c r="B132" s="132"/>
      <c r="C132" s="132"/>
      <c r="D132" s="132"/>
      <c r="E132" s="132"/>
      <c r="F132" s="132"/>
      <c r="G132" s="132"/>
      <c r="H132" s="132"/>
      <c r="I132" s="132"/>
    </row>
    <row r="133" spans="1:9" ht="30" customHeight="1">
      <c r="A133" s="132" t="s">
        <v>17</v>
      </c>
      <c r="B133" s="132"/>
      <c r="C133" s="132"/>
      <c r="D133" s="132"/>
      <c r="E133" s="132"/>
      <c r="F133" s="132"/>
      <c r="G133" s="132"/>
      <c r="H133" s="132"/>
      <c r="I133" s="132"/>
    </row>
    <row r="134" spans="1:9" ht="30" customHeight="1">
      <c r="A134" s="132" t="s">
        <v>21</v>
      </c>
      <c r="B134" s="132"/>
      <c r="C134" s="132"/>
      <c r="D134" s="132"/>
      <c r="E134" s="132"/>
      <c r="F134" s="132"/>
      <c r="G134" s="132"/>
      <c r="H134" s="132"/>
      <c r="I134" s="132"/>
    </row>
    <row r="135" spans="1:9" ht="15" customHeight="1">
      <c r="A135" s="132" t="s">
        <v>20</v>
      </c>
      <c r="B135" s="132"/>
      <c r="C135" s="132"/>
      <c r="D135" s="132"/>
      <c r="E135" s="132"/>
      <c r="F135" s="132"/>
      <c r="G135" s="132"/>
      <c r="H135" s="132"/>
      <c r="I135" s="132"/>
    </row>
  </sheetData>
  <autoFilter ref="I12:I62"/>
  <mergeCells count="29">
    <mergeCell ref="A132:I132"/>
    <mergeCell ref="A133:I133"/>
    <mergeCell ref="A134:I134"/>
    <mergeCell ref="A135:I135"/>
    <mergeCell ref="A123:I123"/>
    <mergeCell ref="C125:E125"/>
    <mergeCell ref="C126:E126"/>
    <mergeCell ref="C128:E128"/>
    <mergeCell ref="C129:E129"/>
    <mergeCell ref="A131:I131"/>
    <mergeCell ref="A121:I121"/>
    <mergeCell ref="A15:I15"/>
    <mergeCell ref="A29:I29"/>
    <mergeCell ref="A47:I47"/>
    <mergeCell ref="A57:I57"/>
    <mergeCell ref="A87:I87"/>
    <mergeCell ref="A115:I115"/>
    <mergeCell ref="B116:G116"/>
    <mergeCell ref="B117:G117"/>
    <mergeCell ref="A119:I119"/>
    <mergeCell ref="A120:I120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92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14" t="s">
        <v>197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146</v>
      </c>
      <c r="B4" s="115"/>
      <c r="C4" s="115"/>
      <c r="D4" s="115"/>
      <c r="E4" s="115"/>
      <c r="F4" s="115"/>
      <c r="G4" s="115"/>
      <c r="H4" s="115"/>
      <c r="I4" s="115"/>
    </row>
    <row r="5" spans="1:13" ht="15.75" customHeight="1">
      <c r="A5" s="114" t="s">
        <v>234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 customHeight="1">
      <c r="A6" s="2"/>
      <c r="B6" s="55"/>
      <c r="C6" s="55"/>
      <c r="D6" s="55"/>
      <c r="E6" s="55"/>
      <c r="F6" s="55"/>
      <c r="G6" s="55"/>
      <c r="H6" s="55"/>
      <c r="I6" s="30">
        <v>42855</v>
      </c>
      <c r="J6" s="2"/>
      <c r="K6" s="2"/>
      <c r="L6" s="2"/>
      <c r="M6" s="2"/>
    </row>
    <row r="7" spans="1:13" ht="15.75" customHeight="1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7" t="s">
        <v>152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8" t="s">
        <v>209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19" t="s">
        <v>61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29">
        <v>1</v>
      </c>
      <c r="B16" s="69" t="s">
        <v>93</v>
      </c>
      <c r="C16" s="70" t="s">
        <v>115</v>
      </c>
      <c r="D16" s="69" t="s">
        <v>116</v>
      </c>
      <c r="E16" s="71">
        <v>176.24</v>
      </c>
      <c r="F16" s="72">
        <f>SUM(E16*156/100)</f>
        <v>274.93440000000004</v>
      </c>
      <c r="G16" s="72">
        <v>187.48</v>
      </c>
      <c r="H16" s="73">
        <f t="shared" ref="H16:H26" si="0">SUM(F16*G16/1000)</f>
        <v>51.544701312000008</v>
      </c>
      <c r="I16" s="13">
        <f>F16/12*G16</f>
        <v>4295.3917760000004</v>
      </c>
      <c r="J16" s="8"/>
      <c r="K16" s="8"/>
      <c r="L16" s="8"/>
      <c r="M16" s="8"/>
    </row>
    <row r="17" spans="1:13" ht="15.75" customHeight="1">
      <c r="A17" s="29">
        <v>2</v>
      </c>
      <c r="B17" s="69" t="s">
        <v>100</v>
      </c>
      <c r="C17" s="70" t="s">
        <v>115</v>
      </c>
      <c r="D17" s="69" t="s">
        <v>117</v>
      </c>
      <c r="E17" s="71">
        <v>704.96</v>
      </c>
      <c r="F17" s="72">
        <f>SUM(E17*104/100)</f>
        <v>733.15839999999992</v>
      </c>
      <c r="G17" s="72">
        <v>187.48</v>
      </c>
      <c r="H17" s="73">
        <v>137.453</v>
      </c>
      <c r="I17" s="13">
        <f>F17/12*G17</f>
        <v>11454.378069333332</v>
      </c>
      <c r="J17" s="22"/>
      <c r="K17" s="8"/>
      <c r="L17" s="8"/>
      <c r="M17" s="8"/>
    </row>
    <row r="18" spans="1:13" ht="15.75" customHeight="1">
      <c r="A18" s="29">
        <v>3</v>
      </c>
      <c r="B18" s="69" t="s">
        <v>101</v>
      </c>
      <c r="C18" s="70" t="s">
        <v>115</v>
      </c>
      <c r="D18" s="69" t="s">
        <v>118</v>
      </c>
      <c r="E18" s="71">
        <f>SUM(E16+E17)</f>
        <v>881.2</v>
      </c>
      <c r="F18" s="72">
        <f>SUM(E18*24/100)</f>
        <v>211.48800000000003</v>
      </c>
      <c r="G18" s="72">
        <v>539.30999999999995</v>
      </c>
      <c r="H18" s="73">
        <f t="shared" si="0"/>
        <v>114.05759328000001</v>
      </c>
      <c r="I18" s="13">
        <f>F18/12*G18</f>
        <v>9504.7994400000007</v>
      </c>
      <c r="J18" s="22"/>
      <c r="K18" s="8"/>
      <c r="L18" s="8"/>
      <c r="M18" s="8"/>
    </row>
    <row r="19" spans="1:13" ht="15.75" hidden="1" customHeight="1">
      <c r="A19" s="29">
        <v>4</v>
      </c>
      <c r="B19" s="69" t="s">
        <v>119</v>
      </c>
      <c r="C19" s="70" t="s">
        <v>120</v>
      </c>
      <c r="D19" s="69" t="s">
        <v>121</v>
      </c>
      <c r="E19" s="71">
        <v>28.8</v>
      </c>
      <c r="F19" s="72">
        <f>SUM(E19/10)</f>
        <v>2.88</v>
      </c>
      <c r="G19" s="72">
        <v>181.91</v>
      </c>
      <c r="H19" s="73">
        <f t="shared" si="0"/>
        <v>0.52390080000000006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69" t="s">
        <v>106</v>
      </c>
      <c r="C20" s="70" t="s">
        <v>115</v>
      </c>
      <c r="D20" s="69" t="s">
        <v>30</v>
      </c>
      <c r="E20" s="71">
        <v>17.5</v>
      </c>
      <c r="F20" s="72">
        <f>SUM(E20*12/100)</f>
        <v>2.1</v>
      </c>
      <c r="G20" s="72">
        <v>232.92</v>
      </c>
      <c r="H20" s="73">
        <f t="shared" si="0"/>
        <v>0.48913200000000001</v>
      </c>
      <c r="I20" s="13">
        <f>F20/12*G20</f>
        <v>40.761000000000003</v>
      </c>
      <c r="J20" s="22"/>
      <c r="K20" s="8"/>
      <c r="L20" s="8"/>
      <c r="M20" s="8"/>
    </row>
    <row r="21" spans="1:13" ht="15.75" hidden="1" customHeight="1">
      <c r="A21" s="29">
        <v>5</v>
      </c>
      <c r="B21" s="69" t="s">
        <v>107</v>
      </c>
      <c r="C21" s="70" t="s">
        <v>115</v>
      </c>
      <c r="D21" s="69" t="s">
        <v>114</v>
      </c>
      <c r="E21" s="71">
        <v>5.94</v>
      </c>
      <c r="F21" s="72">
        <f>SUM(E21*6/100)</f>
        <v>0.35639999999999999</v>
      </c>
      <c r="G21" s="72">
        <v>231.03</v>
      </c>
      <c r="H21" s="73">
        <f t="shared" si="0"/>
        <v>8.2339091999999989E-2</v>
      </c>
      <c r="I21" s="13">
        <f>F21/6*G21</f>
        <v>13.723182</v>
      </c>
      <c r="J21" s="22"/>
      <c r="K21" s="8"/>
      <c r="L21" s="8"/>
      <c r="M21" s="8"/>
    </row>
    <row r="22" spans="1:13" ht="15.75" hidden="1" customHeight="1">
      <c r="A22" s="29">
        <v>7</v>
      </c>
      <c r="B22" s="69" t="s">
        <v>122</v>
      </c>
      <c r="C22" s="70" t="s">
        <v>53</v>
      </c>
      <c r="D22" s="69" t="s">
        <v>121</v>
      </c>
      <c r="E22" s="71">
        <v>376</v>
      </c>
      <c r="F22" s="72">
        <f>SUM(E22/100)</f>
        <v>3.76</v>
      </c>
      <c r="G22" s="72">
        <v>287.83999999999997</v>
      </c>
      <c r="H22" s="73">
        <f t="shared" si="0"/>
        <v>1.0822783999999999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9" t="s">
        <v>123</v>
      </c>
      <c r="C23" s="70" t="s">
        <v>53</v>
      </c>
      <c r="D23" s="69" t="s">
        <v>121</v>
      </c>
      <c r="E23" s="74">
        <v>60.4</v>
      </c>
      <c r="F23" s="72">
        <f>SUM(E23/100)</f>
        <v>0.60399999999999998</v>
      </c>
      <c r="G23" s="72">
        <v>47.34</v>
      </c>
      <c r="H23" s="73">
        <f t="shared" si="0"/>
        <v>2.8593360000000002E-2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9" t="s">
        <v>110</v>
      </c>
      <c r="C24" s="70" t="s">
        <v>53</v>
      </c>
      <c r="D24" s="69" t="s">
        <v>54</v>
      </c>
      <c r="E24" s="18">
        <v>25</v>
      </c>
      <c r="F24" s="75">
        <f>E24/100</f>
        <v>0.25</v>
      </c>
      <c r="G24" s="72">
        <v>416.62</v>
      </c>
      <c r="H24" s="73">
        <f>F24*G24/1000</f>
        <v>0.104155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9" t="s">
        <v>124</v>
      </c>
      <c r="C25" s="70" t="s">
        <v>53</v>
      </c>
      <c r="D25" s="69" t="s">
        <v>121</v>
      </c>
      <c r="E25" s="74">
        <v>23.75</v>
      </c>
      <c r="F25" s="72">
        <f>E25/100</f>
        <v>0.23749999999999999</v>
      </c>
      <c r="G25" s="72">
        <v>231.03</v>
      </c>
      <c r="H25" s="73">
        <f>F25*G25/1000</f>
        <v>5.4869624999999998E-2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11</v>
      </c>
      <c r="B26" s="69" t="s">
        <v>111</v>
      </c>
      <c r="C26" s="70" t="s">
        <v>53</v>
      </c>
      <c r="D26" s="69" t="s">
        <v>121</v>
      </c>
      <c r="E26" s="71">
        <v>10.63</v>
      </c>
      <c r="F26" s="72">
        <f>SUM(E26/100)</f>
        <v>0.10630000000000001</v>
      </c>
      <c r="G26" s="72">
        <v>556.74</v>
      </c>
      <c r="H26" s="73">
        <f t="shared" si="0"/>
        <v>5.9181462000000004E-2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5</v>
      </c>
      <c r="B27" s="69" t="s">
        <v>66</v>
      </c>
      <c r="C27" s="70" t="s">
        <v>34</v>
      </c>
      <c r="D27" s="69" t="s">
        <v>91</v>
      </c>
      <c r="E27" s="71">
        <v>0.1</v>
      </c>
      <c r="F27" s="72">
        <f>SUM(E27*365)</f>
        <v>36.5</v>
      </c>
      <c r="G27" s="72">
        <v>157.18</v>
      </c>
      <c r="H27" s="73">
        <f>SUM(F27*G27/1000)</f>
        <v>5.737070000000001</v>
      </c>
      <c r="I27" s="13">
        <f>F27/12*G27</f>
        <v>478.08916666666664</v>
      </c>
      <c r="J27" s="23"/>
    </row>
    <row r="28" spans="1:13" ht="15.75" customHeight="1">
      <c r="A28" s="29">
        <v>6</v>
      </c>
      <c r="B28" s="77" t="s">
        <v>23</v>
      </c>
      <c r="C28" s="70" t="s">
        <v>24</v>
      </c>
      <c r="D28" s="69" t="s">
        <v>91</v>
      </c>
      <c r="E28" s="71">
        <v>5816.5</v>
      </c>
      <c r="F28" s="72">
        <f>SUM(E28*12)</f>
        <v>69798</v>
      </c>
      <c r="G28" s="72">
        <v>4.72</v>
      </c>
      <c r="H28" s="73">
        <f>SUM(F28*G28/1000)</f>
        <v>329.44655999999998</v>
      </c>
      <c r="I28" s="13">
        <f>F28/12*G28</f>
        <v>27453.879999999997</v>
      </c>
      <c r="J28" s="23"/>
    </row>
    <row r="29" spans="1:13" ht="15.75" customHeight="1">
      <c r="A29" s="121" t="s">
        <v>90</v>
      </c>
      <c r="B29" s="121"/>
      <c r="C29" s="121"/>
      <c r="D29" s="121"/>
      <c r="E29" s="121"/>
      <c r="F29" s="121"/>
      <c r="G29" s="121"/>
      <c r="H29" s="121"/>
      <c r="I29" s="121"/>
      <c r="J29" s="22"/>
      <c r="K29" s="8"/>
      <c r="L29" s="8"/>
      <c r="M29" s="8"/>
    </row>
    <row r="30" spans="1:13" ht="15.75" hidden="1" customHeight="1">
      <c r="A30" s="29"/>
      <c r="B30" s="90" t="s">
        <v>28</v>
      </c>
      <c r="C30" s="70"/>
      <c r="D30" s="69"/>
      <c r="E30" s="71"/>
      <c r="F30" s="72"/>
      <c r="G30" s="72"/>
      <c r="H30" s="73"/>
      <c r="I30" s="13"/>
      <c r="J30" s="22"/>
      <c r="K30" s="8"/>
      <c r="L30" s="8"/>
      <c r="M30" s="8"/>
    </row>
    <row r="31" spans="1:13" ht="15.75" hidden="1" customHeight="1">
      <c r="A31" s="29">
        <v>7</v>
      </c>
      <c r="B31" s="69" t="s">
        <v>125</v>
      </c>
      <c r="C31" s="70" t="s">
        <v>126</v>
      </c>
      <c r="D31" s="69" t="s">
        <v>127</v>
      </c>
      <c r="E31" s="72">
        <v>357.22</v>
      </c>
      <c r="F31" s="72">
        <f>SUM(E31*52/1000)</f>
        <v>18.575440000000004</v>
      </c>
      <c r="G31" s="72">
        <v>166.65</v>
      </c>
      <c r="H31" s="73">
        <f t="shared" ref="H31:H38" si="1">SUM(F31*G31/1000)</f>
        <v>3.0955970760000011</v>
      </c>
      <c r="I31" s="13">
        <f>F31/6*G31</f>
        <v>515.93284600000015</v>
      </c>
      <c r="J31" s="22"/>
      <c r="K31" s="8"/>
      <c r="L31" s="8"/>
      <c r="M31" s="8"/>
    </row>
    <row r="32" spans="1:13" ht="31.5" hidden="1" customHeight="1">
      <c r="A32" s="29">
        <v>8</v>
      </c>
      <c r="B32" s="69" t="s">
        <v>191</v>
      </c>
      <c r="C32" s="70" t="s">
        <v>126</v>
      </c>
      <c r="D32" s="69" t="s">
        <v>128</v>
      </c>
      <c r="E32" s="72">
        <v>475.06</v>
      </c>
      <c r="F32" s="72">
        <f>SUM(E32*78/1000)</f>
        <v>37.054679999999998</v>
      </c>
      <c r="G32" s="72">
        <v>276.48</v>
      </c>
      <c r="H32" s="73">
        <f t="shared" si="1"/>
        <v>10.244877926400001</v>
      </c>
      <c r="I32" s="13">
        <f t="shared" ref="I32:I35" si="2">F32/6*G32</f>
        <v>1707.4796544000001</v>
      </c>
      <c r="J32" s="22"/>
      <c r="K32" s="8"/>
      <c r="L32" s="8"/>
      <c r="M32" s="8"/>
    </row>
    <row r="33" spans="1:14" ht="15.75" hidden="1" customHeight="1">
      <c r="A33" s="29">
        <v>16</v>
      </c>
      <c r="B33" s="69" t="s">
        <v>27</v>
      </c>
      <c r="C33" s="70" t="s">
        <v>126</v>
      </c>
      <c r="D33" s="69" t="s">
        <v>54</v>
      </c>
      <c r="E33" s="72">
        <v>357.22</v>
      </c>
      <c r="F33" s="72">
        <f>SUM(E33/1000)</f>
        <v>0.35722000000000004</v>
      </c>
      <c r="G33" s="72">
        <v>3228.73</v>
      </c>
      <c r="H33" s="73">
        <f t="shared" si="1"/>
        <v>1.1533669306000001</v>
      </c>
      <c r="I33" s="13">
        <f>F33*G33</f>
        <v>1153.3669306000002</v>
      </c>
      <c r="J33" s="22"/>
      <c r="K33" s="8"/>
      <c r="L33" s="8"/>
      <c r="M33" s="8"/>
    </row>
    <row r="34" spans="1:14" ht="15.75" hidden="1" customHeight="1">
      <c r="A34" s="29">
        <v>9</v>
      </c>
      <c r="B34" s="69" t="s">
        <v>157</v>
      </c>
      <c r="C34" s="70" t="s">
        <v>40</v>
      </c>
      <c r="D34" s="69" t="s">
        <v>158</v>
      </c>
      <c r="E34" s="72">
        <v>5</v>
      </c>
      <c r="F34" s="72">
        <f>E34*155/100</f>
        <v>7.75</v>
      </c>
      <c r="G34" s="72">
        <v>1391.86</v>
      </c>
      <c r="H34" s="73">
        <f>G34*F34/1000</f>
        <v>10.786914999999999</v>
      </c>
      <c r="I34" s="13">
        <f t="shared" si="2"/>
        <v>1797.8191666666667</v>
      </c>
      <c r="J34" s="22"/>
      <c r="K34" s="8"/>
      <c r="L34" s="8"/>
      <c r="M34" s="8"/>
    </row>
    <row r="35" spans="1:14" ht="15.75" hidden="1" customHeight="1">
      <c r="A35" s="29">
        <v>10</v>
      </c>
      <c r="B35" s="69" t="s">
        <v>129</v>
      </c>
      <c r="C35" s="70" t="s">
        <v>31</v>
      </c>
      <c r="D35" s="69" t="s">
        <v>65</v>
      </c>
      <c r="E35" s="76">
        <v>0.33333333333333331</v>
      </c>
      <c r="F35" s="72">
        <f>155/3</f>
        <v>51.666666666666664</v>
      </c>
      <c r="G35" s="72">
        <v>60.6</v>
      </c>
      <c r="H35" s="73">
        <f>SUM(G35*155/3/1000)</f>
        <v>3.1309999999999998</v>
      </c>
      <c r="I35" s="13">
        <f t="shared" si="2"/>
        <v>521.83333333333337</v>
      </c>
      <c r="J35" s="22"/>
      <c r="K35" s="8"/>
    </row>
    <row r="36" spans="1:14" ht="15.75" hidden="1" customHeight="1">
      <c r="A36" s="29"/>
      <c r="B36" s="69" t="s">
        <v>67</v>
      </c>
      <c r="C36" s="70" t="s">
        <v>34</v>
      </c>
      <c r="D36" s="69" t="s">
        <v>69</v>
      </c>
      <c r="E36" s="71"/>
      <c r="F36" s="72">
        <v>3</v>
      </c>
      <c r="G36" s="72">
        <v>204.52</v>
      </c>
      <c r="H36" s="73">
        <f t="shared" si="1"/>
        <v>0.61356000000000011</v>
      </c>
      <c r="I36" s="13">
        <v>0</v>
      </c>
      <c r="J36" s="23"/>
    </row>
    <row r="37" spans="1:14" ht="15.75" hidden="1" customHeight="1">
      <c r="A37" s="29"/>
      <c r="B37" s="69" t="s">
        <v>68</v>
      </c>
      <c r="C37" s="70" t="s">
        <v>33</v>
      </c>
      <c r="D37" s="69" t="s">
        <v>69</v>
      </c>
      <c r="E37" s="71"/>
      <c r="F37" s="72">
        <v>2</v>
      </c>
      <c r="G37" s="72">
        <v>1214.74</v>
      </c>
      <c r="H37" s="73">
        <f t="shared" si="1"/>
        <v>2.4294799999999999</v>
      </c>
      <c r="I37" s="13">
        <v>0</v>
      </c>
      <c r="J37" s="23"/>
    </row>
    <row r="38" spans="1:14" ht="15.75" hidden="1" customHeight="1">
      <c r="A38" s="29"/>
      <c r="B38" s="46" t="s">
        <v>159</v>
      </c>
      <c r="C38" s="65" t="s">
        <v>29</v>
      </c>
      <c r="D38" s="69"/>
      <c r="E38" s="71">
        <v>360.36</v>
      </c>
      <c r="F38" s="72">
        <f>E38*36/1000</f>
        <v>12.97296</v>
      </c>
      <c r="G38" s="72">
        <v>3228.73</v>
      </c>
      <c r="H38" s="73">
        <f t="shared" si="1"/>
        <v>41.886185140800002</v>
      </c>
      <c r="I38" s="13">
        <v>0</v>
      </c>
      <c r="J38" s="23"/>
    </row>
    <row r="39" spans="1:14" ht="15.75" customHeight="1">
      <c r="A39" s="29"/>
      <c r="B39" s="90" t="s">
        <v>5</v>
      </c>
      <c r="C39" s="70"/>
      <c r="D39" s="69"/>
      <c r="E39" s="71"/>
      <c r="F39" s="72"/>
      <c r="G39" s="72"/>
      <c r="H39" s="73" t="s">
        <v>143</v>
      </c>
      <c r="I39" s="13"/>
      <c r="J39" s="23"/>
    </row>
    <row r="40" spans="1:14" ht="15.75" customHeight="1">
      <c r="A40" s="29">
        <v>7</v>
      </c>
      <c r="B40" s="69" t="s">
        <v>26</v>
      </c>
      <c r="C40" s="70" t="s">
        <v>33</v>
      </c>
      <c r="D40" s="69"/>
      <c r="E40" s="71"/>
      <c r="F40" s="72">
        <v>10</v>
      </c>
      <c r="G40" s="72">
        <v>1632.6</v>
      </c>
      <c r="H40" s="73">
        <f t="shared" ref="H40:H46" si="3">SUM(F40*G40/1000)</f>
        <v>16.326000000000001</v>
      </c>
      <c r="I40" s="13">
        <f>F40/6*G40</f>
        <v>2721</v>
      </c>
      <c r="J40" s="23"/>
      <c r="L40" s="19"/>
      <c r="M40" s="20"/>
      <c r="N40" s="21"/>
    </row>
    <row r="41" spans="1:14" ht="15.75" customHeight="1">
      <c r="A41" s="29">
        <v>8</v>
      </c>
      <c r="B41" s="69" t="s">
        <v>70</v>
      </c>
      <c r="C41" s="70" t="s">
        <v>29</v>
      </c>
      <c r="D41" s="69" t="s">
        <v>130</v>
      </c>
      <c r="E41" s="72">
        <v>469.73</v>
      </c>
      <c r="F41" s="72">
        <f>SUM(E41*30/1000)</f>
        <v>14.091900000000001</v>
      </c>
      <c r="G41" s="72">
        <v>2247.8000000000002</v>
      </c>
      <c r="H41" s="73">
        <f t="shared" si="3"/>
        <v>31.675772820000006</v>
      </c>
      <c r="I41" s="13">
        <f>F41/6*G41</f>
        <v>5279.2954700000009</v>
      </c>
      <c r="J41" s="23"/>
      <c r="L41" s="19"/>
      <c r="M41" s="20"/>
      <c r="N41" s="21"/>
    </row>
    <row r="42" spans="1:14" ht="15.75" customHeight="1">
      <c r="A42" s="29">
        <v>9</v>
      </c>
      <c r="B42" s="69" t="s">
        <v>102</v>
      </c>
      <c r="C42" s="70" t="s">
        <v>147</v>
      </c>
      <c r="D42" s="69" t="s">
        <v>69</v>
      </c>
      <c r="E42" s="71"/>
      <c r="F42" s="72">
        <v>120</v>
      </c>
      <c r="G42" s="72">
        <v>213.2</v>
      </c>
      <c r="H42" s="73">
        <f t="shared" si="3"/>
        <v>25.584</v>
      </c>
      <c r="I42" s="13">
        <f>G42*(39+26)</f>
        <v>13858</v>
      </c>
      <c r="J42" s="23"/>
      <c r="L42" s="19"/>
      <c r="M42" s="20"/>
      <c r="N42" s="21"/>
    </row>
    <row r="43" spans="1:14" ht="15.75" customHeight="1">
      <c r="A43" s="29">
        <v>10</v>
      </c>
      <c r="B43" s="69" t="s">
        <v>71</v>
      </c>
      <c r="C43" s="70" t="s">
        <v>29</v>
      </c>
      <c r="D43" s="69" t="s">
        <v>131</v>
      </c>
      <c r="E43" s="72">
        <v>475.06</v>
      </c>
      <c r="F43" s="72">
        <f>SUM(E43*155/1000)</f>
        <v>73.634299999999996</v>
      </c>
      <c r="G43" s="72">
        <v>374.95</v>
      </c>
      <c r="H43" s="73">
        <f t="shared" si="3"/>
        <v>27.609180784999996</v>
      </c>
      <c r="I43" s="13">
        <f>F43/6*G43</f>
        <v>4601.5301308333328</v>
      </c>
      <c r="J43" s="23"/>
      <c r="L43" s="19"/>
      <c r="M43" s="20"/>
      <c r="N43" s="21"/>
    </row>
    <row r="44" spans="1:14" ht="47.25" customHeight="1">
      <c r="A44" s="29">
        <v>11</v>
      </c>
      <c r="B44" s="69" t="s">
        <v>87</v>
      </c>
      <c r="C44" s="70" t="s">
        <v>126</v>
      </c>
      <c r="D44" s="69" t="s">
        <v>148</v>
      </c>
      <c r="E44" s="72">
        <v>40.6</v>
      </c>
      <c r="F44" s="72">
        <f>SUM(E44*35/1000)</f>
        <v>1.421</v>
      </c>
      <c r="G44" s="72">
        <v>6203.7</v>
      </c>
      <c r="H44" s="73">
        <f t="shared" si="3"/>
        <v>8.8154577000000014</v>
      </c>
      <c r="I44" s="13">
        <f>F44/6*G44</f>
        <v>1469.2429500000001</v>
      </c>
      <c r="J44" s="23"/>
      <c r="L44" s="19"/>
      <c r="M44" s="20"/>
      <c r="N44" s="21"/>
    </row>
    <row r="45" spans="1:14" ht="15.75" customHeight="1">
      <c r="A45" s="29">
        <v>12</v>
      </c>
      <c r="B45" s="69" t="s">
        <v>132</v>
      </c>
      <c r="C45" s="70" t="s">
        <v>126</v>
      </c>
      <c r="D45" s="137" t="s">
        <v>284</v>
      </c>
      <c r="E45" s="138">
        <v>167.03</v>
      </c>
      <c r="F45" s="139">
        <f>SUM(E45*15/1000)</f>
        <v>2.5054499999999997</v>
      </c>
      <c r="G45" s="138">
        <v>458.28</v>
      </c>
      <c r="H45" s="140">
        <f t="shared" ref="H45" si="4">SUM(F45*G45/1000)</f>
        <v>1.148197626</v>
      </c>
      <c r="I45" s="13">
        <f>F45/2*G45</f>
        <v>574.09881299999995</v>
      </c>
      <c r="J45" s="23"/>
      <c r="L45" s="19"/>
      <c r="M45" s="20"/>
      <c r="N45" s="21"/>
    </row>
    <row r="46" spans="1:14" ht="15.75" customHeight="1">
      <c r="A46" s="29">
        <v>13</v>
      </c>
      <c r="B46" s="69" t="s">
        <v>73</v>
      </c>
      <c r="C46" s="70" t="s">
        <v>34</v>
      </c>
      <c r="D46" s="69"/>
      <c r="E46" s="71"/>
      <c r="F46" s="72">
        <v>1.2</v>
      </c>
      <c r="G46" s="72">
        <v>853.06</v>
      </c>
      <c r="H46" s="73">
        <f t="shared" si="3"/>
        <v>1.0236719999999999</v>
      </c>
      <c r="I46" s="13">
        <f>F46/6*G46</f>
        <v>170.61199999999997</v>
      </c>
      <c r="J46" s="23"/>
      <c r="L46" s="19"/>
      <c r="M46" s="20"/>
      <c r="N46" s="21"/>
    </row>
    <row r="47" spans="1:14" ht="15.75" hidden="1" customHeight="1">
      <c r="A47" s="122" t="s">
        <v>153</v>
      </c>
      <c r="B47" s="123"/>
      <c r="C47" s="123"/>
      <c r="D47" s="123"/>
      <c r="E47" s="123"/>
      <c r="F47" s="123"/>
      <c r="G47" s="123"/>
      <c r="H47" s="123"/>
      <c r="I47" s="124"/>
      <c r="J47" s="23"/>
      <c r="L47" s="19"/>
      <c r="M47" s="20"/>
      <c r="N47" s="21"/>
    </row>
    <row r="48" spans="1:14" ht="15.75" hidden="1" customHeight="1">
      <c r="A48" s="29"/>
      <c r="B48" s="69" t="s">
        <v>133</v>
      </c>
      <c r="C48" s="70" t="s">
        <v>126</v>
      </c>
      <c r="D48" s="69" t="s">
        <v>42</v>
      </c>
      <c r="E48" s="71">
        <v>1603.6</v>
      </c>
      <c r="F48" s="72">
        <f>SUM(E48*2/1000)</f>
        <v>3.2071999999999998</v>
      </c>
      <c r="G48" s="13">
        <v>908.11</v>
      </c>
      <c r="H48" s="73">
        <f t="shared" ref="H48:H56" si="5">SUM(F48*G48/1000)</f>
        <v>2.9124903919999996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9" t="s">
        <v>35</v>
      </c>
      <c r="C49" s="70" t="s">
        <v>126</v>
      </c>
      <c r="D49" s="69" t="s">
        <v>42</v>
      </c>
      <c r="E49" s="71">
        <v>65</v>
      </c>
      <c r="F49" s="72">
        <f>SUM(E49*2/1000)</f>
        <v>0.13</v>
      </c>
      <c r="G49" s="13">
        <v>619.46</v>
      </c>
      <c r="H49" s="73">
        <f t="shared" si="5"/>
        <v>8.0529800000000012E-2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9" t="s">
        <v>36</v>
      </c>
      <c r="C50" s="70" t="s">
        <v>126</v>
      </c>
      <c r="D50" s="69" t="s">
        <v>42</v>
      </c>
      <c r="E50" s="71">
        <v>1825.8</v>
      </c>
      <c r="F50" s="72">
        <f>SUM(E50*2/1000)</f>
        <v>3.6515999999999997</v>
      </c>
      <c r="G50" s="13">
        <v>619.46</v>
      </c>
      <c r="H50" s="73">
        <f t="shared" si="5"/>
        <v>2.2620201360000003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69" t="s">
        <v>37</v>
      </c>
      <c r="C51" s="70" t="s">
        <v>126</v>
      </c>
      <c r="D51" s="69" t="s">
        <v>42</v>
      </c>
      <c r="E51" s="71">
        <v>3163.96</v>
      </c>
      <c r="F51" s="72">
        <f>SUM(E51*2/1000)</f>
        <v>6.3279199999999998</v>
      </c>
      <c r="G51" s="13">
        <v>648.64</v>
      </c>
      <c r="H51" s="73">
        <f t="shared" si="5"/>
        <v>4.1045420287999992</v>
      </c>
      <c r="I51" s="13">
        <v>0</v>
      </c>
      <c r="J51" s="23"/>
      <c r="L51" s="19"/>
      <c r="M51" s="20"/>
      <c r="N51" s="21"/>
    </row>
    <row r="52" spans="1:22" ht="15.75" hidden="1" customHeight="1">
      <c r="A52" s="29">
        <v>13</v>
      </c>
      <c r="B52" s="69" t="s">
        <v>58</v>
      </c>
      <c r="C52" s="70" t="s">
        <v>126</v>
      </c>
      <c r="D52" s="69" t="s">
        <v>192</v>
      </c>
      <c r="E52" s="71">
        <v>1583</v>
      </c>
      <c r="F52" s="72">
        <f>SUM(E52*5/1000)</f>
        <v>7.915</v>
      </c>
      <c r="G52" s="13">
        <v>1297.28</v>
      </c>
      <c r="H52" s="73">
        <f t="shared" si="5"/>
        <v>10.2679712</v>
      </c>
      <c r="I52" s="13">
        <f>F52/5*G52</f>
        <v>2053.5942399999999</v>
      </c>
      <c r="J52" s="23"/>
      <c r="L52" s="19"/>
      <c r="M52" s="20"/>
      <c r="N52" s="21"/>
    </row>
    <row r="53" spans="1:22" ht="31.5" hidden="1" customHeight="1">
      <c r="A53" s="29">
        <v>13</v>
      </c>
      <c r="B53" s="69" t="s">
        <v>134</v>
      </c>
      <c r="C53" s="70" t="s">
        <v>126</v>
      </c>
      <c r="D53" s="69" t="s">
        <v>42</v>
      </c>
      <c r="E53" s="71">
        <v>1583</v>
      </c>
      <c r="F53" s="72">
        <f>SUM(E53*2/1000)</f>
        <v>3.1659999999999999</v>
      </c>
      <c r="G53" s="13">
        <v>1297.28</v>
      </c>
      <c r="H53" s="73">
        <f t="shared" si="5"/>
        <v>4.1071884799999996</v>
      </c>
      <c r="I53" s="13">
        <f>F53/2*G53</f>
        <v>2053.5942399999999</v>
      </c>
      <c r="J53" s="23"/>
      <c r="L53" s="19"/>
      <c r="M53" s="20"/>
      <c r="N53" s="21"/>
    </row>
    <row r="54" spans="1:22" ht="31.5" hidden="1" customHeight="1">
      <c r="A54" s="29">
        <v>14</v>
      </c>
      <c r="B54" s="69" t="s">
        <v>135</v>
      </c>
      <c r="C54" s="70" t="s">
        <v>38</v>
      </c>
      <c r="D54" s="69" t="s">
        <v>42</v>
      </c>
      <c r="E54" s="71">
        <v>25</v>
      </c>
      <c r="F54" s="72">
        <f>SUM(E54*2/100)</f>
        <v>0.5</v>
      </c>
      <c r="G54" s="13">
        <v>2918.89</v>
      </c>
      <c r="H54" s="73">
        <f t="shared" si="5"/>
        <v>1.4594449999999999</v>
      </c>
      <c r="I54" s="13">
        <f t="shared" ref="I54:I55" si="6">F54/2*G54</f>
        <v>729.72249999999997</v>
      </c>
      <c r="J54" s="23"/>
      <c r="L54" s="19"/>
      <c r="M54" s="20"/>
      <c r="N54" s="21"/>
    </row>
    <row r="55" spans="1:22" ht="15.75" hidden="1" customHeight="1">
      <c r="A55" s="29">
        <v>15</v>
      </c>
      <c r="B55" s="69" t="s">
        <v>39</v>
      </c>
      <c r="C55" s="70" t="s">
        <v>40</v>
      </c>
      <c r="D55" s="69" t="s">
        <v>42</v>
      </c>
      <c r="E55" s="71">
        <v>1</v>
      </c>
      <c r="F55" s="72">
        <v>0.02</v>
      </c>
      <c r="G55" s="13">
        <v>6042.12</v>
      </c>
      <c r="H55" s="73">
        <f t="shared" si="5"/>
        <v>0.1208424</v>
      </c>
      <c r="I55" s="13">
        <f t="shared" si="6"/>
        <v>60.421199999999999</v>
      </c>
      <c r="J55" s="23"/>
      <c r="L55" s="19"/>
      <c r="M55" s="20"/>
      <c r="N55" s="21"/>
    </row>
    <row r="56" spans="1:22" ht="15.75" hidden="1" customHeight="1">
      <c r="A56" s="29">
        <v>16</v>
      </c>
      <c r="B56" s="69" t="s">
        <v>41</v>
      </c>
      <c r="C56" s="70" t="s">
        <v>31</v>
      </c>
      <c r="D56" s="69" t="s">
        <v>74</v>
      </c>
      <c r="E56" s="71">
        <v>36</v>
      </c>
      <c r="F56" s="72">
        <f>SUM(E56)*3</f>
        <v>108</v>
      </c>
      <c r="G56" s="13">
        <v>70.209999999999994</v>
      </c>
      <c r="H56" s="73">
        <f t="shared" si="5"/>
        <v>7.582679999999999</v>
      </c>
      <c r="I56" s="13">
        <f>E56*G56</f>
        <v>2527.56</v>
      </c>
      <c r="J56" s="23"/>
      <c r="L56" s="19"/>
      <c r="M56" s="20"/>
      <c r="N56" s="21"/>
    </row>
    <row r="57" spans="1:22" ht="15.75" customHeight="1">
      <c r="A57" s="122" t="s">
        <v>195</v>
      </c>
      <c r="B57" s="123"/>
      <c r="C57" s="123"/>
      <c r="D57" s="123"/>
      <c r="E57" s="123"/>
      <c r="F57" s="123"/>
      <c r="G57" s="123"/>
      <c r="H57" s="123"/>
      <c r="I57" s="124"/>
      <c r="J57" s="23"/>
      <c r="L57" s="19"/>
      <c r="M57" s="20"/>
      <c r="N57" s="21"/>
    </row>
    <row r="58" spans="1:22" ht="15.75" customHeight="1">
      <c r="A58" s="29"/>
      <c r="B58" s="90" t="s">
        <v>43</v>
      </c>
      <c r="C58" s="70"/>
      <c r="D58" s="69"/>
      <c r="E58" s="71"/>
      <c r="F58" s="72"/>
      <c r="G58" s="72"/>
      <c r="H58" s="73"/>
      <c r="I58" s="13"/>
      <c r="J58" s="23"/>
      <c r="L58" s="19"/>
      <c r="M58" s="20"/>
      <c r="N58" s="21"/>
    </row>
    <row r="59" spans="1:22" ht="31.5" customHeight="1">
      <c r="A59" s="29">
        <v>14</v>
      </c>
      <c r="B59" s="69" t="s">
        <v>149</v>
      </c>
      <c r="C59" s="70" t="s">
        <v>115</v>
      </c>
      <c r="D59" s="69" t="s">
        <v>75</v>
      </c>
      <c r="E59" s="78">
        <v>3.78</v>
      </c>
      <c r="F59" s="13">
        <f>E59*6/100</f>
        <v>0.2268</v>
      </c>
      <c r="G59" s="72">
        <v>1654.04</v>
      </c>
      <c r="H59" s="73">
        <f>SUM(F59*G59/1000)</f>
        <v>0.37513627199999999</v>
      </c>
      <c r="I59" s="13">
        <f>F59/6*G59</f>
        <v>62.522711999999999</v>
      </c>
      <c r="J59" s="23"/>
      <c r="L59" s="19"/>
      <c r="M59" s="20"/>
      <c r="N59" s="21"/>
    </row>
    <row r="60" spans="1:22" ht="31.5" customHeight="1">
      <c r="A60" s="29">
        <v>15</v>
      </c>
      <c r="B60" s="69" t="s">
        <v>137</v>
      </c>
      <c r="C60" s="70" t="s">
        <v>115</v>
      </c>
      <c r="D60" s="69" t="s">
        <v>75</v>
      </c>
      <c r="E60" s="71">
        <v>185.36</v>
      </c>
      <c r="F60" s="72">
        <f>E60*6/100</f>
        <v>11.121600000000001</v>
      </c>
      <c r="G60" s="79">
        <v>1654.04</v>
      </c>
      <c r="H60" s="73">
        <f>F60*G60/1000</f>
        <v>18.395571264000001</v>
      </c>
      <c r="I60" s="13">
        <f>F60/6*G60</f>
        <v>3065.9285440000003</v>
      </c>
      <c r="J60" s="23"/>
      <c r="L60" s="19"/>
    </row>
    <row r="61" spans="1:22" ht="15.75" hidden="1" customHeight="1">
      <c r="A61" s="29"/>
      <c r="B61" s="80" t="s">
        <v>108</v>
      </c>
      <c r="C61" s="70" t="s">
        <v>109</v>
      </c>
      <c r="D61" s="80" t="s">
        <v>42</v>
      </c>
      <c r="E61" s="81">
        <v>5</v>
      </c>
      <c r="F61" s="82">
        <v>10</v>
      </c>
      <c r="G61" s="79">
        <v>198.25</v>
      </c>
      <c r="H61" s="83">
        <v>0.99099999999999999</v>
      </c>
      <c r="I61" s="13">
        <v>0</v>
      </c>
      <c r="J61" s="23"/>
      <c r="L61" s="19"/>
    </row>
    <row r="62" spans="1:22" ht="15.75" customHeight="1">
      <c r="A62" s="29"/>
      <c r="B62" s="91" t="s">
        <v>44</v>
      </c>
      <c r="C62" s="84"/>
      <c r="D62" s="80"/>
      <c r="E62" s="81"/>
      <c r="F62" s="82"/>
      <c r="G62" s="85"/>
      <c r="H62" s="83"/>
      <c r="I62" s="13"/>
    </row>
    <row r="63" spans="1:22" ht="15.75" hidden="1" customHeight="1">
      <c r="A63" s="29"/>
      <c r="B63" s="80" t="s">
        <v>45</v>
      </c>
      <c r="C63" s="84" t="s">
        <v>53</v>
      </c>
      <c r="D63" s="80" t="s">
        <v>54</v>
      </c>
      <c r="E63" s="81">
        <v>1752</v>
      </c>
      <c r="F63" s="82">
        <f>E63/100</f>
        <v>17.52</v>
      </c>
      <c r="G63" s="72">
        <v>848.37</v>
      </c>
      <c r="H63" s="83">
        <f>G63*F63/1000</f>
        <v>14.8634424</v>
      </c>
      <c r="I63" s="13">
        <v>0</v>
      </c>
    </row>
    <row r="64" spans="1:22" ht="15.75" customHeight="1">
      <c r="A64" s="29">
        <v>16</v>
      </c>
      <c r="B64" s="80" t="s">
        <v>103</v>
      </c>
      <c r="C64" s="84" t="s">
        <v>25</v>
      </c>
      <c r="D64" s="80" t="s">
        <v>160</v>
      </c>
      <c r="E64" s="81">
        <v>352</v>
      </c>
      <c r="F64" s="82">
        <f>E64*12</f>
        <v>4224</v>
      </c>
      <c r="G64" s="72">
        <v>2.6</v>
      </c>
      <c r="H64" s="83">
        <f>G64*F64/1000</f>
        <v>10.9824</v>
      </c>
      <c r="I64" s="13">
        <f>F64/12*G64</f>
        <v>915.2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29"/>
      <c r="B65" s="91" t="s">
        <v>46</v>
      </c>
      <c r="C65" s="84"/>
      <c r="D65" s="80"/>
      <c r="E65" s="81"/>
      <c r="F65" s="82"/>
      <c r="G65" s="92"/>
      <c r="H65" s="83" t="s">
        <v>143</v>
      </c>
      <c r="I65" s="13"/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29">
        <v>17</v>
      </c>
      <c r="B66" s="14" t="s">
        <v>47</v>
      </c>
      <c r="C66" s="16" t="s">
        <v>136</v>
      </c>
      <c r="D66" s="14" t="s">
        <v>69</v>
      </c>
      <c r="E66" s="18">
        <v>10</v>
      </c>
      <c r="F66" s="72">
        <v>10</v>
      </c>
      <c r="G66" s="13">
        <v>237.74</v>
      </c>
      <c r="H66" s="66">
        <f t="shared" ref="H66:H80" si="7">SUM(F66*G66/1000)</f>
        <v>2.3774000000000002</v>
      </c>
      <c r="I66" s="13">
        <f>G66</f>
        <v>237.74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48</v>
      </c>
      <c r="C67" s="16" t="s">
        <v>136</v>
      </c>
      <c r="D67" s="14" t="s">
        <v>69</v>
      </c>
      <c r="E67" s="18">
        <v>5</v>
      </c>
      <c r="F67" s="72">
        <v>5</v>
      </c>
      <c r="G67" s="13">
        <v>81.510000000000005</v>
      </c>
      <c r="H67" s="66">
        <f t="shared" si="7"/>
        <v>0.40755000000000002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10"/>
      <c r="S67" s="110"/>
      <c r="T67" s="110"/>
      <c r="U67" s="110"/>
    </row>
    <row r="68" spans="1:21" ht="15.75" hidden="1" customHeight="1">
      <c r="A68" s="29"/>
      <c r="B68" s="14" t="s">
        <v>49</v>
      </c>
      <c r="C68" s="16" t="s">
        <v>138</v>
      </c>
      <c r="D68" s="14" t="s">
        <v>54</v>
      </c>
      <c r="E68" s="71">
        <v>23808</v>
      </c>
      <c r="F68" s="13">
        <f>SUM(E68/100)</f>
        <v>238.08</v>
      </c>
      <c r="G68" s="13">
        <v>226.79</v>
      </c>
      <c r="H68" s="66">
        <f t="shared" si="7"/>
        <v>53.994163200000003</v>
      </c>
      <c r="I68" s="13">
        <f>F68*G68</f>
        <v>53994.163200000003</v>
      </c>
    </row>
    <row r="69" spans="1:21" ht="15.75" hidden="1" customHeight="1">
      <c r="A69" s="29"/>
      <c r="B69" s="14" t="s">
        <v>50</v>
      </c>
      <c r="C69" s="16" t="s">
        <v>139</v>
      </c>
      <c r="D69" s="14"/>
      <c r="E69" s="71">
        <v>23808</v>
      </c>
      <c r="F69" s="13">
        <f>SUM(E69/1000)</f>
        <v>23.808</v>
      </c>
      <c r="G69" s="13">
        <v>176.61</v>
      </c>
      <c r="H69" s="66">
        <f t="shared" si="7"/>
        <v>4.2047308800000005</v>
      </c>
      <c r="I69" s="13">
        <f t="shared" ref="I69:I73" si="8">F69*G69</f>
        <v>4204.7308800000001</v>
      </c>
    </row>
    <row r="70" spans="1:21" ht="15.75" hidden="1" customHeight="1">
      <c r="A70" s="29"/>
      <c r="B70" s="14" t="s">
        <v>51</v>
      </c>
      <c r="C70" s="16" t="s">
        <v>80</v>
      </c>
      <c r="D70" s="14" t="s">
        <v>54</v>
      </c>
      <c r="E70" s="71">
        <v>3810</v>
      </c>
      <c r="F70" s="13">
        <f>SUM(E70/100)</f>
        <v>38.1</v>
      </c>
      <c r="G70" s="13">
        <v>2217.7800000000002</v>
      </c>
      <c r="H70" s="66">
        <f t="shared" si="7"/>
        <v>84.49741800000001</v>
      </c>
      <c r="I70" s="13">
        <f t="shared" si="8"/>
        <v>84497.418000000005</v>
      </c>
    </row>
    <row r="71" spans="1:21" ht="15.75" hidden="1" customHeight="1">
      <c r="A71" s="29"/>
      <c r="B71" s="86" t="s">
        <v>140</v>
      </c>
      <c r="C71" s="16" t="s">
        <v>34</v>
      </c>
      <c r="D71" s="14"/>
      <c r="E71" s="71">
        <v>23.4</v>
      </c>
      <c r="F71" s="13">
        <f>SUM(E71)</f>
        <v>23.4</v>
      </c>
      <c r="G71" s="13">
        <v>42.67</v>
      </c>
      <c r="H71" s="66">
        <f t="shared" si="7"/>
        <v>0.99847799999999998</v>
      </c>
      <c r="I71" s="13">
        <f t="shared" si="8"/>
        <v>998.47799999999995</v>
      </c>
    </row>
    <row r="72" spans="1:21" ht="15.75" hidden="1" customHeight="1">
      <c r="A72" s="29"/>
      <c r="B72" s="86" t="s">
        <v>150</v>
      </c>
      <c r="C72" s="16" t="s">
        <v>34</v>
      </c>
      <c r="D72" s="14"/>
      <c r="E72" s="71">
        <v>23.4</v>
      </c>
      <c r="F72" s="13">
        <f>SUM(E72)</f>
        <v>23.4</v>
      </c>
      <c r="G72" s="13">
        <v>39.81</v>
      </c>
      <c r="H72" s="66">
        <f t="shared" si="7"/>
        <v>0.93155399999999999</v>
      </c>
      <c r="I72" s="13">
        <f t="shared" si="8"/>
        <v>931.55399999999997</v>
      </c>
    </row>
    <row r="73" spans="1:21" ht="15.75" hidden="1" customHeight="1">
      <c r="A73" s="29"/>
      <c r="B73" s="14" t="s">
        <v>59</v>
      </c>
      <c r="C73" s="16" t="s">
        <v>60</v>
      </c>
      <c r="D73" s="14" t="s">
        <v>54</v>
      </c>
      <c r="E73" s="18">
        <v>5</v>
      </c>
      <c r="F73" s="72">
        <f>SUM(E73)</f>
        <v>5</v>
      </c>
      <c r="G73" s="13">
        <v>53.32</v>
      </c>
      <c r="H73" s="66">
        <f t="shared" si="7"/>
        <v>0.2666</v>
      </c>
      <c r="I73" s="13">
        <f t="shared" si="8"/>
        <v>266.60000000000002</v>
      </c>
    </row>
    <row r="74" spans="1:21" ht="15.75" customHeight="1">
      <c r="A74" s="29">
        <v>18</v>
      </c>
      <c r="B74" s="14" t="s">
        <v>151</v>
      </c>
      <c r="C74" s="16" t="s">
        <v>60</v>
      </c>
      <c r="D74" s="14" t="s">
        <v>30</v>
      </c>
      <c r="E74" s="18">
        <v>1</v>
      </c>
      <c r="F74" s="59">
        <v>12</v>
      </c>
      <c r="G74" s="13">
        <v>711</v>
      </c>
      <c r="H74" s="66">
        <v>8.5310000000000006</v>
      </c>
      <c r="I74" s="13">
        <f>F74/12*G74</f>
        <v>711</v>
      </c>
    </row>
    <row r="75" spans="1:21" ht="15.75" hidden="1" customHeight="1">
      <c r="A75" s="29"/>
      <c r="B75" s="54" t="s">
        <v>76</v>
      </c>
      <c r="C75" s="16"/>
      <c r="D75" s="14"/>
      <c r="E75" s="18"/>
      <c r="F75" s="13"/>
      <c r="G75" s="13"/>
      <c r="H75" s="66" t="s">
        <v>143</v>
      </c>
      <c r="I75" s="13"/>
    </row>
    <row r="76" spans="1:21" ht="15.75" hidden="1" customHeight="1">
      <c r="A76" s="29"/>
      <c r="B76" s="14" t="s">
        <v>77</v>
      </c>
      <c r="C76" s="16" t="s">
        <v>32</v>
      </c>
      <c r="D76" s="14" t="s">
        <v>69</v>
      </c>
      <c r="E76" s="18">
        <v>2</v>
      </c>
      <c r="F76" s="59">
        <v>0.2</v>
      </c>
      <c r="G76" s="13">
        <v>536.23</v>
      </c>
      <c r="H76" s="66">
        <v>0.107</v>
      </c>
      <c r="I76" s="13">
        <v>0</v>
      </c>
    </row>
    <row r="77" spans="1:21" ht="15.75" hidden="1" customHeight="1">
      <c r="A77" s="29"/>
      <c r="B77" s="14" t="s">
        <v>94</v>
      </c>
      <c r="C77" s="16" t="s">
        <v>31</v>
      </c>
      <c r="D77" s="14"/>
      <c r="E77" s="18">
        <v>1</v>
      </c>
      <c r="F77" s="72">
        <f>SUM(E77)</f>
        <v>1</v>
      </c>
      <c r="G77" s="13">
        <v>383.25</v>
      </c>
      <c r="H77" s="66">
        <f t="shared" si="7"/>
        <v>0.38324999999999998</v>
      </c>
      <c r="I77" s="13">
        <v>0</v>
      </c>
    </row>
    <row r="78" spans="1:21" ht="15.75" hidden="1" customHeight="1">
      <c r="A78" s="29"/>
      <c r="B78" s="14" t="s">
        <v>78</v>
      </c>
      <c r="C78" s="16" t="s">
        <v>31</v>
      </c>
      <c r="D78" s="14"/>
      <c r="E78" s="18">
        <v>1</v>
      </c>
      <c r="F78" s="13">
        <v>1</v>
      </c>
      <c r="G78" s="13">
        <v>911.85</v>
      </c>
      <c r="H78" s="66">
        <f>F78*G78/1000</f>
        <v>0.91185000000000005</v>
      </c>
      <c r="I78" s="13">
        <v>0</v>
      </c>
    </row>
    <row r="79" spans="1:21" ht="15.75" hidden="1" customHeight="1">
      <c r="A79" s="29"/>
      <c r="B79" s="87" t="s">
        <v>79</v>
      </c>
      <c r="C79" s="16"/>
      <c r="D79" s="14"/>
      <c r="E79" s="18"/>
      <c r="F79" s="13"/>
      <c r="G79" s="13" t="s">
        <v>143</v>
      </c>
      <c r="H79" s="66" t="s">
        <v>143</v>
      </c>
      <c r="I79" s="13"/>
    </row>
    <row r="80" spans="1:21" ht="15.75" hidden="1" customHeight="1">
      <c r="A80" s="29"/>
      <c r="B80" s="42" t="s">
        <v>144</v>
      </c>
      <c r="C80" s="16" t="s">
        <v>80</v>
      </c>
      <c r="D80" s="14"/>
      <c r="E80" s="18"/>
      <c r="F80" s="13">
        <v>0.6</v>
      </c>
      <c r="G80" s="13">
        <v>2949.85</v>
      </c>
      <c r="H80" s="66">
        <f t="shared" si="7"/>
        <v>1.7699099999999999</v>
      </c>
      <c r="I80" s="13">
        <v>0</v>
      </c>
      <c r="J80" s="5"/>
      <c r="K80" s="5"/>
      <c r="L80" s="5"/>
      <c r="M80" s="5"/>
      <c r="N80" s="5"/>
      <c r="O80" s="5"/>
      <c r="P80" s="5"/>
      <c r="Q80" s="5"/>
      <c r="R80" s="53"/>
      <c r="S80" s="53"/>
      <c r="T80" s="53"/>
      <c r="U80" s="53"/>
    </row>
    <row r="81" spans="1:21" ht="15.75" hidden="1" customHeight="1">
      <c r="A81" s="43"/>
      <c r="B81" s="54" t="s">
        <v>141</v>
      </c>
      <c r="C81" s="54"/>
      <c r="D81" s="54"/>
      <c r="E81" s="54"/>
      <c r="F81" s="54"/>
      <c r="G81" s="54"/>
      <c r="H81" s="54"/>
      <c r="I81" s="18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29"/>
      <c r="B82" s="69" t="s">
        <v>142</v>
      </c>
      <c r="C82" s="16"/>
      <c r="D82" s="14"/>
      <c r="E82" s="60"/>
      <c r="F82" s="13">
        <v>1</v>
      </c>
      <c r="G82" s="13">
        <v>21062.799999999999</v>
      </c>
      <c r="H82" s="66">
        <f>G82*F82/1000</f>
        <v>21.062799999999999</v>
      </c>
      <c r="I82" s="13">
        <v>0</v>
      </c>
      <c r="J82" s="5"/>
      <c r="K82" s="5"/>
      <c r="L82" s="5"/>
      <c r="M82" s="5"/>
      <c r="N82" s="5"/>
      <c r="O82" s="5"/>
      <c r="P82" s="5"/>
      <c r="Q82" s="5"/>
      <c r="R82" s="53"/>
      <c r="S82" s="53"/>
      <c r="T82" s="53"/>
      <c r="U82" s="53"/>
    </row>
    <row r="83" spans="1:21" ht="15.75" customHeight="1">
      <c r="A83" s="111" t="s">
        <v>196</v>
      </c>
      <c r="B83" s="112"/>
      <c r="C83" s="112"/>
      <c r="D83" s="112"/>
      <c r="E83" s="112"/>
      <c r="F83" s="112"/>
      <c r="G83" s="112"/>
      <c r="H83" s="112"/>
      <c r="I83" s="113"/>
    </row>
    <row r="84" spans="1:21" ht="15.75" customHeight="1">
      <c r="A84" s="29">
        <v>19</v>
      </c>
      <c r="B84" s="69" t="s">
        <v>145</v>
      </c>
      <c r="C84" s="16" t="s">
        <v>56</v>
      </c>
      <c r="D84" s="88" t="s">
        <v>57</v>
      </c>
      <c r="E84" s="13">
        <v>5816.5</v>
      </c>
      <c r="F84" s="13">
        <f>SUM(E84*12)</f>
        <v>69798</v>
      </c>
      <c r="G84" s="13">
        <v>2.54</v>
      </c>
      <c r="H84" s="66">
        <f>SUM(F84*G84/1000)</f>
        <v>177.28692000000001</v>
      </c>
      <c r="I84" s="13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53"/>
      <c r="S84" s="53"/>
      <c r="T84" s="53"/>
      <c r="U84" s="53"/>
    </row>
    <row r="85" spans="1:21" ht="31.5" customHeight="1">
      <c r="A85" s="29">
        <v>20</v>
      </c>
      <c r="B85" s="14" t="s">
        <v>81</v>
      </c>
      <c r="C85" s="16"/>
      <c r="D85" s="88" t="s">
        <v>57</v>
      </c>
      <c r="E85" s="71">
        <f>E84</f>
        <v>5816.5</v>
      </c>
      <c r="F85" s="13">
        <f>E85*12</f>
        <v>69798</v>
      </c>
      <c r="G85" s="13">
        <v>2.0499999999999998</v>
      </c>
      <c r="H85" s="66">
        <f>F85*G85/1000</f>
        <v>143.08589999999998</v>
      </c>
      <c r="I85" s="13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53"/>
      <c r="S85" s="53"/>
      <c r="T85" s="53"/>
      <c r="U85" s="53"/>
    </row>
    <row r="86" spans="1:21" ht="15.75" customHeight="1">
      <c r="A86" s="43"/>
      <c r="B86" s="34" t="s">
        <v>84</v>
      </c>
      <c r="C86" s="35"/>
      <c r="D86" s="15"/>
      <c r="E86" s="15"/>
      <c r="F86" s="15"/>
      <c r="G86" s="18"/>
      <c r="H86" s="18"/>
      <c r="I86" s="31">
        <f>I16+I17+I18+I20+I27+I28+I40+I41+I42+I43+I44+I45+I46+I59+I60+I64+I66+I74+I84+I85</f>
        <v>113591.20507183332</v>
      </c>
    </row>
    <row r="87" spans="1:21" ht="15.75" customHeight="1">
      <c r="A87" s="125" t="s">
        <v>62</v>
      </c>
      <c r="B87" s="126"/>
      <c r="C87" s="126"/>
      <c r="D87" s="126"/>
      <c r="E87" s="126"/>
      <c r="F87" s="126"/>
      <c r="G87" s="126"/>
      <c r="H87" s="126"/>
      <c r="I87" s="127"/>
    </row>
    <row r="88" spans="1:21" ht="15.75" customHeight="1">
      <c r="A88" s="29">
        <v>21</v>
      </c>
      <c r="B88" s="46" t="s">
        <v>86</v>
      </c>
      <c r="C88" s="65" t="s">
        <v>136</v>
      </c>
      <c r="D88" s="42"/>
      <c r="E88" s="13"/>
      <c r="F88" s="13">
        <v>26</v>
      </c>
      <c r="G88" s="13">
        <v>189.88</v>
      </c>
      <c r="H88" s="66">
        <f t="shared" ref="H88" si="9">G88*F88/1000</f>
        <v>4.9368800000000004</v>
      </c>
      <c r="I88" s="13">
        <f>G88*10</f>
        <v>1898.8</v>
      </c>
      <c r="J88" s="5"/>
      <c r="K88" s="5"/>
      <c r="L88" s="5"/>
      <c r="M88" s="5"/>
      <c r="N88" s="5"/>
      <c r="O88" s="5"/>
      <c r="P88" s="5"/>
      <c r="Q88" s="5"/>
      <c r="R88" s="53"/>
      <c r="S88" s="53"/>
      <c r="T88" s="53"/>
      <c r="U88" s="53"/>
    </row>
    <row r="89" spans="1:21" ht="31.5" customHeight="1">
      <c r="A89" s="29">
        <v>22</v>
      </c>
      <c r="B89" s="64" t="s">
        <v>163</v>
      </c>
      <c r="C89" s="29" t="s">
        <v>164</v>
      </c>
      <c r="D89" s="42"/>
      <c r="E89" s="33"/>
      <c r="F89" s="33">
        <v>2</v>
      </c>
      <c r="G89" s="33">
        <v>1934.94</v>
      </c>
      <c r="H89" s="97">
        <f>G89*F89/1000</f>
        <v>3.8698800000000002</v>
      </c>
      <c r="I89" s="13">
        <f>G89</f>
        <v>1934.94</v>
      </c>
      <c r="J89" s="5"/>
      <c r="K89" s="5"/>
      <c r="L89" s="5"/>
      <c r="M89" s="5"/>
      <c r="N89" s="5"/>
      <c r="O89" s="5"/>
      <c r="P89" s="5"/>
      <c r="Q89" s="5"/>
      <c r="R89" s="58"/>
      <c r="S89" s="58"/>
      <c r="T89" s="58"/>
      <c r="U89" s="58"/>
    </row>
    <row r="90" spans="1:21" ht="31.5" customHeight="1">
      <c r="A90" s="29">
        <v>23</v>
      </c>
      <c r="B90" s="46" t="s">
        <v>235</v>
      </c>
      <c r="C90" s="65" t="s">
        <v>85</v>
      </c>
      <c r="D90" s="42"/>
      <c r="E90" s="33"/>
      <c r="F90" s="33">
        <v>0.5</v>
      </c>
      <c r="G90" s="33">
        <v>1272</v>
      </c>
      <c r="H90" s="97">
        <f t="shared" ref="H90:H91" si="10">G90*F90/1000</f>
        <v>0.63600000000000001</v>
      </c>
      <c r="I90" s="13">
        <f>G90*0.5</f>
        <v>636</v>
      </c>
      <c r="J90" s="5"/>
      <c r="K90" s="5"/>
      <c r="L90" s="5"/>
      <c r="M90" s="5"/>
      <c r="N90" s="5"/>
      <c r="O90" s="5"/>
      <c r="P90" s="5"/>
      <c r="Q90" s="5"/>
      <c r="R90" s="53"/>
      <c r="S90" s="53"/>
      <c r="T90" s="53"/>
      <c r="U90" s="53"/>
    </row>
    <row r="91" spans="1:21" ht="15.75" customHeight="1">
      <c r="A91" s="29">
        <v>24</v>
      </c>
      <c r="B91" s="46" t="s">
        <v>236</v>
      </c>
      <c r="C91" s="65" t="s">
        <v>172</v>
      </c>
      <c r="D91" s="42"/>
      <c r="E91" s="33"/>
      <c r="F91" s="33">
        <v>0.02</v>
      </c>
      <c r="G91" s="33">
        <v>7412.92</v>
      </c>
      <c r="H91" s="97">
        <f t="shared" si="10"/>
        <v>0.14825839999999998</v>
      </c>
      <c r="I91" s="13">
        <f>G91*0.01</f>
        <v>74.129199999999997</v>
      </c>
      <c r="J91" s="5"/>
      <c r="K91" s="5"/>
      <c r="L91" s="5"/>
      <c r="M91" s="5"/>
      <c r="N91" s="5"/>
      <c r="O91" s="5"/>
      <c r="P91" s="5"/>
      <c r="Q91" s="5"/>
      <c r="R91" s="53"/>
      <c r="S91" s="53"/>
      <c r="T91" s="53"/>
      <c r="U91" s="53"/>
    </row>
    <row r="92" spans="1:21" ht="31.5" customHeight="1">
      <c r="A92" s="29">
        <v>25</v>
      </c>
      <c r="B92" s="46" t="s">
        <v>167</v>
      </c>
      <c r="C92" s="65" t="s">
        <v>38</v>
      </c>
      <c r="D92" s="98"/>
      <c r="E92" s="33"/>
      <c r="F92" s="33">
        <v>7.0000000000000007E-2</v>
      </c>
      <c r="G92" s="33">
        <v>3581.13</v>
      </c>
      <c r="H92" s="97">
        <f>G92*F92/1000</f>
        <v>0.25067910000000004</v>
      </c>
      <c r="I92" s="13">
        <f>G92*0.01</f>
        <v>35.811300000000003</v>
      </c>
      <c r="J92" s="5"/>
      <c r="K92" s="5"/>
      <c r="L92" s="5"/>
      <c r="M92" s="5"/>
      <c r="N92" s="5"/>
      <c r="O92" s="5"/>
      <c r="P92" s="5"/>
      <c r="Q92" s="5"/>
      <c r="R92" s="53"/>
      <c r="S92" s="53"/>
      <c r="T92" s="53"/>
      <c r="U92" s="53"/>
    </row>
    <row r="93" spans="1:21" ht="32.25" customHeight="1">
      <c r="A93" s="29">
        <v>26</v>
      </c>
      <c r="B93" s="48" t="s">
        <v>237</v>
      </c>
      <c r="C93" s="35" t="s">
        <v>55</v>
      </c>
      <c r="D93" s="98"/>
      <c r="E93" s="33"/>
      <c r="F93" s="33">
        <v>0.3</v>
      </c>
      <c r="G93" s="33">
        <v>6848.69</v>
      </c>
      <c r="H93" s="97">
        <f>G93*F93/1000</f>
        <v>2.0546069999999999</v>
      </c>
      <c r="I93" s="13">
        <f>G93*0.3</f>
        <v>2054.607</v>
      </c>
      <c r="J93" s="5"/>
      <c r="K93" s="5"/>
      <c r="L93" s="5"/>
      <c r="M93" s="5"/>
      <c r="N93" s="5"/>
      <c r="O93" s="5"/>
      <c r="P93" s="5"/>
      <c r="Q93" s="5"/>
      <c r="R93" s="53"/>
      <c r="S93" s="53"/>
      <c r="T93" s="53"/>
      <c r="U93" s="53"/>
    </row>
    <row r="94" spans="1:21" ht="15.75" customHeight="1">
      <c r="A94" s="29"/>
      <c r="B94" s="40" t="s">
        <v>52</v>
      </c>
      <c r="C94" s="36"/>
      <c r="D94" s="44"/>
      <c r="E94" s="36">
        <v>1</v>
      </c>
      <c r="F94" s="36"/>
      <c r="G94" s="36"/>
      <c r="H94" s="36"/>
      <c r="I94" s="31">
        <f>SUM(I88:I93)</f>
        <v>6634.2875000000004</v>
      </c>
    </row>
    <row r="95" spans="1:21" ht="15.75" customHeight="1">
      <c r="A95" s="29"/>
      <c r="B95" s="42" t="s">
        <v>82</v>
      </c>
      <c r="C95" s="15"/>
      <c r="D95" s="15"/>
      <c r="E95" s="37"/>
      <c r="F95" s="37"/>
      <c r="G95" s="38"/>
      <c r="H95" s="38"/>
      <c r="I95" s="17">
        <v>0</v>
      </c>
    </row>
    <row r="96" spans="1:21" ht="15.75" customHeight="1">
      <c r="A96" s="45"/>
      <c r="B96" s="41" t="s">
        <v>210</v>
      </c>
      <c r="C96" s="32"/>
      <c r="D96" s="32"/>
      <c r="E96" s="32"/>
      <c r="F96" s="32"/>
      <c r="G96" s="32"/>
      <c r="H96" s="32"/>
      <c r="I96" s="39">
        <f>I86+I94</f>
        <v>120225.49257183333</v>
      </c>
    </row>
    <row r="97" spans="1:9" ht="15.75" customHeight="1">
      <c r="A97" s="128" t="s">
        <v>238</v>
      </c>
      <c r="B97" s="128"/>
      <c r="C97" s="128"/>
      <c r="D97" s="128"/>
      <c r="E97" s="128"/>
      <c r="F97" s="128"/>
      <c r="G97" s="128"/>
      <c r="H97" s="128"/>
      <c r="I97" s="128"/>
    </row>
    <row r="98" spans="1:9" ht="15.75" customHeight="1">
      <c r="A98" s="57"/>
      <c r="B98" s="129" t="s">
        <v>239</v>
      </c>
      <c r="C98" s="129"/>
      <c r="D98" s="129"/>
      <c r="E98" s="129"/>
      <c r="F98" s="129"/>
      <c r="G98" s="129"/>
      <c r="H98" s="63"/>
      <c r="I98" s="3"/>
    </row>
    <row r="99" spans="1:9" ht="15.75" customHeight="1">
      <c r="A99" s="53"/>
      <c r="B99" s="130" t="s">
        <v>6</v>
      </c>
      <c r="C99" s="130"/>
      <c r="D99" s="130"/>
      <c r="E99" s="130"/>
      <c r="F99" s="130"/>
      <c r="G99" s="130"/>
      <c r="H99" s="24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 customHeight="1">
      <c r="A101" s="131" t="s">
        <v>7</v>
      </c>
      <c r="B101" s="131"/>
      <c r="C101" s="131"/>
      <c r="D101" s="131"/>
      <c r="E101" s="131"/>
      <c r="F101" s="131"/>
      <c r="G101" s="131"/>
      <c r="H101" s="131"/>
      <c r="I101" s="131"/>
    </row>
    <row r="102" spans="1:9" ht="15.75" customHeight="1">
      <c r="A102" s="131" t="s">
        <v>8</v>
      </c>
      <c r="B102" s="131"/>
      <c r="C102" s="131"/>
      <c r="D102" s="131"/>
      <c r="E102" s="131"/>
      <c r="F102" s="131"/>
      <c r="G102" s="131"/>
      <c r="H102" s="131"/>
      <c r="I102" s="131"/>
    </row>
    <row r="103" spans="1:9" ht="15.75" customHeight="1">
      <c r="A103" s="120" t="s">
        <v>63</v>
      </c>
      <c r="B103" s="120"/>
      <c r="C103" s="120"/>
      <c r="D103" s="120"/>
      <c r="E103" s="120"/>
      <c r="F103" s="120"/>
      <c r="G103" s="120"/>
      <c r="H103" s="120"/>
      <c r="I103" s="120"/>
    </row>
    <row r="104" spans="1:9" ht="15.75" customHeight="1">
      <c r="A104" s="11"/>
    </row>
    <row r="105" spans="1:9" ht="15.75" customHeight="1">
      <c r="A105" s="133" t="s">
        <v>9</v>
      </c>
      <c r="B105" s="133"/>
      <c r="C105" s="133"/>
      <c r="D105" s="133"/>
      <c r="E105" s="133"/>
      <c r="F105" s="133"/>
      <c r="G105" s="133"/>
      <c r="H105" s="133"/>
      <c r="I105" s="133"/>
    </row>
    <row r="106" spans="1:9" ht="15.75" customHeight="1">
      <c r="A106" s="4"/>
    </row>
    <row r="107" spans="1:9" ht="15.75" customHeight="1">
      <c r="B107" s="56" t="s">
        <v>10</v>
      </c>
      <c r="C107" s="134" t="s">
        <v>96</v>
      </c>
      <c r="D107" s="134"/>
      <c r="E107" s="134"/>
      <c r="F107" s="61"/>
      <c r="I107" s="52"/>
    </row>
    <row r="108" spans="1:9" ht="15.75" customHeight="1">
      <c r="A108" s="53"/>
      <c r="C108" s="130" t="s">
        <v>11</v>
      </c>
      <c r="D108" s="130"/>
      <c r="E108" s="130"/>
      <c r="F108" s="24"/>
      <c r="I108" s="51" t="s">
        <v>12</v>
      </c>
    </row>
    <row r="109" spans="1:9" ht="15.75" customHeight="1">
      <c r="A109" s="25"/>
      <c r="C109" s="12"/>
      <c r="D109" s="12"/>
      <c r="G109" s="12"/>
      <c r="H109" s="12"/>
    </row>
    <row r="110" spans="1:9" ht="15.75" customHeight="1">
      <c r="B110" s="56" t="s">
        <v>13</v>
      </c>
      <c r="C110" s="135"/>
      <c r="D110" s="135"/>
      <c r="E110" s="135"/>
      <c r="F110" s="62"/>
      <c r="I110" s="52"/>
    </row>
    <row r="111" spans="1:9" ht="15.75" customHeight="1">
      <c r="A111" s="53"/>
      <c r="C111" s="110" t="s">
        <v>11</v>
      </c>
      <c r="D111" s="110"/>
      <c r="E111" s="110"/>
      <c r="F111" s="53"/>
      <c r="I111" s="51" t="s">
        <v>12</v>
      </c>
    </row>
    <row r="112" spans="1:9" ht="15.75" customHeight="1">
      <c r="A112" s="4" t="s">
        <v>14</v>
      </c>
    </row>
    <row r="113" spans="1:9" ht="15.75" customHeight="1">
      <c r="A113" s="136" t="s">
        <v>15</v>
      </c>
      <c r="B113" s="136"/>
      <c r="C113" s="136"/>
      <c r="D113" s="136"/>
      <c r="E113" s="136"/>
      <c r="F113" s="136"/>
      <c r="G113" s="136"/>
      <c r="H113" s="136"/>
      <c r="I113" s="136"/>
    </row>
    <row r="114" spans="1:9" ht="45" customHeight="1">
      <c r="A114" s="132" t="s">
        <v>16</v>
      </c>
      <c r="B114" s="132"/>
      <c r="C114" s="132"/>
      <c r="D114" s="132"/>
      <c r="E114" s="132"/>
      <c r="F114" s="132"/>
      <c r="G114" s="132"/>
      <c r="H114" s="132"/>
      <c r="I114" s="132"/>
    </row>
    <row r="115" spans="1:9" ht="30" customHeight="1">
      <c r="A115" s="132" t="s">
        <v>17</v>
      </c>
      <c r="B115" s="132"/>
      <c r="C115" s="132"/>
      <c r="D115" s="132"/>
      <c r="E115" s="132"/>
      <c r="F115" s="132"/>
      <c r="G115" s="132"/>
      <c r="H115" s="132"/>
      <c r="I115" s="132"/>
    </row>
    <row r="116" spans="1:9" ht="30" customHeight="1">
      <c r="A116" s="132" t="s">
        <v>21</v>
      </c>
      <c r="B116" s="132"/>
      <c r="C116" s="132"/>
      <c r="D116" s="132"/>
      <c r="E116" s="132"/>
      <c r="F116" s="132"/>
      <c r="G116" s="132"/>
      <c r="H116" s="132"/>
      <c r="I116" s="132"/>
    </row>
    <row r="117" spans="1:9" ht="15" customHeight="1">
      <c r="A117" s="132" t="s">
        <v>20</v>
      </c>
      <c r="B117" s="132"/>
      <c r="C117" s="132"/>
      <c r="D117" s="132"/>
      <c r="E117" s="132"/>
      <c r="F117" s="132"/>
      <c r="G117" s="132"/>
      <c r="H117" s="132"/>
      <c r="I117" s="132"/>
    </row>
  </sheetData>
  <autoFilter ref="I12:I62"/>
  <mergeCells count="29"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  <mergeCell ref="A103:I103"/>
    <mergeCell ref="A15:I15"/>
    <mergeCell ref="A29:I29"/>
    <mergeCell ref="A47:I47"/>
    <mergeCell ref="A57:I57"/>
    <mergeCell ref="A87:I87"/>
    <mergeCell ref="A97:I97"/>
    <mergeCell ref="B98:G98"/>
    <mergeCell ref="B99:G99"/>
    <mergeCell ref="A101:I101"/>
    <mergeCell ref="A102:I102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92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14" t="s">
        <v>198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146</v>
      </c>
      <c r="B4" s="115"/>
      <c r="C4" s="115"/>
      <c r="D4" s="115"/>
      <c r="E4" s="115"/>
      <c r="F4" s="115"/>
      <c r="G4" s="115"/>
      <c r="H4" s="115"/>
      <c r="I4" s="115"/>
    </row>
    <row r="5" spans="1:13" ht="15.75" customHeight="1">
      <c r="A5" s="114" t="s">
        <v>240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 customHeight="1">
      <c r="A6" s="2"/>
      <c r="B6" s="55"/>
      <c r="C6" s="55"/>
      <c r="D6" s="55"/>
      <c r="E6" s="55"/>
      <c r="F6" s="55"/>
      <c r="G6" s="55"/>
      <c r="H6" s="55"/>
      <c r="I6" s="30">
        <v>42886</v>
      </c>
      <c r="J6" s="2"/>
      <c r="K6" s="2"/>
      <c r="L6" s="2"/>
      <c r="M6" s="2"/>
    </row>
    <row r="7" spans="1:13" ht="15.75" customHeight="1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7" t="s">
        <v>152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8" t="s">
        <v>209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19" t="s">
        <v>61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29">
        <v>1</v>
      </c>
      <c r="B16" s="69" t="s">
        <v>93</v>
      </c>
      <c r="C16" s="70" t="s">
        <v>115</v>
      </c>
      <c r="D16" s="69" t="s">
        <v>116</v>
      </c>
      <c r="E16" s="71">
        <v>176.24</v>
      </c>
      <c r="F16" s="72">
        <f>SUM(E16*156/100)</f>
        <v>274.93440000000004</v>
      </c>
      <c r="G16" s="72">
        <v>187.48</v>
      </c>
      <c r="H16" s="73">
        <f t="shared" ref="H16:H26" si="0">SUM(F16*G16/1000)</f>
        <v>51.544701312000008</v>
      </c>
      <c r="I16" s="13">
        <f>F16/12*G16</f>
        <v>4295.3917760000004</v>
      </c>
      <c r="J16" s="8"/>
      <c r="K16" s="8"/>
      <c r="L16" s="8"/>
      <c r="M16" s="8"/>
    </row>
    <row r="17" spans="1:13" ht="15.75" customHeight="1">
      <c r="A17" s="29">
        <v>2</v>
      </c>
      <c r="B17" s="69" t="s">
        <v>100</v>
      </c>
      <c r="C17" s="70" t="s">
        <v>115</v>
      </c>
      <c r="D17" s="69" t="s">
        <v>117</v>
      </c>
      <c r="E17" s="71">
        <v>704.96</v>
      </c>
      <c r="F17" s="72">
        <f>SUM(E17*104/100)</f>
        <v>733.15839999999992</v>
      </c>
      <c r="G17" s="72">
        <v>187.48</v>
      </c>
      <c r="H17" s="73">
        <v>137.453</v>
      </c>
      <c r="I17" s="13">
        <f>F17/12*G17</f>
        <v>11454.378069333332</v>
      </c>
      <c r="J17" s="22"/>
      <c r="K17" s="8"/>
      <c r="L17" s="8"/>
      <c r="M17" s="8"/>
    </row>
    <row r="18" spans="1:13" ht="15.75" customHeight="1">
      <c r="A18" s="29">
        <v>3</v>
      </c>
      <c r="B18" s="69" t="s">
        <v>101</v>
      </c>
      <c r="C18" s="70" t="s">
        <v>115</v>
      </c>
      <c r="D18" s="69" t="s">
        <v>118</v>
      </c>
      <c r="E18" s="71">
        <f>SUM(E16+E17)</f>
        <v>881.2</v>
      </c>
      <c r="F18" s="72">
        <f>SUM(E18*24/100)</f>
        <v>211.48800000000003</v>
      </c>
      <c r="G18" s="72">
        <v>539.30999999999995</v>
      </c>
      <c r="H18" s="73">
        <f t="shared" si="0"/>
        <v>114.05759328000001</v>
      </c>
      <c r="I18" s="13">
        <f>F18/12*G18</f>
        <v>9504.7994400000007</v>
      </c>
      <c r="J18" s="22"/>
      <c r="K18" s="8"/>
      <c r="L18" s="8"/>
      <c r="M18" s="8"/>
    </row>
    <row r="19" spans="1:13" ht="15.75" customHeight="1">
      <c r="A19" s="29">
        <v>4</v>
      </c>
      <c r="B19" s="69" t="s">
        <v>119</v>
      </c>
      <c r="C19" s="70" t="s">
        <v>120</v>
      </c>
      <c r="D19" s="69" t="s">
        <v>121</v>
      </c>
      <c r="E19" s="71">
        <v>28.8</v>
      </c>
      <c r="F19" s="72">
        <f>SUM(E19/10)</f>
        <v>2.88</v>
      </c>
      <c r="G19" s="72">
        <v>181.91</v>
      </c>
      <c r="H19" s="73">
        <f t="shared" si="0"/>
        <v>0.52390080000000006</v>
      </c>
      <c r="I19" s="13">
        <f>F19/2*G19</f>
        <v>261.9504</v>
      </c>
      <c r="J19" s="22"/>
      <c r="K19" s="8"/>
      <c r="L19" s="8"/>
      <c r="M19" s="8"/>
    </row>
    <row r="20" spans="1:13" ht="15.75" customHeight="1">
      <c r="A20" s="29">
        <v>5</v>
      </c>
      <c r="B20" s="69" t="s">
        <v>106</v>
      </c>
      <c r="C20" s="70" t="s">
        <v>115</v>
      </c>
      <c r="D20" s="69" t="s">
        <v>30</v>
      </c>
      <c r="E20" s="71">
        <v>17.5</v>
      </c>
      <c r="F20" s="72">
        <f>SUM(E20*12/100)</f>
        <v>2.1</v>
      </c>
      <c r="G20" s="72">
        <v>232.92</v>
      </c>
      <c r="H20" s="73">
        <f t="shared" si="0"/>
        <v>0.48913200000000001</v>
      </c>
      <c r="I20" s="13">
        <f>F20/12*G20</f>
        <v>40.761000000000003</v>
      </c>
      <c r="J20" s="22"/>
      <c r="K20" s="8"/>
      <c r="L20" s="8"/>
      <c r="M20" s="8"/>
    </row>
    <row r="21" spans="1:13" ht="15.75" customHeight="1">
      <c r="A21" s="29">
        <v>6</v>
      </c>
      <c r="B21" s="69" t="s">
        <v>107</v>
      </c>
      <c r="C21" s="70" t="s">
        <v>115</v>
      </c>
      <c r="D21" s="69" t="s">
        <v>114</v>
      </c>
      <c r="E21" s="71">
        <v>5.94</v>
      </c>
      <c r="F21" s="72">
        <f>SUM(E21*6/100)</f>
        <v>0.35639999999999999</v>
      </c>
      <c r="G21" s="72">
        <v>231.03</v>
      </c>
      <c r="H21" s="73">
        <f t="shared" si="0"/>
        <v>8.2339091999999989E-2</v>
      </c>
      <c r="I21" s="13">
        <f>F21/6*G21</f>
        <v>13.723182</v>
      </c>
      <c r="J21" s="22"/>
      <c r="K21" s="8"/>
      <c r="L21" s="8"/>
      <c r="M21" s="8"/>
    </row>
    <row r="22" spans="1:13" ht="15.75" customHeight="1">
      <c r="A22" s="29">
        <v>7</v>
      </c>
      <c r="B22" s="69" t="s">
        <v>122</v>
      </c>
      <c r="C22" s="70" t="s">
        <v>53</v>
      </c>
      <c r="D22" s="69" t="s">
        <v>121</v>
      </c>
      <c r="E22" s="71">
        <v>376</v>
      </c>
      <c r="F22" s="72">
        <f>SUM(E22/100)</f>
        <v>3.76</v>
      </c>
      <c r="G22" s="72">
        <v>287.83999999999997</v>
      </c>
      <c r="H22" s="73">
        <f t="shared" si="0"/>
        <v>1.0822783999999999</v>
      </c>
      <c r="I22" s="13">
        <f>F22*G22</f>
        <v>1082.2783999999999</v>
      </c>
      <c r="J22" s="22"/>
      <c r="K22" s="8"/>
      <c r="L22" s="8"/>
      <c r="M22" s="8"/>
    </row>
    <row r="23" spans="1:13" ht="15.75" customHeight="1">
      <c r="A23" s="29">
        <v>8</v>
      </c>
      <c r="B23" s="69" t="s">
        <v>123</v>
      </c>
      <c r="C23" s="70" t="s">
        <v>53</v>
      </c>
      <c r="D23" s="69" t="s">
        <v>121</v>
      </c>
      <c r="E23" s="74">
        <v>60.4</v>
      </c>
      <c r="F23" s="72">
        <f>SUM(E23/100)</f>
        <v>0.60399999999999998</v>
      </c>
      <c r="G23" s="72">
        <v>47.34</v>
      </c>
      <c r="H23" s="73">
        <f t="shared" si="0"/>
        <v>2.8593360000000002E-2</v>
      </c>
      <c r="I23" s="13">
        <f t="shared" ref="I23:I26" si="1">F23*G23</f>
        <v>28.593360000000001</v>
      </c>
      <c r="J23" s="22"/>
      <c r="K23" s="8"/>
      <c r="L23" s="8"/>
      <c r="M23" s="8"/>
    </row>
    <row r="24" spans="1:13" ht="15.75" customHeight="1">
      <c r="A24" s="29">
        <v>9</v>
      </c>
      <c r="B24" s="69" t="s">
        <v>110</v>
      </c>
      <c r="C24" s="70" t="s">
        <v>53</v>
      </c>
      <c r="D24" s="69" t="s">
        <v>54</v>
      </c>
      <c r="E24" s="18">
        <v>25</v>
      </c>
      <c r="F24" s="75">
        <f>E24/100</f>
        <v>0.25</v>
      </c>
      <c r="G24" s="72">
        <v>416.62</v>
      </c>
      <c r="H24" s="73">
        <f>F24*G24/1000</f>
        <v>0.104155</v>
      </c>
      <c r="I24" s="13">
        <f t="shared" si="1"/>
        <v>104.155</v>
      </c>
      <c r="J24" s="22"/>
      <c r="K24" s="8"/>
      <c r="L24" s="8"/>
      <c r="M24" s="8"/>
    </row>
    <row r="25" spans="1:13" ht="15.75" customHeight="1">
      <c r="A25" s="29">
        <v>10</v>
      </c>
      <c r="B25" s="69" t="s">
        <v>124</v>
      </c>
      <c r="C25" s="70" t="s">
        <v>53</v>
      </c>
      <c r="D25" s="69" t="s">
        <v>121</v>
      </c>
      <c r="E25" s="74">
        <v>23.75</v>
      </c>
      <c r="F25" s="72">
        <f>E25/100</f>
        <v>0.23749999999999999</v>
      </c>
      <c r="G25" s="72">
        <v>231.03</v>
      </c>
      <c r="H25" s="73">
        <f>F25*G25/1000</f>
        <v>5.4869624999999998E-2</v>
      </c>
      <c r="I25" s="13">
        <f t="shared" si="1"/>
        <v>54.869624999999999</v>
      </c>
      <c r="J25" s="22"/>
      <c r="K25" s="8"/>
      <c r="L25" s="8"/>
      <c r="M25" s="8"/>
    </row>
    <row r="26" spans="1:13" ht="15.75" customHeight="1">
      <c r="A26" s="29">
        <v>11</v>
      </c>
      <c r="B26" s="69" t="s">
        <v>111</v>
      </c>
      <c r="C26" s="70" t="s">
        <v>53</v>
      </c>
      <c r="D26" s="69" t="s">
        <v>121</v>
      </c>
      <c r="E26" s="71">
        <v>10.63</v>
      </c>
      <c r="F26" s="72">
        <f>SUM(E26/100)</f>
        <v>0.10630000000000001</v>
      </c>
      <c r="G26" s="72">
        <v>556.74</v>
      </c>
      <c r="H26" s="73">
        <f t="shared" si="0"/>
        <v>5.9181462000000004E-2</v>
      </c>
      <c r="I26" s="13">
        <f t="shared" si="1"/>
        <v>59.181462000000003</v>
      </c>
      <c r="J26" s="22"/>
      <c r="K26" s="8"/>
      <c r="L26" s="8"/>
      <c r="M26" s="8"/>
    </row>
    <row r="27" spans="1:13" ht="15.75" customHeight="1">
      <c r="A27" s="29">
        <v>12</v>
      </c>
      <c r="B27" s="69" t="s">
        <v>66</v>
      </c>
      <c r="C27" s="70" t="s">
        <v>34</v>
      </c>
      <c r="D27" s="69" t="s">
        <v>248</v>
      </c>
      <c r="E27" s="71">
        <v>0.1</v>
      </c>
      <c r="F27" s="72">
        <f>SUM(E27*365)</f>
        <v>36.5</v>
      </c>
      <c r="G27" s="72">
        <v>157.18</v>
      </c>
      <c r="H27" s="73">
        <f>SUM(F27*G27/1000)</f>
        <v>5.737070000000001</v>
      </c>
      <c r="I27" s="13">
        <f>F27/12*G27</f>
        <v>478.08916666666664</v>
      </c>
      <c r="J27" s="23"/>
    </row>
    <row r="28" spans="1:13" ht="15.75" customHeight="1">
      <c r="A28" s="29">
        <v>13</v>
      </c>
      <c r="B28" s="77" t="s">
        <v>23</v>
      </c>
      <c r="C28" s="70" t="s">
        <v>24</v>
      </c>
      <c r="D28" s="69" t="s">
        <v>248</v>
      </c>
      <c r="E28" s="71">
        <v>5816.5</v>
      </c>
      <c r="F28" s="72">
        <f>SUM(E28*12)</f>
        <v>69798</v>
      </c>
      <c r="G28" s="72">
        <v>4.72</v>
      </c>
      <c r="H28" s="73">
        <f>SUM(F28*G28/1000)</f>
        <v>329.44655999999998</v>
      </c>
      <c r="I28" s="13">
        <f>F28/12*G28</f>
        <v>27453.879999999997</v>
      </c>
      <c r="J28" s="23"/>
    </row>
    <row r="29" spans="1:13" ht="15.75" customHeight="1">
      <c r="A29" s="121" t="s">
        <v>90</v>
      </c>
      <c r="B29" s="121"/>
      <c r="C29" s="121"/>
      <c r="D29" s="121"/>
      <c r="E29" s="121"/>
      <c r="F29" s="121"/>
      <c r="G29" s="121"/>
      <c r="H29" s="121"/>
      <c r="I29" s="121"/>
      <c r="J29" s="22"/>
      <c r="K29" s="8"/>
      <c r="L29" s="8"/>
      <c r="M29" s="8"/>
    </row>
    <row r="30" spans="1:13" ht="15.75" customHeight="1">
      <c r="A30" s="29"/>
      <c r="B30" s="90" t="s">
        <v>28</v>
      </c>
      <c r="C30" s="70"/>
      <c r="D30" s="69"/>
      <c r="E30" s="71"/>
      <c r="F30" s="72"/>
      <c r="G30" s="72"/>
      <c r="H30" s="73"/>
      <c r="I30" s="13"/>
      <c r="J30" s="22"/>
      <c r="K30" s="8"/>
      <c r="L30" s="8"/>
      <c r="M30" s="8"/>
    </row>
    <row r="31" spans="1:13" ht="15.75" customHeight="1">
      <c r="A31" s="29">
        <v>14</v>
      </c>
      <c r="B31" s="69" t="s">
        <v>125</v>
      </c>
      <c r="C31" s="70" t="s">
        <v>126</v>
      </c>
      <c r="D31" s="69" t="s">
        <v>127</v>
      </c>
      <c r="E31" s="72">
        <v>357.22</v>
      </c>
      <c r="F31" s="72">
        <f>SUM(E31*52/1000)</f>
        <v>18.575440000000004</v>
      </c>
      <c r="G31" s="72">
        <v>166.65</v>
      </c>
      <c r="H31" s="73">
        <f t="shared" ref="H31:H38" si="2">SUM(F31*G31/1000)</f>
        <v>3.0955970760000011</v>
      </c>
      <c r="I31" s="13">
        <f>F31/6*G31</f>
        <v>515.93284600000015</v>
      </c>
      <c r="J31" s="22"/>
      <c r="K31" s="8"/>
      <c r="L31" s="8"/>
      <c r="M31" s="8"/>
    </row>
    <row r="32" spans="1:13" ht="31.5" customHeight="1">
      <c r="A32" s="29">
        <v>15</v>
      </c>
      <c r="B32" s="69" t="s">
        <v>191</v>
      </c>
      <c r="C32" s="70" t="s">
        <v>126</v>
      </c>
      <c r="D32" s="69" t="s">
        <v>128</v>
      </c>
      <c r="E32" s="72">
        <v>475.06</v>
      </c>
      <c r="F32" s="72">
        <f>SUM(E32*78/1000)</f>
        <v>37.054679999999998</v>
      </c>
      <c r="G32" s="72">
        <v>276.48</v>
      </c>
      <c r="H32" s="73">
        <f t="shared" si="2"/>
        <v>10.244877926400001</v>
      </c>
      <c r="I32" s="13">
        <f t="shared" ref="I32:I35" si="3">F32/6*G32</f>
        <v>1707.4796544000001</v>
      </c>
      <c r="J32" s="22"/>
      <c r="K32" s="8"/>
      <c r="L32" s="8"/>
      <c r="M32" s="8"/>
    </row>
    <row r="33" spans="1:14" ht="15.75" customHeight="1">
      <c r="A33" s="29">
        <v>16</v>
      </c>
      <c r="B33" s="69" t="s">
        <v>27</v>
      </c>
      <c r="C33" s="70" t="s">
        <v>126</v>
      </c>
      <c r="D33" s="69" t="s">
        <v>54</v>
      </c>
      <c r="E33" s="72">
        <v>357.22</v>
      </c>
      <c r="F33" s="72">
        <f>SUM(E33/1000)</f>
        <v>0.35722000000000004</v>
      </c>
      <c r="G33" s="72">
        <v>3228.73</v>
      </c>
      <c r="H33" s="73">
        <f t="shared" si="2"/>
        <v>1.1533669306000001</v>
      </c>
      <c r="I33" s="13">
        <f>F33*G33</f>
        <v>1153.3669306000002</v>
      </c>
      <c r="J33" s="22"/>
      <c r="K33" s="8"/>
      <c r="L33" s="8"/>
      <c r="M33" s="8"/>
    </row>
    <row r="34" spans="1:14" ht="15.75" customHeight="1">
      <c r="A34" s="29">
        <v>17</v>
      </c>
      <c r="B34" s="69" t="s">
        <v>157</v>
      </c>
      <c r="C34" s="70" t="s">
        <v>40</v>
      </c>
      <c r="D34" s="69" t="s">
        <v>158</v>
      </c>
      <c r="E34" s="72">
        <v>5</v>
      </c>
      <c r="F34" s="72">
        <f>E34*155/100</f>
        <v>7.75</v>
      </c>
      <c r="G34" s="72">
        <v>1391.86</v>
      </c>
      <c r="H34" s="73">
        <f>G34*F34/1000</f>
        <v>10.786914999999999</v>
      </c>
      <c r="I34" s="13">
        <f t="shared" si="3"/>
        <v>1797.8191666666667</v>
      </c>
      <c r="J34" s="22"/>
      <c r="K34" s="8"/>
      <c r="L34" s="8"/>
      <c r="M34" s="8"/>
    </row>
    <row r="35" spans="1:14" ht="15.75" customHeight="1">
      <c r="A35" s="29">
        <v>18</v>
      </c>
      <c r="B35" s="69" t="s">
        <v>129</v>
      </c>
      <c r="C35" s="70" t="s">
        <v>31</v>
      </c>
      <c r="D35" s="69" t="s">
        <v>65</v>
      </c>
      <c r="E35" s="76">
        <v>0.33333333333333331</v>
      </c>
      <c r="F35" s="72">
        <f>155/3</f>
        <v>51.666666666666664</v>
      </c>
      <c r="G35" s="72">
        <v>60.6</v>
      </c>
      <c r="H35" s="73">
        <f>SUM(G35*155/3/1000)</f>
        <v>3.1309999999999998</v>
      </c>
      <c r="I35" s="13">
        <f t="shared" si="3"/>
        <v>521.83333333333337</v>
      </c>
      <c r="J35" s="22"/>
      <c r="K35" s="8"/>
    </row>
    <row r="36" spans="1:14" ht="15.75" hidden="1" customHeight="1">
      <c r="A36" s="29"/>
      <c r="B36" s="69" t="s">
        <v>67</v>
      </c>
      <c r="C36" s="70" t="s">
        <v>34</v>
      </c>
      <c r="D36" s="69" t="s">
        <v>69</v>
      </c>
      <c r="E36" s="71"/>
      <c r="F36" s="72">
        <v>3</v>
      </c>
      <c r="G36" s="72">
        <v>204.52</v>
      </c>
      <c r="H36" s="73">
        <f t="shared" si="2"/>
        <v>0.61356000000000011</v>
      </c>
      <c r="I36" s="13">
        <v>0</v>
      </c>
      <c r="J36" s="23"/>
    </row>
    <row r="37" spans="1:14" ht="15.75" hidden="1" customHeight="1">
      <c r="A37" s="29"/>
      <c r="B37" s="69" t="s">
        <v>68</v>
      </c>
      <c r="C37" s="70" t="s">
        <v>33</v>
      </c>
      <c r="D37" s="69" t="s">
        <v>69</v>
      </c>
      <c r="E37" s="71"/>
      <c r="F37" s="72">
        <v>2</v>
      </c>
      <c r="G37" s="72">
        <v>1214.74</v>
      </c>
      <c r="H37" s="73">
        <f t="shared" si="2"/>
        <v>2.4294799999999999</v>
      </c>
      <c r="I37" s="13">
        <v>0</v>
      </c>
      <c r="J37" s="23"/>
    </row>
    <row r="38" spans="1:14" ht="15.75" hidden="1" customHeight="1">
      <c r="A38" s="29"/>
      <c r="B38" s="46" t="s">
        <v>159</v>
      </c>
      <c r="C38" s="65" t="s">
        <v>29</v>
      </c>
      <c r="D38" s="69"/>
      <c r="E38" s="71">
        <v>360.36</v>
      </c>
      <c r="F38" s="72">
        <f>E38*36/1000</f>
        <v>12.97296</v>
      </c>
      <c r="G38" s="72">
        <v>3228.73</v>
      </c>
      <c r="H38" s="73">
        <f t="shared" si="2"/>
        <v>41.886185140800002</v>
      </c>
      <c r="I38" s="13">
        <v>0</v>
      </c>
      <c r="J38" s="23"/>
    </row>
    <row r="39" spans="1:14" ht="15.75" hidden="1" customHeight="1">
      <c r="A39" s="29"/>
      <c r="B39" s="90" t="s">
        <v>5</v>
      </c>
      <c r="C39" s="70"/>
      <c r="D39" s="69"/>
      <c r="E39" s="71"/>
      <c r="F39" s="72"/>
      <c r="G39" s="72"/>
      <c r="H39" s="73" t="s">
        <v>143</v>
      </c>
      <c r="I39" s="13"/>
      <c r="J39" s="23"/>
    </row>
    <row r="40" spans="1:14" ht="15.75" hidden="1" customHeight="1">
      <c r="A40" s="29">
        <v>8</v>
      </c>
      <c r="B40" s="69" t="s">
        <v>26</v>
      </c>
      <c r="C40" s="70" t="s">
        <v>33</v>
      </c>
      <c r="D40" s="69"/>
      <c r="E40" s="71"/>
      <c r="F40" s="72">
        <v>10</v>
      </c>
      <c r="G40" s="72">
        <v>1632.6</v>
      </c>
      <c r="H40" s="73">
        <f t="shared" ref="H40:H46" si="4">SUM(F40*G40/1000)</f>
        <v>16.326000000000001</v>
      </c>
      <c r="I40" s="13">
        <f>F40/6*G40</f>
        <v>2721</v>
      </c>
      <c r="J40" s="23"/>
      <c r="L40" s="19"/>
      <c r="M40" s="20"/>
      <c r="N40" s="21"/>
    </row>
    <row r="41" spans="1:14" ht="15.75" hidden="1" customHeight="1">
      <c r="A41" s="29">
        <v>9</v>
      </c>
      <c r="B41" s="69" t="s">
        <v>70</v>
      </c>
      <c r="C41" s="70" t="s">
        <v>29</v>
      </c>
      <c r="D41" s="69" t="s">
        <v>130</v>
      </c>
      <c r="E41" s="72">
        <v>469.73</v>
      </c>
      <c r="F41" s="72">
        <f>SUM(E41*30/1000)</f>
        <v>14.091900000000001</v>
      </c>
      <c r="G41" s="72">
        <v>2247.8000000000002</v>
      </c>
      <c r="H41" s="73">
        <f t="shared" si="4"/>
        <v>31.675772820000006</v>
      </c>
      <c r="I41" s="13">
        <f>F41/6*G41</f>
        <v>5279.2954700000009</v>
      </c>
      <c r="J41" s="23"/>
      <c r="L41" s="19"/>
      <c r="M41" s="20"/>
      <c r="N41" s="21"/>
    </row>
    <row r="42" spans="1:14" ht="15.75" hidden="1" customHeight="1">
      <c r="A42" s="29"/>
      <c r="B42" s="69" t="s">
        <v>102</v>
      </c>
      <c r="C42" s="70" t="s">
        <v>147</v>
      </c>
      <c r="D42" s="69" t="s">
        <v>69</v>
      </c>
      <c r="E42" s="71"/>
      <c r="F42" s="72">
        <v>120</v>
      </c>
      <c r="G42" s="72">
        <v>213.2</v>
      </c>
      <c r="H42" s="73">
        <f t="shared" si="4"/>
        <v>25.584</v>
      </c>
      <c r="I42" s="13">
        <v>0</v>
      </c>
      <c r="J42" s="23"/>
      <c r="L42" s="19"/>
      <c r="M42" s="20"/>
      <c r="N42" s="21"/>
    </row>
    <row r="43" spans="1:14" ht="15.75" hidden="1" customHeight="1">
      <c r="A43" s="29">
        <v>10</v>
      </c>
      <c r="B43" s="69" t="s">
        <v>71</v>
      </c>
      <c r="C43" s="70" t="s">
        <v>29</v>
      </c>
      <c r="D43" s="69" t="s">
        <v>131</v>
      </c>
      <c r="E43" s="72">
        <v>475.06</v>
      </c>
      <c r="F43" s="72">
        <f>SUM(E43*155/1000)</f>
        <v>73.634299999999996</v>
      </c>
      <c r="G43" s="72">
        <v>374.95</v>
      </c>
      <c r="H43" s="73">
        <f t="shared" si="4"/>
        <v>27.609180784999996</v>
      </c>
      <c r="I43" s="13">
        <f>F43/6*G43</f>
        <v>4601.5301308333328</v>
      </c>
      <c r="J43" s="23"/>
      <c r="L43" s="19"/>
      <c r="M43" s="20"/>
      <c r="N43" s="21"/>
    </row>
    <row r="44" spans="1:14" ht="47.25" hidden="1" customHeight="1">
      <c r="A44" s="29">
        <v>11</v>
      </c>
      <c r="B44" s="69" t="s">
        <v>87</v>
      </c>
      <c r="C44" s="70" t="s">
        <v>126</v>
      </c>
      <c r="D44" s="69" t="s">
        <v>148</v>
      </c>
      <c r="E44" s="72">
        <v>40.6</v>
      </c>
      <c r="F44" s="72">
        <f>SUM(E44*35/1000)</f>
        <v>1.421</v>
      </c>
      <c r="G44" s="72">
        <v>6203.7</v>
      </c>
      <c r="H44" s="73">
        <f t="shared" si="4"/>
        <v>8.8154577000000014</v>
      </c>
      <c r="I44" s="13">
        <f>F44/6*G44</f>
        <v>1469.2429500000001</v>
      </c>
      <c r="J44" s="23"/>
      <c r="L44" s="19"/>
      <c r="M44" s="20"/>
      <c r="N44" s="21"/>
    </row>
    <row r="45" spans="1:14" ht="15.75" hidden="1" customHeight="1">
      <c r="A45" s="29">
        <v>12</v>
      </c>
      <c r="B45" s="69" t="s">
        <v>132</v>
      </c>
      <c r="C45" s="70" t="s">
        <v>126</v>
      </c>
      <c r="D45" s="69" t="s">
        <v>72</v>
      </c>
      <c r="E45" s="72">
        <v>167.03</v>
      </c>
      <c r="F45" s="72">
        <f>SUM(E45*45/1000)</f>
        <v>7.5163500000000001</v>
      </c>
      <c r="G45" s="72">
        <v>458.28</v>
      </c>
      <c r="H45" s="73">
        <f t="shared" si="4"/>
        <v>3.4445928779999999</v>
      </c>
      <c r="I45" s="13">
        <f>F45/6*G45</f>
        <v>574.09881299999995</v>
      </c>
      <c r="J45" s="23"/>
      <c r="L45" s="19"/>
      <c r="M45" s="20"/>
      <c r="N45" s="21"/>
    </row>
    <row r="46" spans="1:14" ht="15.75" hidden="1" customHeight="1">
      <c r="A46" s="29">
        <v>13</v>
      </c>
      <c r="B46" s="69" t="s">
        <v>73</v>
      </c>
      <c r="C46" s="70" t="s">
        <v>34</v>
      </c>
      <c r="D46" s="69"/>
      <c r="E46" s="71"/>
      <c r="F46" s="72">
        <v>1.2</v>
      </c>
      <c r="G46" s="72">
        <v>853.06</v>
      </c>
      <c r="H46" s="73">
        <f t="shared" si="4"/>
        <v>1.0236719999999999</v>
      </c>
      <c r="I46" s="13">
        <f>F46/6*G46</f>
        <v>170.61199999999997</v>
      </c>
      <c r="J46" s="23"/>
      <c r="L46" s="19"/>
      <c r="M46" s="20"/>
      <c r="N46" s="21"/>
    </row>
    <row r="47" spans="1:14" ht="15.75" customHeight="1">
      <c r="A47" s="122" t="s">
        <v>153</v>
      </c>
      <c r="B47" s="123"/>
      <c r="C47" s="123"/>
      <c r="D47" s="123"/>
      <c r="E47" s="123"/>
      <c r="F47" s="123"/>
      <c r="G47" s="123"/>
      <c r="H47" s="123"/>
      <c r="I47" s="124"/>
      <c r="J47" s="23"/>
      <c r="L47" s="19"/>
      <c r="M47" s="20"/>
      <c r="N47" s="21"/>
    </row>
    <row r="48" spans="1:14" ht="15.75" customHeight="1">
      <c r="A48" s="29">
        <v>19</v>
      </c>
      <c r="B48" s="69" t="s">
        <v>133</v>
      </c>
      <c r="C48" s="70" t="s">
        <v>126</v>
      </c>
      <c r="D48" s="69" t="s">
        <v>42</v>
      </c>
      <c r="E48" s="71">
        <v>1603.6</v>
      </c>
      <c r="F48" s="72">
        <f>SUM(E48*2/1000)</f>
        <v>3.2071999999999998</v>
      </c>
      <c r="G48" s="13">
        <v>908.11</v>
      </c>
      <c r="H48" s="73">
        <f t="shared" ref="H48:H56" si="5">SUM(F48*G48/1000)</f>
        <v>2.9124903919999996</v>
      </c>
      <c r="I48" s="13">
        <f t="shared" ref="I48:I50" si="6">F48/2*G48</f>
        <v>1456.2451959999999</v>
      </c>
      <c r="J48" s="23"/>
      <c r="L48" s="19"/>
      <c r="M48" s="20"/>
      <c r="N48" s="21"/>
    </row>
    <row r="49" spans="1:22" ht="15.75" customHeight="1">
      <c r="A49" s="29">
        <v>20</v>
      </c>
      <c r="B49" s="69" t="s">
        <v>35</v>
      </c>
      <c r="C49" s="70" t="s">
        <v>126</v>
      </c>
      <c r="D49" s="69" t="s">
        <v>42</v>
      </c>
      <c r="E49" s="71">
        <v>65</v>
      </c>
      <c r="F49" s="72">
        <f>SUM(E49*2/1000)</f>
        <v>0.13</v>
      </c>
      <c r="G49" s="13">
        <v>619.46</v>
      </c>
      <c r="H49" s="73">
        <f t="shared" si="5"/>
        <v>8.0529800000000012E-2</v>
      </c>
      <c r="I49" s="13">
        <f t="shared" si="6"/>
        <v>40.264900000000004</v>
      </c>
      <c r="J49" s="23"/>
      <c r="L49" s="19"/>
      <c r="M49" s="20"/>
      <c r="N49" s="21"/>
    </row>
    <row r="50" spans="1:22" ht="15.75" customHeight="1">
      <c r="A50" s="29">
        <v>21</v>
      </c>
      <c r="B50" s="69" t="s">
        <v>36</v>
      </c>
      <c r="C50" s="70" t="s">
        <v>126</v>
      </c>
      <c r="D50" s="69" t="s">
        <v>42</v>
      </c>
      <c r="E50" s="71">
        <v>1825.8</v>
      </c>
      <c r="F50" s="72">
        <f>SUM(E50*2/1000)</f>
        <v>3.6515999999999997</v>
      </c>
      <c r="G50" s="13">
        <v>619.46</v>
      </c>
      <c r="H50" s="73">
        <f t="shared" si="5"/>
        <v>2.2620201360000003</v>
      </c>
      <c r="I50" s="13">
        <f t="shared" si="6"/>
        <v>1131.010068</v>
      </c>
      <c r="J50" s="23"/>
      <c r="L50" s="19"/>
      <c r="M50" s="20"/>
      <c r="N50" s="21"/>
    </row>
    <row r="51" spans="1:22" ht="15.75" customHeight="1">
      <c r="A51" s="29">
        <v>22</v>
      </c>
      <c r="B51" s="69" t="s">
        <v>37</v>
      </c>
      <c r="C51" s="70" t="s">
        <v>126</v>
      </c>
      <c r="D51" s="69" t="s">
        <v>42</v>
      </c>
      <c r="E51" s="71">
        <v>3163.96</v>
      </c>
      <c r="F51" s="72">
        <f>SUM(E51*2/1000)</f>
        <v>6.3279199999999998</v>
      </c>
      <c r="G51" s="13">
        <v>648.64</v>
      </c>
      <c r="H51" s="73">
        <f t="shared" si="5"/>
        <v>4.1045420287999992</v>
      </c>
      <c r="I51" s="13">
        <f>F51/2*G51</f>
        <v>2052.2710143999998</v>
      </c>
      <c r="J51" s="23"/>
      <c r="L51" s="19"/>
      <c r="M51" s="20"/>
      <c r="N51" s="21"/>
    </row>
    <row r="52" spans="1:22" ht="15.75" customHeight="1">
      <c r="A52" s="29">
        <v>23</v>
      </c>
      <c r="B52" s="69" t="s">
        <v>58</v>
      </c>
      <c r="C52" s="70" t="s">
        <v>126</v>
      </c>
      <c r="D52" s="69" t="s">
        <v>192</v>
      </c>
      <c r="E52" s="71">
        <v>1583</v>
      </c>
      <c r="F52" s="72">
        <f>SUM(E52*5/1000)</f>
        <v>7.915</v>
      </c>
      <c r="G52" s="13">
        <v>1297.28</v>
      </c>
      <c r="H52" s="73">
        <f t="shared" si="5"/>
        <v>10.2679712</v>
      </c>
      <c r="I52" s="13">
        <f>F52/5*G52</f>
        <v>2053.5942399999999</v>
      </c>
      <c r="J52" s="23"/>
      <c r="L52" s="19"/>
      <c r="M52" s="20"/>
      <c r="N52" s="21"/>
    </row>
    <row r="53" spans="1:22" ht="31.5" hidden="1" customHeight="1">
      <c r="A53" s="29"/>
      <c r="B53" s="69" t="s">
        <v>134</v>
      </c>
      <c r="C53" s="70" t="s">
        <v>126</v>
      </c>
      <c r="D53" s="69" t="s">
        <v>42</v>
      </c>
      <c r="E53" s="71">
        <v>1583</v>
      </c>
      <c r="F53" s="72">
        <f>SUM(E53*2/1000)</f>
        <v>3.1659999999999999</v>
      </c>
      <c r="G53" s="13">
        <v>1297.28</v>
      </c>
      <c r="H53" s="73">
        <f t="shared" si="5"/>
        <v>4.1071884799999996</v>
      </c>
      <c r="I53" s="13">
        <f>F53/2*G53</f>
        <v>2053.5942399999999</v>
      </c>
      <c r="J53" s="23"/>
      <c r="L53" s="19"/>
      <c r="M53" s="20"/>
      <c r="N53" s="21"/>
    </row>
    <row r="54" spans="1:22" ht="31.5" customHeight="1">
      <c r="A54" s="29">
        <v>24</v>
      </c>
      <c r="B54" s="69" t="s">
        <v>135</v>
      </c>
      <c r="C54" s="70" t="s">
        <v>38</v>
      </c>
      <c r="D54" s="69" t="s">
        <v>42</v>
      </c>
      <c r="E54" s="71">
        <v>25</v>
      </c>
      <c r="F54" s="72">
        <f>SUM(E54*2/100)</f>
        <v>0.5</v>
      </c>
      <c r="G54" s="13">
        <v>2918.89</v>
      </c>
      <c r="H54" s="73">
        <f t="shared" si="5"/>
        <v>1.4594449999999999</v>
      </c>
      <c r="I54" s="13">
        <f t="shared" ref="I54:I55" si="7">F54/2*G54</f>
        <v>729.72249999999997</v>
      </c>
      <c r="J54" s="23"/>
      <c r="L54" s="19"/>
      <c r="M54" s="20"/>
      <c r="N54" s="21"/>
    </row>
    <row r="55" spans="1:22" ht="15.75" customHeight="1">
      <c r="A55" s="29">
        <v>25</v>
      </c>
      <c r="B55" s="69" t="s">
        <v>39</v>
      </c>
      <c r="C55" s="70" t="s">
        <v>40</v>
      </c>
      <c r="D55" s="69" t="s">
        <v>42</v>
      </c>
      <c r="E55" s="71">
        <v>1</v>
      </c>
      <c r="F55" s="72">
        <v>0.02</v>
      </c>
      <c r="G55" s="13">
        <v>6042.12</v>
      </c>
      <c r="H55" s="73">
        <f t="shared" si="5"/>
        <v>0.1208424</v>
      </c>
      <c r="I55" s="13">
        <f t="shared" si="7"/>
        <v>60.421199999999999</v>
      </c>
      <c r="J55" s="23"/>
      <c r="L55" s="19"/>
      <c r="M55" s="20"/>
      <c r="N55" s="21"/>
    </row>
    <row r="56" spans="1:22" ht="15.75" hidden="1" customHeight="1">
      <c r="A56" s="29">
        <v>15</v>
      </c>
      <c r="B56" s="69" t="s">
        <v>41</v>
      </c>
      <c r="C56" s="70" t="s">
        <v>31</v>
      </c>
      <c r="D56" s="69" t="s">
        <v>74</v>
      </c>
      <c r="E56" s="71">
        <v>36</v>
      </c>
      <c r="F56" s="72">
        <f>SUM(E56)*3</f>
        <v>108</v>
      </c>
      <c r="G56" s="13">
        <v>70.209999999999994</v>
      </c>
      <c r="H56" s="73">
        <f t="shared" si="5"/>
        <v>7.582679999999999</v>
      </c>
      <c r="I56" s="13">
        <f>E56*G56</f>
        <v>2527.56</v>
      </c>
      <c r="J56" s="23"/>
      <c r="L56" s="19"/>
      <c r="M56" s="20"/>
      <c r="N56" s="21"/>
    </row>
    <row r="57" spans="1:22" ht="15.75" customHeight="1">
      <c r="A57" s="122" t="s">
        <v>154</v>
      </c>
      <c r="B57" s="123"/>
      <c r="C57" s="123"/>
      <c r="D57" s="123"/>
      <c r="E57" s="123"/>
      <c r="F57" s="123"/>
      <c r="G57" s="123"/>
      <c r="H57" s="123"/>
      <c r="I57" s="124"/>
      <c r="J57" s="23"/>
      <c r="L57" s="19"/>
      <c r="M57" s="20"/>
      <c r="N57" s="21"/>
    </row>
    <row r="58" spans="1:22" ht="15.75" hidden="1" customHeight="1">
      <c r="A58" s="29"/>
      <c r="B58" s="90" t="s">
        <v>43</v>
      </c>
      <c r="C58" s="70"/>
      <c r="D58" s="69"/>
      <c r="E58" s="71"/>
      <c r="F58" s="72"/>
      <c r="G58" s="72"/>
      <c r="H58" s="73"/>
      <c r="I58" s="13"/>
      <c r="J58" s="23"/>
      <c r="L58" s="19"/>
      <c r="M58" s="20"/>
      <c r="N58" s="21"/>
    </row>
    <row r="59" spans="1:22" ht="31.5" hidden="1" customHeight="1">
      <c r="A59" s="29">
        <v>16</v>
      </c>
      <c r="B59" s="69" t="s">
        <v>149</v>
      </c>
      <c r="C59" s="70" t="s">
        <v>115</v>
      </c>
      <c r="D59" s="69" t="s">
        <v>75</v>
      </c>
      <c r="E59" s="78">
        <v>3.78</v>
      </c>
      <c r="F59" s="13">
        <f>E59*6/100</f>
        <v>0.2268</v>
      </c>
      <c r="G59" s="72">
        <v>1654.04</v>
      </c>
      <c r="H59" s="73">
        <f>SUM(F59*G59/1000)</f>
        <v>0.37513627199999999</v>
      </c>
      <c r="I59" s="13">
        <f>F59/6*G59</f>
        <v>62.522711999999999</v>
      </c>
      <c r="J59" s="23"/>
      <c r="L59" s="19"/>
      <c r="M59" s="20"/>
      <c r="N59" s="21"/>
    </row>
    <row r="60" spans="1:22" ht="31.5" hidden="1" customHeight="1">
      <c r="A60" s="29">
        <v>17</v>
      </c>
      <c r="B60" s="69" t="s">
        <v>137</v>
      </c>
      <c r="C60" s="70" t="s">
        <v>115</v>
      </c>
      <c r="D60" s="69" t="s">
        <v>75</v>
      </c>
      <c r="E60" s="71">
        <v>185.36</v>
      </c>
      <c r="F60" s="72">
        <f>E60*6/100</f>
        <v>11.121600000000001</v>
      </c>
      <c r="G60" s="79">
        <v>1654.04</v>
      </c>
      <c r="H60" s="73">
        <f>F60*G60/1000</f>
        <v>18.395571264000001</v>
      </c>
      <c r="I60" s="13">
        <f>F60/6*G60</f>
        <v>3065.9285440000003</v>
      </c>
      <c r="J60" s="23"/>
      <c r="L60" s="19"/>
    </row>
    <row r="61" spans="1:22" ht="15.75" hidden="1" customHeight="1">
      <c r="A61" s="29"/>
      <c r="B61" s="80" t="s">
        <v>108</v>
      </c>
      <c r="C61" s="70" t="s">
        <v>109</v>
      </c>
      <c r="D61" s="80" t="s">
        <v>42</v>
      </c>
      <c r="E61" s="81">
        <v>5</v>
      </c>
      <c r="F61" s="82">
        <v>10</v>
      </c>
      <c r="G61" s="79">
        <v>198.25</v>
      </c>
      <c r="H61" s="83">
        <v>0.99099999999999999</v>
      </c>
      <c r="I61" s="13">
        <v>0</v>
      </c>
      <c r="J61" s="23"/>
      <c r="L61" s="19"/>
    </row>
    <row r="62" spans="1:22" ht="15.75" customHeight="1">
      <c r="A62" s="29"/>
      <c r="B62" s="91" t="s">
        <v>44</v>
      </c>
      <c r="C62" s="84"/>
      <c r="D62" s="80"/>
      <c r="E62" s="81"/>
      <c r="F62" s="82"/>
      <c r="G62" s="85"/>
      <c r="H62" s="83"/>
      <c r="I62" s="13"/>
    </row>
    <row r="63" spans="1:22" ht="15.75" hidden="1" customHeight="1">
      <c r="A63" s="29"/>
      <c r="B63" s="80" t="s">
        <v>45</v>
      </c>
      <c r="C63" s="84" t="s">
        <v>53</v>
      </c>
      <c r="D63" s="80" t="s">
        <v>54</v>
      </c>
      <c r="E63" s="81">
        <v>1752</v>
      </c>
      <c r="F63" s="82">
        <f>E63/100</f>
        <v>17.52</v>
      </c>
      <c r="G63" s="72">
        <v>848.37</v>
      </c>
      <c r="H63" s="83">
        <f>G63*F63/1000</f>
        <v>14.8634424</v>
      </c>
      <c r="I63" s="13">
        <v>0</v>
      </c>
    </row>
    <row r="64" spans="1:22" ht="15.75" customHeight="1">
      <c r="A64" s="29">
        <v>26</v>
      </c>
      <c r="B64" s="80" t="s">
        <v>103</v>
      </c>
      <c r="C64" s="84" t="s">
        <v>25</v>
      </c>
      <c r="D64" s="80" t="s">
        <v>160</v>
      </c>
      <c r="E64" s="81">
        <v>352</v>
      </c>
      <c r="F64" s="82">
        <f>E64*12</f>
        <v>4224</v>
      </c>
      <c r="G64" s="72">
        <v>2.6</v>
      </c>
      <c r="H64" s="83">
        <f>G64*F64/1000</f>
        <v>10.9824</v>
      </c>
      <c r="I64" s="13">
        <f>F64/12*G64</f>
        <v>915.2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29"/>
      <c r="B65" s="91" t="s">
        <v>46</v>
      </c>
      <c r="C65" s="84"/>
      <c r="D65" s="80"/>
      <c r="E65" s="81"/>
      <c r="F65" s="82"/>
      <c r="G65" s="92"/>
      <c r="H65" s="83" t="s">
        <v>143</v>
      </c>
      <c r="I65" s="13"/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29">
        <v>19</v>
      </c>
      <c r="B66" s="14" t="s">
        <v>47</v>
      </c>
      <c r="C66" s="16" t="s">
        <v>136</v>
      </c>
      <c r="D66" s="14" t="s">
        <v>69</v>
      </c>
      <c r="E66" s="18">
        <v>10</v>
      </c>
      <c r="F66" s="72">
        <v>10</v>
      </c>
      <c r="G66" s="13">
        <v>237.74</v>
      </c>
      <c r="H66" s="66">
        <f t="shared" ref="H66:H80" si="8">SUM(F66*G66/1000)</f>
        <v>2.3774000000000002</v>
      </c>
      <c r="I66" s="13">
        <f>G66*3</f>
        <v>713.22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48</v>
      </c>
      <c r="C67" s="16" t="s">
        <v>136</v>
      </c>
      <c r="D67" s="14" t="s">
        <v>69</v>
      </c>
      <c r="E67" s="18">
        <v>5</v>
      </c>
      <c r="F67" s="72">
        <v>5</v>
      </c>
      <c r="G67" s="13">
        <v>81.510000000000005</v>
      </c>
      <c r="H67" s="66">
        <f t="shared" si="8"/>
        <v>0.40755000000000002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10"/>
      <c r="S67" s="110"/>
      <c r="T67" s="110"/>
      <c r="U67" s="110"/>
    </row>
    <row r="68" spans="1:21" ht="15.75" customHeight="1">
      <c r="A68" s="29">
        <v>27</v>
      </c>
      <c r="B68" s="14" t="s">
        <v>49</v>
      </c>
      <c r="C68" s="16" t="s">
        <v>138</v>
      </c>
      <c r="D68" s="14" t="s">
        <v>54</v>
      </c>
      <c r="E68" s="71">
        <v>23808</v>
      </c>
      <c r="F68" s="13">
        <f>SUM(E68/100)</f>
        <v>238.08</v>
      </c>
      <c r="G68" s="13">
        <v>226.79</v>
      </c>
      <c r="H68" s="66">
        <f t="shared" si="8"/>
        <v>53.994163200000003</v>
      </c>
      <c r="I68" s="13">
        <f>F68*G68</f>
        <v>53994.163200000003</v>
      </c>
    </row>
    <row r="69" spans="1:21" ht="15.75" customHeight="1">
      <c r="A69" s="29">
        <v>28</v>
      </c>
      <c r="B69" s="14" t="s">
        <v>50</v>
      </c>
      <c r="C69" s="16" t="s">
        <v>139</v>
      </c>
      <c r="D69" s="14"/>
      <c r="E69" s="71">
        <v>23808</v>
      </c>
      <c r="F69" s="13">
        <f>SUM(E69/1000)</f>
        <v>23.808</v>
      </c>
      <c r="G69" s="13">
        <v>176.61</v>
      </c>
      <c r="H69" s="66">
        <f t="shared" si="8"/>
        <v>4.2047308800000005</v>
      </c>
      <c r="I69" s="13">
        <f t="shared" ref="I69:I73" si="9">F69*G69</f>
        <v>4204.7308800000001</v>
      </c>
    </row>
    <row r="70" spans="1:21" ht="15.75" customHeight="1">
      <c r="A70" s="29">
        <v>29</v>
      </c>
      <c r="B70" s="14" t="s">
        <v>51</v>
      </c>
      <c r="C70" s="16" t="s">
        <v>80</v>
      </c>
      <c r="D70" s="14" t="s">
        <v>54</v>
      </c>
      <c r="E70" s="71">
        <v>3810</v>
      </c>
      <c r="F70" s="13">
        <f>SUM(E70/100)</f>
        <v>38.1</v>
      </c>
      <c r="G70" s="13">
        <v>2217.7800000000002</v>
      </c>
      <c r="H70" s="66">
        <f t="shared" si="8"/>
        <v>84.49741800000001</v>
      </c>
      <c r="I70" s="13">
        <f t="shared" si="9"/>
        <v>84497.418000000005</v>
      </c>
    </row>
    <row r="71" spans="1:21" ht="15.75" customHeight="1">
      <c r="A71" s="29">
        <v>30</v>
      </c>
      <c r="B71" s="86" t="s">
        <v>140</v>
      </c>
      <c r="C71" s="16" t="s">
        <v>34</v>
      </c>
      <c r="D71" s="14"/>
      <c r="E71" s="71">
        <v>23.4</v>
      </c>
      <c r="F71" s="13">
        <f>SUM(E71)</f>
        <v>23.4</v>
      </c>
      <c r="G71" s="13">
        <v>42.67</v>
      </c>
      <c r="H71" s="66">
        <f t="shared" si="8"/>
        <v>0.99847799999999998</v>
      </c>
      <c r="I71" s="13">
        <f t="shared" si="9"/>
        <v>998.47799999999995</v>
      </c>
    </row>
    <row r="72" spans="1:21" ht="15.75" customHeight="1">
      <c r="A72" s="29">
        <v>31</v>
      </c>
      <c r="B72" s="86" t="s">
        <v>150</v>
      </c>
      <c r="C72" s="16" t="s">
        <v>34</v>
      </c>
      <c r="D72" s="14"/>
      <c r="E72" s="71">
        <v>23.4</v>
      </c>
      <c r="F72" s="13">
        <f>SUM(E72)</f>
        <v>23.4</v>
      </c>
      <c r="G72" s="13">
        <v>39.81</v>
      </c>
      <c r="H72" s="66">
        <f t="shared" si="8"/>
        <v>0.93155399999999999</v>
      </c>
      <c r="I72" s="13">
        <f t="shared" si="9"/>
        <v>931.55399999999997</v>
      </c>
    </row>
    <row r="73" spans="1:21" ht="15.75" hidden="1" customHeight="1">
      <c r="A73" s="29">
        <v>32</v>
      </c>
      <c r="B73" s="14" t="s">
        <v>59</v>
      </c>
      <c r="C73" s="16" t="s">
        <v>60</v>
      </c>
      <c r="D73" s="14" t="s">
        <v>54</v>
      </c>
      <c r="E73" s="18">
        <v>5</v>
      </c>
      <c r="F73" s="72">
        <f>SUM(E73)</f>
        <v>5</v>
      </c>
      <c r="G73" s="13">
        <v>53.32</v>
      </c>
      <c r="H73" s="66">
        <f t="shared" si="8"/>
        <v>0.2666</v>
      </c>
      <c r="I73" s="13">
        <f t="shared" si="9"/>
        <v>266.60000000000002</v>
      </c>
    </row>
    <row r="74" spans="1:21" ht="15.75" customHeight="1">
      <c r="A74" s="29">
        <v>33</v>
      </c>
      <c r="B74" s="14" t="s">
        <v>151</v>
      </c>
      <c r="C74" s="16" t="s">
        <v>60</v>
      </c>
      <c r="D74" s="14" t="s">
        <v>30</v>
      </c>
      <c r="E74" s="18">
        <v>1</v>
      </c>
      <c r="F74" s="59">
        <v>12</v>
      </c>
      <c r="G74" s="13">
        <v>711</v>
      </c>
      <c r="H74" s="66">
        <v>8.5310000000000006</v>
      </c>
      <c r="I74" s="13">
        <f>F74/12*G74</f>
        <v>711</v>
      </c>
    </row>
    <row r="75" spans="1:21" ht="15.75" hidden="1" customHeight="1">
      <c r="A75" s="29"/>
      <c r="B75" s="54" t="s">
        <v>76</v>
      </c>
      <c r="C75" s="16"/>
      <c r="D75" s="14"/>
      <c r="E75" s="18"/>
      <c r="F75" s="13"/>
      <c r="G75" s="13"/>
      <c r="H75" s="66" t="s">
        <v>143</v>
      </c>
      <c r="I75" s="13"/>
    </row>
    <row r="76" spans="1:21" ht="15.75" hidden="1" customHeight="1">
      <c r="A76" s="29"/>
      <c r="B76" s="14" t="s">
        <v>77</v>
      </c>
      <c r="C76" s="16" t="s">
        <v>32</v>
      </c>
      <c r="D76" s="14" t="s">
        <v>69</v>
      </c>
      <c r="E76" s="18">
        <v>2</v>
      </c>
      <c r="F76" s="59">
        <v>0.2</v>
      </c>
      <c r="G76" s="13">
        <v>536.23</v>
      </c>
      <c r="H76" s="66">
        <v>0.107</v>
      </c>
      <c r="I76" s="13">
        <v>0</v>
      </c>
    </row>
    <row r="77" spans="1:21" ht="15.75" hidden="1" customHeight="1">
      <c r="A77" s="29"/>
      <c r="B77" s="14" t="s">
        <v>94</v>
      </c>
      <c r="C77" s="16" t="s">
        <v>31</v>
      </c>
      <c r="D77" s="14"/>
      <c r="E77" s="18">
        <v>1</v>
      </c>
      <c r="F77" s="72">
        <f>SUM(E77)</f>
        <v>1</v>
      </c>
      <c r="G77" s="13">
        <v>383.25</v>
      </c>
      <c r="H77" s="66">
        <f t="shared" si="8"/>
        <v>0.38324999999999998</v>
      </c>
      <c r="I77" s="13">
        <v>0</v>
      </c>
    </row>
    <row r="78" spans="1:21" ht="15.75" hidden="1" customHeight="1">
      <c r="A78" s="29"/>
      <c r="B78" s="14" t="s">
        <v>78</v>
      </c>
      <c r="C78" s="16" t="s">
        <v>31</v>
      </c>
      <c r="D78" s="14"/>
      <c r="E78" s="18">
        <v>1</v>
      </c>
      <c r="F78" s="13">
        <v>1</v>
      </c>
      <c r="G78" s="13">
        <v>911.85</v>
      </c>
      <c r="H78" s="66">
        <f>F78*G78/1000</f>
        <v>0.91185000000000005</v>
      </c>
      <c r="I78" s="13">
        <v>0</v>
      </c>
    </row>
    <row r="79" spans="1:21" ht="15.75" hidden="1" customHeight="1">
      <c r="A79" s="29"/>
      <c r="B79" s="87" t="s">
        <v>79</v>
      </c>
      <c r="C79" s="16"/>
      <c r="D79" s="14"/>
      <c r="E79" s="18"/>
      <c r="F79" s="13"/>
      <c r="G79" s="13" t="s">
        <v>143</v>
      </c>
      <c r="H79" s="66" t="s">
        <v>143</v>
      </c>
      <c r="I79" s="13"/>
    </row>
    <row r="80" spans="1:21" ht="15.75" hidden="1" customHeight="1">
      <c r="A80" s="29"/>
      <c r="B80" s="42" t="s">
        <v>144</v>
      </c>
      <c r="C80" s="16" t="s">
        <v>80</v>
      </c>
      <c r="D80" s="14"/>
      <c r="E80" s="18"/>
      <c r="F80" s="13">
        <v>0.6</v>
      </c>
      <c r="G80" s="13">
        <v>2949.85</v>
      </c>
      <c r="H80" s="66">
        <f t="shared" si="8"/>
        <v>1.7699099999999999</v>
      </c>
      <c r="I80" s="13">
        <v>0</v>
      </c>
      <c r="J80" s="5"/>
      <c r="K80" s="5"/>
      <c r="L80" s="5"/>
      <c r="M80" s="5"/>
      <c r="N80" s="5"/>
      <c r="O80" s="5"/>
      <c r="P80" s="5"/>
      <c r="Q80" s="5"/>
      <c r="R80" s="53"/>
      <c r="S80" s="53"/>
      <c r="T80" s="53"/>
      <c r="U80" s="53"/>
    </row>
    <row r="81" spans="1:21" ht="15.75" hidden="1" customHeight="1">
      <c r="A81" s="43"/>
      <c r="B81" s="54" t="s">
        <v>141</v>
      </c>
      <c r="C81" s="54"/>
      <c r="D81" s="54"/>
      <c r="E81" s="54"/>
      <c r="F81" s="54"/>
      <c r="G81" s="54"/>
      <c r="H81" s="54"/>
      <c r="I81" s="18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29"/>
      <c r="B82" s="69" t="s">
        <v>142</v>
      </c>
      <c r="C82" s="16"/>
      <c r="D82" s="14"/>
      <c r="E82" s="60"/>
      <c r="F82" s="13">
        <v>1</v>
      </c>
      <c r="G82" s="13">
        <v>21062.799999999999</v>
      </c>
      <c r="H82" s="66">
        <f>G82*F82/1000</f>
        <v>21.062799999999999</v>
      </c>
      <c r="I82" s="13">
        <v>0</v>
      </c>
      <c r="J82" s="5"/>
      <c r="K82" s="5"/>
      <c r="L82" s="5"/>
      <c r="M82" s="5"/>
      <c r="N82" s="5"/>
      <c r="O82" s="5"/>
      <c r="P82" s="5"/>
      <c r="Q82" s="5"/>
      <c r="R82" s="53"/>
      <c r="S82" s="53"/>
      <c r="T82" s="53"/>
      <c r="U82" s="53"/>
    </row>
    <row r="83" spans="1:21" ht="15.75" customHeight="1">
      <c r="A83" s="111" t="s">
        <v>155</v>
      </c>
      <c r="B83" s="112"/>
      <c r="C83" s="112"/>
      <c r="D83" s="112"/>
      <c r="E83" s="112"/>
      <c r="F83" s="112"/>
      <c r="G83" s="112"/>
      <c r="H83" s="112"/>
      <c r="I83" s="113"/>
    </row>
    <row r="84" spans="1:21" ht="15.75" customHeight="1">
      <c r="A84" s="29">
        <v>33</v>
      </c>
      <c r="B84" s="69" t="s">
        <v>145</v>
      </c>
      <c r="C84" s="16" t="s">
        <v>56</v>
      </c>
      <c r="D84" s="88" t="s">
        <v>57</v>
      </c>
      <c r="E84" s="13">
        <v>5816.5</v>
      </c>
      <c r="F84" s="13">
        <f>SUM(E84*12)</f>
        <v>69798</v>
      </c>
      <c r="G84" s="13">
        <v>2.54</v>
      </c>
      <c r="H84" s="66">
        <f>SUM(F84*G84/1000)</f>
        <v>177.28692000000001</v>
      </c>
      <c r="I84" s="13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53"/>
      <c r="S84" s="53"/>
      <c r="T84" s="53"/>
      <c r="U84" s="53"/>
    </row>
    <row r="85" spans="1:21" ht="31.5" customHeight="1">
      <c r="A85" s="29">
        <v>34</v>
      </c>
      <c r="B85" s="14" t="s">
        <v>81</v>
      </c>
      <c r="C85" s="16"/>
      <c r="D85" s="88" t="s">
        <v>57</v>
      </c>
      <c r="E85" s="71">
        <f>E84</f>
        <v>5816.5</v>
      </c>
      <c r="F85" s="13">
        <f>E85*12</f>
        <v>69798</v>
      </c>
      <c r="G85" s="13">
        <v>2.0499999999999998</v>
      </c>
      <c r="H85" s="66">
        <f>F85*G85/1000</f>
        <v>143.08589999999998</v>
      </c>
      <c r="I85" s="13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53"/>
      <c r="S85" s="53"/>
      <c r="T85" s="53"/>
      <c r="U85" s="53"/>
    </row>
    <row r="86" spans="1:21" ht="15.75" customHeight="1">
      <c r="A86" s="43"/>
      <c r="B86" s="34" t="s">
        <v>84</v>
      </c>
      <c r="C86" s="35"/>
      <c r="D86" s="15"/>
      <c r="E86" s="15"/>
      <c r="F86" s="15"/>
      <c r="G86" s="18"/>
      <c r="H86" s="18"/>
      <c r="I86" s="31">
        <f>I16+I17+I18+I19+I20+I21+I22+I23+I24+I25+I26+I27+I28+I31+I32+I33+I34+I35+I48+I49+I50+I51+I52+I54+I55+I64+I68+I69+I70+I71+I72+I74+I84+I85</f>
        <v>241002.29101040002</v>
      </c>
    </row>
    <row r="87" spans="1:21" ht="15.75" customHeight="1">
      <c r="A87" s="125" t="s">
        <v>62</v>
      </c>
      <c r="B87" s="126"/>
      <c r="C87" s="126"/>
      <c r="D87" s="126"/>
      <c r="E87" s="126"/>
      <c r="F87" s="126"/>
      <c r="G87" s="126"/>
      <c r="H87" s="126"/>
      <c r="I87" s="127"/>
    </row>
    <row r="88" spans="1:21" ht="15.75" customHeight="1">
      <c r="A88" s="29">
        <v>35</v>
      </c>
      <c r="B88" s="67" t="s">
        <v>212</v>
      </c>
      <c r="C88" s="68" t="s">
        <v>98</v>
      </c>
      <c r="D88" s="42"/>
      <c r="E88" s="13"/>
      <c r="F88" s="13">
        <f>92/3</f>
        <v>30.666666666666668</v>
      </c>
      <c r="G88" s="13">
        <v>1120.8900000000001</v>
      </c>
      <c r="H88" s="66">
        <f>G88*F88/1000</f>
        <v>34.373960000000004</v>
      </c>
      <c r="I88" s="13">
        <f>G88*(15/3)</f>
        <v>5604.4500000000007</v>
      </c>
      <c r="J88" s="5"/>
      <c r="K88" s="5"/>
      <c r="L88" s="5"/>
      <c r="M88" s="5"/>
      <c r="N88" s="5"/>
      <c r="O88" s="5"/>
      <c r="P88" s="5"/>
      <c r="Q88" s="5"/>
      <c r="R88" s="53"/>
      <c r="S88" s="53"/>
      <c r="T88" s="53"/>
      <c r="U88" s="53"/>
    </row>
    <row r="89" spans="1:21" ht="31.5" customHeight="1">
      <c r="A89" s="29">
        <v>36</v>
      </c>
      <c r="B89" s="64" t="s">
        <v>163</v>
      </c>
      <c r="C89" s="29" t="s">
        <v>164</v>
      </c>
      <c r="D89" s="42"/>
      <c r="E89" s="13"/>
      <c r="F89" s="13">
        <v>2</v>
      </c>
      <c r="G89" s="13">
        <v>1934.94</v>
      </c>
      <c r="H89" s="66">
        <f>G89*F89/1000</f>
        <v>3.8698800000000002</v>
      </c>
      <c r="I89" s="13">
        <f>G89</f>
        <v>1934.94</v>
      </c>
      <c r="J89" s="5"/>
      <c r="K89" s="5"/>
      <c r="L89" s="5"/>
      <c r="M89" s="5"/>
      <c r="N89" s="5"/>
      <c r="O89" s="5"/>
      <c r="P89" s="5"/>
      <c r="Q89" s="5"/>
      <c r="R89" s="53"/>
      <c r="S89" s="53"/>
      <c r="T89" s="53"/>
      <c r="U89" s="53"/>
    </row>
    <row r="90" spans="1:21" ht="15.75" customHeight="1">
      <c r="A90" s="29"/>
      <c r="B90" s="40" t="s">
        <v>52</v>
      </c>
      <c r="C90" s="36"/>
      <c r="D90" s="44"/>
      <c r="E90" s="36">
        <v>1</v>
      </c>
      <c r="F90" s="36"/>
      <c r="G90" s="36"/>
      <c r="H90" s="36"/>
      <c r="I90" s="31">
        <f>SUM(I88:I89)</f>
        <v>7539.3900000000012</v>
      </c>
    </row>
    <row r="91" spans="1:21" ht="15.75" customHeight="1">
      <c r="A91" s="29"/>
      <c r="B91" s="42" t="s">
        <v>82</v>
      </c>
      <c r="C91" s="15"/>
      <c r="D91" s="15"/>
      <c r="E91" s="37"/>
      <c r="F91" s="37"/>
      <c r="G91" s="38"/>
      <c r="H91" s="38"/>
      <c r="I91" s="17">
        <v>0</v>
      </c>
    </row>
    <row r="92" spans="1:21" ht="15.75" customHeight="1">
      <c r="A92" s="45"/>
      <c r="B92" s="41" t="s">
        <v>210</v>
      </c>
      <c r="C92" s="32"/>
      <c r="D92" s="32"/>
      <c r="E92" s="32"/>
      <c r="F92" s="32"/>
      <c r="G92" s="32"/>
      <c r="H92" s="32"/>
      <c r="I92" s="39">
        <f>I86+I90</f>
        <v>248541.68101040003</v>
      </c>
    </row>
    <row r="93" spans="1:21" ht="15.75" customHeight="1">
      <c r="A93" s="128" t="s">
        <v>241</v>
      </c>
      <c r="B93" s="128"/>
      <c r="C93" s="128"/>
      <c r="D93" s="128"/>
      <c r="E93" s="128"/>
      <c r="F93" s="128"/>
      <c r="G93" s="128"/>
      <c r="H93" s="128"/>
      <c r="I93" s="128"/>
    </row>
    <row r="94" spans="1:21" ht="15.75" customHeight="1">
      <c r="A94" s="57"/>
      <c r="B94" s="129" t="s">
        <v>242</v>
      </c>
      <c r="C94" s="129"/>
      <c r="D94" s="129"/>
      <c r="E94" s="129"/>
      <c r="F94" s="129"/>
      <c r="G94" s="129"/>
      <c r="H94" s="63"/>
      <c r="I94" s="3"/>
    </row>
    <row r="95" spans="1:21" ht="15.75" customHeight="1">
      <c r="A95" s="53"/>
      <c r="B95" s="130" t="s">
        <v>6</v>
      </c>
      <c r="C95" s="130"/>
      <c r="D95" s="130"/>
      <c r="E95" s="130"/>
      <c r="F95" s="130"/>
      <c r="G95" s="130"/>
      <c r="H95" s="24"/>
      <c r="I95" s="5"/>
    </row>
    <row r="96" spans="1:21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31" t="s">
        <v>7</v>
      </c>
      <c r="B97" s="131"/>
      <c r="C97" s="131"/>
      <c r="D97" s="131"/>
      <c r="E97" s="131"/>
      <c r="F97" s="131"/>
      <c r="G97" s="131"/>
      <c r="H97" s="131"/>
      <c r="I97" s="131"/>
    </row>
    <row r="98" spans="1:9" ht="15.75" customHeight="1">
      <c r="A98" s="131" t="s">
        <v>8</v>
      </c>
      <c r="B98" s="131"/>
      <c r="C98" s="131"/>
      <c r="D98" s="131"/>
      <c r="E98" s="131"/>
      <c r="F98" s="131"/>
      <c r="G98" s="131"/>
      <c r="H98" s="131"/>
      <c r="I98" s="131"/>
    </row>
    <row r="99" spans="1:9" ht="15.75" customHeight="1">
      <c r="A99" s="120" t="s">
        <v>63</v>
      </c>
      <c r="B99" s="120"/>
      <c r="C99" s="120"/>
      <c r="D99" s="120"/>
      <c r="E99" s="120"/>
      <c r="F99" s="120"/>
      <c r="G99" s="120"/>
      <c r="H99" s="120"/>
      <c r="I99" s="120"/>
    </row>
    <row r="100" spans="1:9" ht="15.75" customHeight="1">
      <c r="A100" s="11"/>
    </row>
    <row r="101" spans="1:9" ht="15.75" customHeight="1">
      <c r="A101" s="133" t="s">
        <v>9</v>
      </c>
      <c r="B101" s="133"/>
      <c r="C101" s="133"/>
      <c r="D101" s="133"/>
      <c r="E101" s="133"/>
      <c r="F101" s="133"/>
      <c r="G101" s="133"/>
      <c r="H101" s="133"/>
      <c r="I101" s="133"/>
    </row>
    <row r="102" spans="1:9" ht="15.75" customHeight="1">
      <c r="A102" s="4"/>
    </row>
    <row r="103" spans="1:9" ht="15.75" customHeight="1">
      <c r="B103" s="56" t="s">
        <v>10</v>
      </c>
      <c r="C103" s="134" t="s">
        <v>96</v>
      </c>
      <c r="D103" s="134"/>
      <c r="E103" s="134"/>
      <c r="F103" s="61"/>
      <c r="I103" s="52"/>
    </row>
    <row r="104" spans="1:9" ht="15.75" customHeight="1">
      <c r="A104" s="53"/>
      <c r="C104" s="130" t="s">
        <v>11</v>
      </c>
      <c r="D104" s="130"/>
      <c r="E104" s="130"/>
      <c r="F104" s="24"/>
      <c r="I104" s="51" t="s">
        <v>12</v>
      </c>
    </row>
    <row r="105" spans="1:9" ht="15.75" customHeight="1">
      <c r="A105" s="25"/>
      <c r="C105" s="12"/>
      <c r="D105" s="12"/>
      <c r="G105" s="12"/>
      <c r="H105" s="12"/>
    </row>
    <row r="106" spans="1:9" ht="15.75" customHeight="1">
      <c r="B106" s="56" t="s">
        <v>13</v>
      </c>
      <c r="C106" s="135"/>
      <c r="D106" s="135"/>
      <c r="E106" s="135"/>
      <c r="F106" s="62"/>
      <c r="I106" s="52"/>
    </row>
    <row r="107" spans="1:9" ht="15.75" customHeight="1">
      <c r="A107" s="53"/>
      <c r="C107" s="110" t="s">
        <v>11</v>
      </c>
      <c r="D107" s="110"/>
      <c r="E107" s="110"/>
      <c r="F107" s="53"/>
      <c r="I107" s="51" t="s">
        <v>12</v>
      </c>
    </row>
    <row r="108" spans="1:9" ht="15.75" customHeight="1">
      <c r="A108" s="4" t="s">
        <v>14</v>
      </c>
    </row>
    <row r="109" spans="1:9" ht="15.75" customHeight="1">
      <c r="A109" s="136" t="s">
        <v>15</v>
      </c>
      <c r="B109" s="136"/>
      <c r="C109" s="136"/>
      <c r="D109" s="136"/>
      <c r="E109" s="136"/>
      <c r="F109" s="136"/>
      <c r="G109" s="136"/>
      <c r="H109" s="136"/>
      <c r="I109" s="136"/>
    </row>
    <row r="110" spans="1:9" ht="45" customHeight="1">
      <c r="A110" s="132" t="s">
        <v>16</v>
      </c>
      <c r="B110" s="132"/>
      <c r="C110" s="132"/>
      <c r="D110" s="132"/>
      <c r="E110" s="132"/>
      <c r="F110" s="132"/>
      <c r="G110" s="132"/>
      <c r="H110" s="132"/>
      <c r="I110" s="132"/>
    </row>
    <row r="111" spans="1:9" ht="30" customHeight="1">
      <c r="A111" s="132" t="s">
        <v>17</v>
      </c>
      <c r="B111" s="132"/>
      <c r="C111" s="132"/>
      <c r="D111" s="132"/>
      <c r="E111" s="132"/>
      <c r="F111" s="132"/>
      <c r="G111" s="132"/>
      <c r="H111" s="132"/>
      <c r="I111" s="132"/>
    </row>
    <row r="112" spans="1:9" ht="30" customHeight="1">
      <c r="A112" s="132" t="s">
        <v>21</v>
      </c>
      <c r="B112" s="132"/>
      <c r="C112" s="132"/>
      <c r="D112" s="132"/>
      <c r="E112" s="132"/>
      <c r="F112" s="132"/>
      <c r="G112" s="132"/>
      <c r="H112" s="132"/>
      <c r="I112" s="132"/>
    </row>
    <row r="113" spans="1:9" ht="15" customHeight="1">
      <c r="A113" s="132" t="s">
        <v>20</v>
      </c>
      <c r="B113" s="132"/>
      <c r="C113" s="132"/>
      <c r="D113" s="132"/>
      <c r="E113" s="132"/>
      <c r="F113" s="132"/>
      <c r="G113" s="132"/>
      <c r="H113" s="132"/>
      <c r="I113" s="132"/>
    </row>
  </sheetData>
  <autoFilter ref="I12:I62"/>
  <mergeCells count="29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9:I29"/>
    <mergeCell ref="A47:I47"/>
    <mergeCell ref="A57:I57"/>
    <mergeCell ref="A87:I87"/>
    <mergeCell ref="A93:I93"/>
    <mergeCell ref="B94:G94"/>
    <mergeCell ref="B95:G95"/>
    <mergeCell ref="A97:I97"/>
    <mergeCell ref="A98:I98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92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14" t="s">
        <v>199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146</v>
      </c>
      <c r="B4" s="115"/>
      <c r="C4" s="115"/>
      <c r="D4" s="115"/>
      <c r="E4" s="115"/>
      <c r="F4" s="115"/>
      <c r="G4" s="115"/>
      <c r="H4" s="115"/>
      <c r="I4" s="115"/>
    </row>
    <row r="5" spans="1:13" ht="15.75" customHeight="1">
      <c r="A5" s="114" t="s">
        <v>243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 customHeight="1">
      <c r="A6" s="2"/>
      <c r="B6" s="55"/>
      <c r="C6" s="55"/>
      <c r="D6" s="55"/>
      <c r="E6" s="55"/>
      <c r="F6" s="55"/>
      <c r="G6" s="55"/>
      <c r="H6" s="55"/>
      <c r="I6" s="30">
        <v>42916</v>
      </c>
      <c r="J6" s="2"/>
      <c r="K6" s="2"/>
      <c r="L6" s="2"/>
      <c r="M6" s="2"/>
    </row>
    <row r="7" spans="1:13" ht="15.75" customHeight="1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7" t="s">
        <v>152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8" t="s">
        <v>209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19" t="s">
        <v>61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29">
        <v>1</v>
      </c>
      <c r="B16" s="69" t="s">
        <v>93</v>
      </c>
      <c r="C16" s="70" t="s">
        <v>115</v>
      </c>
      <c r="D16" s="69" t="s">
        <v>116</v>
      </c>
      <c r="E16" s="71">
        <v>176.24</v>
      </c>
      <c r="F16" s="72">
        <f>SUM(E16*156/100)</f>
        <v>274.93440000000004</v>
      </c>
      <c r="G16" s="72">
        <v>187.48</v>
      </c>
      <c r="H16" s="73">
        <f t="shared" ref="H16:H26" si="0">SUM(F16*G16/1000)</f>
        <v>51.544701312000008</v>
      </c>
      <c r="I16" s="13">
        <f>F16/12*G16</f>
        <v>4295.3917760000004</v>
      </c>
      <c r="J16" s="8"/>
      <c r="K16" s="8"/>
      <c r="L16" s="8"/>
      <c r="M16" s="8"/>
    </row>
    <row r="17" spans="1:13" ht="15.75" customHeight="1">
      <c r="A17" s="29">
        <v>2</v>
      </c>
      <c r="B17" s="69" t="s">
        <v>100</v>
      </c>
      <c r="C17" s="70" t="s">
        <v>115</v>
      </c>
      <c r="D17" s="69" t="s">
        <v>117</v>
      </c>
      <c r="E17" s="71">
        <v>704.96</v>
      </c>
      <c r="F17" s="72">
        <f>SUM(E17*104/100)</f>
        <v>733.15839999999992</v>
      </c>
      <c r="G17" s="72">
        <v>187.48</v>
      </c>
      <c r="H17" s="73">
        <v>137.453</v>
      </c>
      <c r="I17" s="13">
        <f>F17/12*G17</f>
        <v>11454.378069333332</v>
      </c>
      <c r="J17" s="22"/>
      <c r="K17" s="8"/>
      <c r="L17" s="8"/>
      <c r="M17" s="8"/>
    </row>
    <row r="18" spans="1:13" ht="15.75" customHeight="1">
      <c r="A18" s="29">
        <v>3</v>
      </c>
      <c r="B18" s="69" t="s">
        <v>101</v>
      </c>
      <c r="C18" s="70" t="s">
        <v>115</v>
      </c>
      <c r="D18" s="69" t="s">
        <v>118</v>
      </c>
      <c r="E18" s="71">
        <f>SUM(E16+E17)</f>
        <v>881.2</v>
      </c>
      <c r="F18" s="72">
        <f>SUM(E18*24/100)</f>
        <v>211.48800000000003</v>
      </c>
      <c r="G18" s="72">
        <v>539.30999999999995</v>
      </c>
      <c r="H18" s="73">
        <f t="shared" si="0"/>
        <v>114.05759328000001</v>
      </c>
      <c r="I18" s="13">
        <f>F18/12*G18</f>
        <v>9504.7994400000007</v>
      </c>
      <c r="J18" s="22"/>
      <c r="K18" s="8"/>
      <c r="L18" s="8"/>
      <c r="M18" s="8"/>
    </row>
    <row r="19" spans="1:13" ht="15.75" hidden="1" customHeight="1">
      <c r="A19" s="29">
        <v>4</v>
      </c>
      <c r="B19" s="69" t="s">
        <v>119</v>
      </c>
      <c r="C19" s="70" t="s">
        <v>120</v>
      </c>
      <c r="D19" s="69" t="s">
        <v>121</v>
      </c>
      <c r="E19" s="71">
        <v>28.8</v>
      </c>
      <c r="F19" s="72">
        <f>SUM(E19/10)</f>
        <v>2.88</v>
      </c>
      <c r="G19" s="72">
        <v>181.91</v>
      </c>
      <c r="H19" s="73">
        <f t="shared" si="0"/>
        <v>0.52390080000000006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69" t="s">
        <v>106</v>
      </c>
      <c r="C20" s="70" t="s">
        <v>115</v>
      </c>
      <c r="D20" s="69" t="s">
        <v>30</v>
      </c>
      <c r="E20" s="71">
        <v>17.5</v>
      </c>
      <c r="F20" s="72">
        <f>SUM(E20*12/100)</f>
        <v>2.1</v>
      </c>
      <c r="G20" s="72">
        <v>232.92</v>
      </c>
      <c r="H20" s="73">
        <f t="shared" si="0"/>
        <v>0.48913200000000001</v>
      </c>
      <c r="I20" s="13">
        <f>F20/12*G20</f>
        <v>40.761000000000003</v>
      </c>
      <c r="J20" s="22"/>
      <c r="K20" s="8"/>
      <c r="L20" s="8"/>
      <c r="M20" s="8"/>
    </row>
    <row r="21" spans="1:13" ht="15.75" hidden="1" customHeight="1">
      <c r="A21" s="29">
        <v>5</v>
      </c>
      <c r="B21" s="69" t="s">
        <v>107</v>
      </c>
      <c r="C21" s="70" t="s">
        <v>115</v>
      </c>
      <c r="D21" s="69" t="s">
        <v>114</v>
      </c>
      <c r="E21" s="71">
        <v>5.94</v>
      </c>
      <c r="F21" s="72">
        <f>SUM(E21*6/100)</f>
        <v>0.35639999999999999</v>
      </c>
      <c r="G21" s="72">
        <v>231.03</v>
      </c>
      <c r="H21" s="73">
        <f t="shared" si="0"/>
        <v>8.2339091999999989E-2</v>
      </c>
      <c r="I21" s="13">
        <f>F21/6*G21</f>
        <v>13.723182</v>
      </c>
      <c r="J21" s="22"/>
      <c r="K21" s="8"/>
      <c r="L21" s="8"/>
      <c r="M21" s="8"/>
    </row>
    <row r="22" spans="1:13" ht="15.75" hidden="1" customHeight="1">
      <c r="A22" s="29">
        <v>7</v>
      </c>
      <c r="B22" s="69" t="s">
        <v>122</v>
      </c>
      <c r="C22" s="70" t="s">
        <v>53</v>
      </c>
      <c r="D22" s="69" t="s">
        <v>121</v>
      </c>
      <c r="E22" s="71">
        <v>376</v>
      </c>
      <c r="F22" s="72">
        <f>SUM(E22/100)</f>
        <v>3.76</v>
      </c>
      <c r="G22" s="72">
        <v>287.83999999999997</v>
      </c>
      <c r="H22" s="73">
        <f t="shared" si="0"/>
        <v>1.0822783999999999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9" t="s">
        <v>123</v>
      </c>
      <c r="C23" s="70" t="s">
        <v>53</v>
      </c>
      <c r="D23" s="69" t="s">
        <v>121</v>
      </c>
      <c r="E23" s="74">
        <v>60.4</v>
      </c>
      <c r="F23" s="72">
        <f>SUM(E23/100)</f>
        <v>0.60399999999999998</v>
      </c>
      <c r="G23" s="72">
        <v>47.34</v>
      </c>
      <c r="H23" s="73">
        <f t="shared" si="0"/>
        <v>2.8593360000000002E-2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9" t="s">
        <v>110</v>
      </c>
      <c r="C24" s="70" t="s">
        <v>53</v>
      </c>
      <c r="D24" s="69" t="s">
        <v>54</v>
      </c>
      <c r="E24" s="18">
        <v>25</v>
      </c>
      <c r="F24" s="75">
        <f>E24/100</f>
        <v>0.25</v>
      </c>
      <c r="G24" s="72">
        <v>416.62</v>
      </c>
      <c r="H24" s="73">
        <f>F24*G24/1000</f>
        <v>0.104155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9" t="s">
        <v>124</v>
      </c>
      <c r="C25" s="70" t="s">
        <v>53</v>
      </c>
      <c r="D25" s="69" t="s">
        <v>121</v>
      </c>
      <c r="E25" s="74">
        <v>23.75</v>
      </c>
      <c r="F25" s="72">
        <f>E25/100</f>
        <v>0.23749999999999999</v>
      </c>
      <c r="G25" s="72">
        <v>231.03</v>
      </c>
      <c r="H25" s="73">
        <f>F25*G25/1000</f>
        <v>5.4869624999999998E-2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11</v>
      </c>
      <c r="B26" s="69" t="s">
        <v>111</v>
      </c>
      <c r="C26" s="70" t="s">
        <v>53</v>
      </c>
      <c r="D26" s="69" t="s">
        <v>121</v>
      </c>
      <c r="E26" s="71">
        <v>10.63</v>
      </c>
      <c r="F26" s="72">
        <f>SUM(E26/100)</f>
        <v>0.10630000000000001</v>
      </c>
      <c r="G26" s="72">
        <v>556.74</v>
      </c>
      <c r="H26" s="73">
        <f t="shared" si="0"/>
        <v>5.9181462000000004E-2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5</v>
      </c>
      <c r="B27" s="69" t="s">
        <v>66</v>
      </c>
      <c r="C27" s="70" t="s">
        <v>34</v>
      </c>
      <c r="D27" s="69" t="s">
        <v>91</v>
      </c>
      <c r="E27" s="71">
        <v>0.1</v>
      </c>
      <c r="F27" s="72">
        <f>SUM(E27*365)</f>
        <v>36.5</v>
      </c>
      <c r="G27" s="72">
        <v>157.18</v>
      </c>
      <c r="H27" s="73">
        <f>SUM(F27*G27/1000)</f>
        <v>5.737070000000001</v>
      </c>
      <c r="I27" s="13">
        <f>F27/12*G27</f>
        <v>478.08916666666664</v>
      </c>
      <c r="J27" s="23"/>
    </row>
    <row r="28" spans="1:13" ht="15.75" customHeight="1">
      <c r="A28" s="29">
        <v>6</v>
      </c>
      <c r="B28" s="77" t="s">
        <v>23</v>
      </c>
      <c r="C28" s="70" t="s">
        <v>24</v>
      </c>
      <c r="D28" s="69" t="s">
        <v>91</v>
      </c>
      <c r="E28" s="71">
        <v>5816.5</v>
      </c>
      <c r="F28" s="72">
        <f>SUM(E28*12)</f>
        <v>69798</v>
      </c>
      <c r="G28" s="72">
        <v>4.72</v>
      </c>
      <c r="H28" s="73">
        <f>SUM(F28*G28/1000)</f>
        <v>329.44655999999998</v>
      </c>
      <c r="I28" s="13">
        <f>F28/12*G28</f>
        <v>27453.879999999997</v>
      </c>
      <c r="J28" s="23"/>
    </row>
    <row r="29" spans="1:13" ht="15.75" customHeight="1">
      <c r="A29" s="121" t="s">
        <v>90</v>
      </c>
      <c r="B29" s="121"/>
      <c r="C29" s="121"/>
      <c r="D29" s="121"/>
      <c r="E29" s="121"/>
      <c r="F29" s="121"/>
      <c r="G29" s="121"/>
      <c r="H29" s="121"/>
      <c r="I29" s="121"/>
      <c r="J29" s="22"/>
      <c r="K29" s="8"/>
      <c r="L29" s="8"/>
      <c r="M29" s="8"/>
    </row>
    <row r="30" spans="1:13" ht="15.75" customHeight="1">
      <c r="A30" s="29"/>
      <c r="B30" s="90" t="s">
        <v>28</v>
      </c>
      <c r="C30" s="70"/>
      <c r="D30" s="69"/>
      <c r="E30" s="71"/>
      <c r="F30" s="72"/>
      <c r="G30" s="72"/>
      <c r="H30" s="73"/>
      <c r="I30" s="13"/>
      <c r="J30" s="22"/>
      <c r="K30" s="8"/>
      <c r="L30" s="8"/>
      <c r="M30" s="8"/>
    </row>
    <row r="31" spans="1:13" ht="15.75" customHeight="1">
      <c r="A31" s="29">
        <v>7</v>
      </c>
      <c r="B31" s="69" t="s">
        <v>125</v>
      </c>
      <c r="C31" s="70" t="s">
        <v>126</v>
      </c>
      <c r="D31" s="69" t="s">
        <v>127</v>
      </c>
      <c r="E31" s="72">
        <v>357.22</v>
      </c>
      <c r="F31" s="72">
        <f>SUM(E31*52/1000)</f>
        <v>18.575440000000004</v>
      </c>
      <c r="G31" s="72">
        <v>166.65</v>
      </c>
      <c r="H31" s="73">
        <f t="shared" ref="H31:H38" si="1">SUM(F31*G31/1000)</f>
        <v>3.0955970760000011</v>
      </c>
      <c r="I31" s="13">
        <f>F31/6*G31</f>
        <v>515.93284600000015</v>
      </c>
      <c r="J31" s="22"/>
      <c r="K31" s="8"/>
      <c r="L31" s="8"/>
      <c r="M31" s="8"/>
    </row>
    <row r="32" spans="1:13" ht="31.5" customHeight="1">
      <c r="A32" s="29">
        <v>8</v>
      </c>
      <c r="B32" s="69" t="s">
        <v>191</v>
      </c>
      <c r="C32" s="70" t="s">
        <v>126</v>
      </c>
      <c r="D32" s="69" t="s">
        <v>128</v>
      </c>
      <c r="E32" s="72">
        <v>475.06</v>
      </c>
      <c r="F32" s="72">
        <f>SUM(E32*78/1000)</f>
        <v>37.054679999999998</v>
      </c>
      <c r="G32" s="72">
        <v>276.48</v>
      </c>
      <c r="H32" s="73">
        <f t="shared" si="1"/>
        <v>10.244877926400001</v>
      </c>
      <c r="I32" s="13">
        <f t="shared" ref="I32:I35" si="2">F32/6*G32</f>
        <v>1707.4796544000001</v>
      </c>
      <c r="J32" s="22"/>
      <c r="K32" s="8"/>
      <c r="L32" s="8"/>
      <c r="M32" s="8"/>
    </row>
    <row r="33" spans="1:14" ht="15.75" hidden="1" customHeight="1">
      <c r="A33" s="29">
        <v>16</v>
      </c>
      <c r="B33" s="69" t="s">
        <v>27</v>
      </c>
      <c r="C33" s="70" t="s">
        <v>126</v>
      </c>
      <c r="D33" s="69" t="s">
        <v>54</v>
      </c>
      <c r="E33" s="72">
        <v>357.22</v>
      </c>
      <c r="F33" s="72">
        <f>SUM(E33/1000)</f>
        <v>0.35722000000000004</v>
      </c>
      <c r="G33" s="72">
        <v>3228.73</v>
      </c>
      <c r="H33" s="73">
        <f t="shared" si="1"/>
        <v>1.1533669306000001</v>
      </c>
      <c r="I33" s="13">
        <f>F33*G33</f>
        <v>1153.3669306000002</v>
      </c>
      <c r="J33" s="22"/>
      <c r="K33" s="8"/>
      <c r="L33" s="8"/>
      <c r="M33" s="8"/>
    </row>
    <row r="34" spans="1:14" ht="15.75" customHeight="1">
      <c r="A34" s="29">
        <v>9</v>
      </c>
      <c r="B34" s="69" t="s">
        <v>157</v>
      </c>
      <c r="C34" s="70" t="s">
        <v>40</v>
      </c>
      <c r="D34" s="69" t="s">
        <v>158</v>
      </c>
      <c r="E34" s="72">
        <v>5</v>
      </c>
      <c r="F34" s="72">
        <f>E34*155/100</f>
        <v>7.75</v>
      </c>
      <c r="G34" s="72">
        <v>1391.86</v>
      </c>
      <c r="H34" s="73">
        <f>G34*F34/1000</f>
        <v>10.786914999999999</v>
      </c>
      <c r="I34" s="13">
        <f t="shared" si="2"/>
        <v>1797.8191666666667</v>
      </c>
      <c r="J34" s="22"/>
      <c r="K34" s="8"/>
      <c r="L34" s="8"/>
      <c r="M34" s="8"/>
    </row>
    <row r="35" spans="1:14" ht="15.75" customHeight="1">
      <c r="A35" s="29">
        <v>10</v>
      </c>
      <c r="B35" s="69" t="s">
        <v>129</v>
      </c>
      <c r="C35" s="70" t="s">
        <v>31</v>
      </c>
      <c r="D35" s="69" t="s">
        <v>65</v>
      </c>
      <c r="E35" s="76">
        <v>0.33333333333333331</v>
      </c>
      <c r="F35" s="72">
        <f>155/3</f>
        <v>51.666666666666664</v>
      </c>
      <c r="G35" s="72">
        <v>60.6</v>
      </c>
      <c r="H35" s="73">
        <f>SUM(G35*155/3/1000)</f>
        <v>3.1309999999999998</v>
      </c>
      <c r="I35" s="13">
        <f t="shared" si="2"/>
        <v>521.83333333333337</v>
      </c>
      <c r="J35" s="22"/>
      <c r="K35" s="8"/>
    </row>
    <row r="36" spans="1:14" ht="15.75" hidden="1" customHeight="1">
      <c r="A36" s="29"/>
      <c r="B36" s="69" t="s">
        <v>67</v>
      </c>
      <c r="C36" s="70" t="s">
        <v>34</v>
      </c>
      <c r="D36" s="69" t="s">
        <v>69</v>
      </c>
      <c r="E36" s="71"/>
      <c r="F36" s="72">
        <v>3</v>
      </c>
      <c r="G36" s="72">
        <v>204.52</v>
      </c>
      <c r="H36" s="73">
        <f t="shared" si="1"/>
        <v>0.61356000000000011</v>
      </c>
      <c r="I36" s="13">
        <v>0</v>
      </c>
      <c r="J36" s="23"/>
    </row>
    <row r="37" spans="1:14" ht="15.75" hidden="1" customHeight="1">
      <c r="A37" s="29"/>
      <c r="B37" s="69" t="s">
        <v>68</v>
      </c>
      <c r="C37" s="70" t="s">
        <v>33</v>
      </c>
      <c r="D37" s="69" t="s">
        <v>69</v>
      </c>
      <c r="E37" s="71"/>
      <c r="F37" s="72">
        <v>2</v>
      </c>
      <c r="G37" s="72">
        <v>1214.74</v>
      </c>
      <c r="H37" s="73">
        <f t="shared" si="1"/>
        <v>2.4294799999999999</v>
      </c>
      <c r="I37" s="13">
        <v>0</v>
      </c>
      <c r="J37" s="23"/>
    </row>
    <row r="38" spans="1:14" ht="15.75" hidden="1" customHeight="1">
      <c r="A38" s="29"/>
      <c r="B38" s="46" t="s">
        <v>159</v>
      </c>
      <c r="C38" s="65" t="s">
        <v>29</v>
      </c>
      <c r="D38" s="69"/>
      <c r="E38" s="71">
        <v>360.36</v>
      </c>
      <c r="F38" s="72">
        <f>E38*36/1000</f>
        <v>12.97296</v>
      </c>
      <c r="G38" s="72">
        <v>3228.73</v>
      </c>
      <c r="H38" s="73">
        <f t="shared" si="1"/>
        <v>41.886185140800002</v>
      </c>
      <c r="I38" s="13">
        <v>0</v>
      </c>
      <c r="J38" s="23"/>
    </row>
    <row r="39" spans="1:14" ht="15.75" hidden="1" customHeight="1">
      <c r="A39" s="29"/>
      <c r="B39" s="90" t="s">
        <v>5</v>
      </c>
      <c r="C39" s="70"/>
      <c r="D39" s="69"/>
      <c r="E39" s="71"/>
      <c r="F39" s="72"/>
      <c r="G39" s="72"/>
      <c r="H39" s="73" t="s">
        <v>143</v>
      </c>
      <c r="I39" s="13"/>
      <c r="J39" s="23"/>
    </row>
    <row r="40" spans="1:14" ht="15.75" hidden="1" customHeight="1">
      <c r="A40" s="29">
        <v>8</v>
      </c>
      <c r="B40" s="69" t="s">
        <v>26</v>
      </c>
      <c r="C40" s="70" t="s">
        <v>33</v>
      </c>
      <c r="D40" s="69"/>
      <c r="E40" s="71"/>
      <c r="F40" s="72">
        <v>10</v>
      </c>
      <c r="G40" s="72">
        <v>1632.6</v>
      </c>
      <c r="H40" s="73">
        <f t="shared" ref="H40:H46" si="3">SUM(F40*G40/1000)</f>
        <v>16.326000000000001</v>
      </c>
      <c r="I40" s="13">
        <f>F40/6*G40</f>
        <v>2721</v>
      </c>
      <c r="J40" s="23"/>
      <c r="L40" s="19"/>
      <c r="M40" s="20"/>
      <c r="N40" s="21"/>
    </row>
    <row r="41" spans="1:14" ht="15.75" hidden="1" customHeight="1">
      <c r="A41" s="29">
        <v>9</v>
      </c>
      <c r="B41" s="69" t="s">
        <v>70</v>
      </c>
      <c r="C41" s="70" t="s">
        <v>29</v>
      </c>
      <c r="D41" s="69" t="s">
        <v>130</v>
      </c>
      <c r="E41" s="72">
        <v>469.73</v>
      </c>
      <c r="F41" s="72">
        <f>SUM(E41*30/1000)</f>
        <v>14.091900000000001</v>
      </c>
      <c r="G41" s="72">
        <v>2247.8000000000002</v>
      </c>
      <c r="H41" s="73">
        <f t="shared" si="3"/>
        <v>31.675772820000006</v>
      </c>
      <c r="I41" s="13">
        <f>F41/6*G41</f>
        <v>5279.2954700000009</v>
      </c>
      <c r="J41" s="23"/>
      <c r="L41" s="19"/>
      <c r="M41" s="20"/>
      <c r="N41" s="21"/>
    </row>
    <row r="42" spans="1:14" ht="15.75" hidden="1" customHeight="1">
      <c r="A42" s="29"/>
      <c r="B42" s="69" t="s">
        <v>102</v>
      </c>
      <c r="C42" s="70" t="s">
        <v>147</v>
      </c>
      <c r="D42" s="69" t="s">
        <v>69</v>
      </c>
      <c r="E42" s="71"/>
      <c r="F42" s="72">
        <v>120</v>
      </c>
      <c r="G42" s="72">
        <v>213.2</v>
      </c>
      <c r="H42" s="73">
        <f t="shared" si="3"/>
        <v>25.584</v>
      </c>
      <c r="I42" s="13">
        <v>0</v>
      </c>
      <c r="J42" s="23"/>
      <c r="L42" s="19"/>
      <c r="M42" s="20"/>
      <c r="N42" s="21"/>
    </row>
    <row r="43" spans="1:14" ht="15.75" hidden="1" customHeight="1">
      <c r="A43" s="29">
        <v>10</v>
      </c>
      <c r="B43" s="69" t="s">
        <v>71</v>
      </c>
      <c r="C43" s="70" t="s">
        <v>29</v>
      </c>
      <c r="D43" s="69" t="s">
        <v>131</v>
      </c>
      <c r="E43" s="72">
        <v>475.06</v>
      </c>
      <c r="F43" s="72">
        <f>SUM(E43*155/1000)</f>
        <v>73.634299999999996</v>
      </c>
      <c r="G43" s="72">
        <v>374.95</v>
      </c>
      <c r="H43" s="73">
        <f t="shared" si="3"/>
        <v>27.609180784999996</v>
      </c>
      <c r="I43" s="13">
        <f>F43/6*G43</f>
        <v>4601.5301308333328</v>
      </c>
      <c r="J43" s="23"/>
      <c r="L43" s="19"/>
      <c r="M43" s="20"/>
      <c r="N43" s="21"/>
    </row>
    <row r="44" spans="1:14" ht="47.25" hidden="1" customHeight="1">
      <c r="A44" s="29">
        <v>11</v>
      </c>
      <c r="B44" s="69" t="s">
        <v>87</v>
      </c>
      <c r="C44" s="70" t="s">
        <v>126</v>
      </c>
      <c r="D44" s="69" t="s">
        <v>148</v>
      </c>
      <c r="E44" s="72">
        <v>40.6</v>
      </c>
      <c r="F44" s="72">
        <f>SUM(E44*35/1000)</f>
        <v>1.421</v>
      </c>
      <c r="G44" s="72">
        <v>6203.7</v>
      </c>
      <c r="H44" s="73">
        <f t="shared" si="3"/>
        <v>8.8154577000000014</v>
      </c>
      <c r="I44" s="13">
        <f>F44/6*G44</f>
        <v>1469.2429500000001</v>
      </c>
      <c r="J44" s="23"/>
      <c r="L44" s="19"/>
      <c r="M44" s="20"/>
      <c r="N44" s="21"/>
    </row>
    <row r="45" spans="1:14" ht="15.75" hidden="1" customHeight="1">
      <c r="A45" s="29">
        <v>12</v>
      </c>
      <c r="B45" s="69" t="s">
        <v>132</v>
      </c>
      <c r="C45" s="70" t="s">
        <v>126</v>
      </c>
      <c r="D45" s="69" t="s">
        <v>72</v>
      </c>
      <c r="E45" s="72">
        <v>167.03</v>
      </c>
      <c r="F45" s="72">
        <f>SUM(E45*45/1000)</f>
        <v>7.5163500000000001</v>
      </c>
      <c r="G45" s="72">
        <v>458.28</v>
      </c>
      <c r="H45" s="73">
        <f t="shared" si="3"/>
        <v>3.4445928779999999</v>
      </c>
      <c r="I45" s="13">
        <f>F45/6*G45</f>
        <v>574.09881299999995</v>
      </c>
      <c r="J45" s="23"/>
      <c r="L45" s="19"/>
      <c r="M45" s="20"/>
      <c r="N45" s="21"/>
    </row>
    <row r="46" spans="1:14" ht="15.75" hidden="1" customHeight="1">
      <c r="A46" s="29">
        <v>13</v>
      </c>
      <c r="B46" s="69" t="s">
        <v>73</v>
      </c>
      <c r="C46" s="70" t="s">
        <v>34</v>
      </c>
      <c r="D46" s="69"/>
      <c r="E46" s="71"/>
      <c r="F46" s="72">
        <v>1.2</v>
      </c>
      <c r="G46" s="72">
        <v>853.06</v>
      </c>
      <c r="H46" s="73">
        <f t="shared" si="3"/>
        <v>1.0236719999999999</v>
      </c>
      <c r="I46" s="13">
        <f>F46/6*G46</f>
        <v>170.61199999999997</v>
      </c>
      <c r="J46" s="23"/>
      <c r="L46" s="19"/>
      <c r="M46" s="20"/>
      <c r="N46" s="21"/>
    </row>
    <row r="47" spans="1:14" ht="15.75" customHeight="1">
      <c r="A47" s="122" t="s">
        <v>153</v>
      </c>
      <c r="B47" s="123"/>
      <c r="C47" s="123"/>
      <c r="D47" s="123"/>
      <c r="E47" s="123"/>
      <c r="F47" s="123"/>
      <c r="G47" s="123"/>
      <c r="H47" s="123"/>
      <c r="I47" s="124"/>
      <c r="J47" s="23"/>
      <c r="L47" s="19"/>
      <c r="M47" s="20"/>
      <c r="N47" s="21"/>
    </row>
    <row r="48" spans="1:14" ht="15.75" hidden="1" customHeight="1">
      <c r="A48" s="29"/>
      <c r="B48" s="69" t="s">
        <v>133</v>
      </c>
      <c r="C48" s="70" t="s">
        <v>126</v>
      </c>
      <c r="D48" s="69" t="s">
        <v>42</v>
      </c>
      <c r="E48" s="71">
        <v>1603.6</v>
      </c>
      <c r="F48" s="72">
        <f>SUM(E48*2/1000)</f>
        <v>3.2071999999999998</v>
      </c>
      <c r="G48" s="13">
        <v>908.11</v>
      </c>
      <c r="H48" s="73">
        <f t="shared" ref="H48:H56" si="4">SUM(F48*G48/1000)</f>
        <v>2.9124903919999996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9" t="s">
        <v>35</v>
      </c>
      <c r="C49" s="70" t="s">
        <v>126</v>
      </c>
      <c r="D49" s="69" t="s">
        <v>42</v>
      </c>
      <c r="E49" s="71">
        <v>65</v>
      </c>
      <c r="F49" s="72">
        <f>SUM(E49*2/1000)</f>
        <v>0.13</v>
      </c>
      <c r="G49" s="13">
        <v>619.46</v>
      </c>
      <c r="H49" s="73">
        <f t="shared" si="4"/>
        <v>8.0529800000000012E-2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9" t="s">
        <v>36</v>
      </c>
      <c r="C50" s="70" t="s">
        <v>126</v>
      </c>
      <c r="D50" s="69" t="s">
        <v>42</v>
      </c>
      <c r="E50" s="71">
        <v>1825.8</v>
      </c>
      <c r="F50" s="72">
        <f>SUM(E50*2/1000)</f>
        <v>3.6515999999999997</v>
      </c>
      <c r="G50" s="13">
        <v>619.46</v>
      </c>
      <c r="H50" s="73">
        <f t="shared" si="4"/>
        <v>2.2620201360000003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69" t="s">
        <v>37</v>
      </c>
      <c r="C51" s="70" t="s">
        <v>126</v>
      </c>
      <c r="D51" s="69" t="s">
        <v>42</v>
      </c>
      <c r="E51" s="71">
        <v>3163.96</v>
      </c>
      <c r="F51" s="72">
        <f>SUM(E51*2/1000)</f>
        <v>6.3279199999999998</v>
      </c>
      <c r="G51" s="13">
        <v>648.64</v>
      </c>
      <c r="H51" s="73">
        <f t="shared" si="4"/>
        <v>4.1045420287999992</v>
      </c>
      <c r="I51" s="13">
        <v>0</v>
      </c>
      <c r="J51" s="23"/>
      <c r="L51" s="19"/>
      <c r="M51" s="20"/>
      <c r="N51" s="21"/>
    </row>
    <row r="52" spans="1:22" ht="15.75" hidden="1" customHeight="1">
      <c r="A52" s="29">
        <v>14</v>
      </c>
      <c r="B52" s="69" t="s">
        <v>58</v>
      </c>
      <c r="C52" s="70" t="s">
        <v>126</v>
      </c>
      <c r="D52" s="69" t="s">
        <v>192</v>
      </c>
      <c r="E52" s="71">
        <v>1583</v>
      </c>
      <c r="F52" s="72">
        <f>SUM(E52*5/1000)</f>
        <v>7.915</v>
      </c>
      <c r="G52" s="13">
        <v>1297.28</v>
      </c>
      <c r="H52" s="73">
        <f t="shared" si="4"/>
        <v>10.2679712</v>
      </c>
      <c r="I52" s="13">
        <f>F52/5*G52</f>
        <v>2053.5942399999999</v>
      </c>
      <c r="J52" s="23"/>
      <c r="L52" s="19"/>
      <c r="M52" s="20"/>
      <c r="N52" s="21"/>
    </row>
    <row r="53" spans="1:22" ht="31.5" hidden="1" customHeight="1">
      <c r="A53" s="29"/>
      <c r="B53" s="69" t="s">
        <v>134</v>
      </c>
      <c r="C53" s="70" t="s">
        <v>126</v>
      </c>
      <c r="D53" s="69" t="s">
        <v>42</v>
      </c>
      <c r="E53" s="71">
        <v>1583</v>
      </c>
      <c r="F53" s="72">
        <f>SUM(E53*2/1000)</f>
        <v>3.1659999999999999</v>
      </c>
      <c r="G53" s="13">
        <v>1297.28</v>
      </c>
      <c r="H53" s="73">
        <f t="shared" si="4"/>
        <v>4.1071884799999996</v>
      </c>
      <c r="I53" s="13">
        <v>0</v>
      </c>
      <c r="J53" s="23"/>
      <c r="L53" s="19"/>
      <c r="M53" s="20"/>
      <c r="N53" s="21"/>
    </row>
    <row r="54" spans="1:22" ht="31.5" hidden="1" customHeight="1">
      <c r="A54" s="29"/>
      <c r="B54" s="69" t="s">
        <v>135</v>
      </c>
      <c r="C54" s="70" t="s">
        <v>38</v>
      </c>
      <c r="D54" s="69" t="s">
        <v>42</v>
      </c>
      <c r="E54" s="71">
        <v>25</v>
      </c>
      <c r="F54" s="72">
        <f>SUM(E54*2/100)</f>
        <v>0.5</v>
      </c>
      <c r="G54" s="13">
        <v>2918.89</v>
      </c>
      <c r="H54" s="73">
        <f t="shared" si="4"/>
        <v>1.4594449999999999</v>
      </c>
      <c r="I54" s="13">
        <v>0</v>
      </c>
      <c r="J54" s="23"/>
      <c r="L54" s="19"/>
      <c r="M54" s="20"/>
      <c r="N54" s="21"/>
    </row>
    <row r="55" spans="1:22" ht="15.75" hidden="1" customHeight="1">
      <c r="A55" s="29"/>
      <c r="B55" s="69" t="s">
        <v>39</v>
      </c>
      <c r="C55" s="70" t="s">
        <v>40</v>
      </c>
      <c r="D55" s="69" t="s">
        <v>42</v>
      </c>
      <c r="E55" s="71">
        <v>1</v>
      </c>
      <c r="F55" s="72">
        <v>0.02</v>
      </c>
      <c r="G55" s="13">
        <v>6042.12</v>
      </c>
      <c r="H55" s="73">
        <f t="shared" si="4"/>
        <v>0.1208424</v>
      </c>
      <c r="I55" s="13">
        <v>0</v>
      </c>
      <c r="J55" s="23"/>
      <c r="L55" s="19"/>
      <c r="M55" s="20"/>
      <c r="N55" s="21"/>
    </row>
    <row r="56" spans="1:22" ht="15.75" customHeight="1">
      <c r="A56" s="29">
        <v>11</v>
      </c>
      <c r="B56" s="69" t="s">
        <v>41</v>
      </c>
      <c r="C56" s="70" t="s">
        <v>31</v>
      </c>
      <c r="D56" s="69" t="s">
        <v>74</v>
      </c>
      <c r="E56" s="71">
        <v>36</v>
      </c>
      <c r="F56" s="72">
        <f>SUM(E56)*3</f>
        <v>108</v>
      </c>
      <c r="G56" s="13">
        <v>70.209999999999994</v>
      </c>
      <c r="H56" s="73">
        <f t="shared" si="4"/>
        <v>7.582679999999999</v>
      </c>
      <c r="I56" s="13">
        <f>E56*G56</f>
        <v>2527.56</v>
      </c>
      <c r="J56" s="23"/>
      <c r="L56" s="19"/>
      <c r="M56" s="20"/>
      <c r="N56" s="21"/>
    </row>
    <row r="57" spans="1:22" ht="15.75" customHeight="1">
      <c r="A57" s="122" t="s">
        <v>195</v>
      </c>
      <c r="B57" s="123"/>
      <c r="C57" s="123"/>
      <c r="D57" s="123"/>
      <c r="E57" s="123"/>
      <c r="F57" s="123"/>
      <c r="G57" s="123"/>
      <c r="H57" s="123"/>
      <c r="I57" s="124"/>
      <c r="J57" s="23"/>
      <c r="L57" s="19"/>
      <c r="M57" s="20"/>
      <c r="N57" s="21"/>
    </row>
    <row r="58" spans="1:22" ht="15.75" hidden="1" customHeight="1">
      <c r="A58" s="29"/>
      <c r="B58" s="90" t="s">
        <v>43</v>
      </c>
      <c r="C58" s="70"/>
      <c r="D58" s="69"/>
      <c r="E58" s="71"/>
      <c r="F58" s="72"/>
      <c r="G58" s="72"/>
      <c r="H58" s="73"/>
      <c r="I58" s="13"/>
      <c r="J58" s="23"/>
      <c r="L58" s="19"/>
      <c r="M58" s="20"/>
      <c r="N58" s="21"/>
    </row>
    <row r="59" spans="1:22" ht="31.5" hidden="1" customHeight="1">
      <c r="A59" s="29">
        <v>16</v>
      </c>
      <c r="B59" s="69" t="s">
        <v>149</v>
      </c>
      <c r="C59" s="70" t="s">
        <v>115</v>
      </c>
      <c r="D59" s="69" t="s">
        <v>75</v>
      </c>
      <c r="E59" s="78">
        <v>3.78</v>
      </c>
      <c r="F59" s="13">
        <f>E59*6/100</f>
        <v>0.2268</v>
      </c>
      <c r="G59" s="72">
        <v>1654.04</v>
      </c>
      <c r="H59" s="73">
        <f>SUM(F59*G59/1000)</f>
        <v>0.37513627199999999</v>
      </c>
      <c r="I59" s="13">
        <f>F59/6*G59</f>
        <v>62.522711999999999</v>
      </c>
      <c r="J59" s="23"/>
      <c r="L59" s="19"/>
      <c r="M59" s="20"/>
      <c r="N59" s="21"/>
    </row>
    <row r="60" spans="1:22" ht="31.5" hidden="1" customHeight="1">
      <c r="A60" s="29">
        <v>17</v>
      </c>
      <c r="B60" s="69" t="s">
        <v>137</v>
      </c>
      <c r="C60" s="70" t="s">
        <v>115</v>
      </c>
      <c r="D60" s="69" t="s">
        <v>75</v>
      </c>
      <c r="E60" s="71">
        <v>185.36</v>
      </c>
      <c r="F60" s="72">
        <f>E60*6/100</f>
        <v>11.121600000000001</v>
      </c>
      <c r="G60" s="79">
        <v>1654.04</v>
      </c>
      <c r="H60" s="73">
        <f>F60*G60/1000</f>
        <v>18.395571264000001</v>
      </c>
      <c r="I60" s="13">
        <f>F60/6*G60</f>
        <v>3065.9285440000003</v>
      </c>
      <c r="J60" s="23"/>
      <c r="L60" s="19"/>
    </row>
    <row r="61" spans="1:22" ht="15.75" hidden="1" customHeight="1">
      <c r="A61" s="29"/>
      <c r="B61" s="80" t="s">
        <v>108</v>
      </c>
      <c r="C61" s="70" t="s">
        <v>109</v>
      </c>
      <c r="D61" s="80" t="s">
        <v>42</v>
      </c>
      <c r="E61" s="81">
        <v>5</v>
      </c>
      <c r="F61" s="82">
        <v>10</v>
      </c>
      <c r="G61" s="79">
        <v>198.25</v>
      </c>
      <c r="H61" s="83">
        <v>0.99099999999999999</v>
      </c>
      <c r="I61" s="13">
        <v>0</v>
      </c>
      <c r="J61" s="23"/>
      <c r="L61" s="19"/>
    </row>
    <row r="62" spans="1:22" ht="15.75" customHeight="1">
      <c r="A62" s="29"/>
      <c r="B62" s="91" t="s">
        <v>44</v>
      </c>
      <c r="C62" s="84"/>
      <c r="D62" s="80"/>
      <c r="E62" s="81"/>
      <c r="F62" s="82"/>
      <c r="G62" s="85"/>
      <c r="H62" s="83"/>
      <c r="I62" s="13"/>
    </row>
    <row r="63" spans="1:22" ht="15.75" hidden="1" customHeight="1">
      <c r="A63" s="29"/>
      <c r="B63" s="80" t="s">
        <v>45</v>
      </c>
      <c r="C63" s="84" t="s">
        <v>53</v>
      </c>
      <c r="D63" s="80" t="s">
        <v>54</v>
      </c>
      <c r="E63" s="81">
        <v>1752</v>
      </c>
      <c r="F63" s="82">
        <f>E63/100</f>
        <v>17.52</v>
      </c>
      <c r="G63" s="72">
        <v>848.37</v>
      </c>
      <c r="H63" s="83">
        <f>G63*F63/1000</f>
        <v>14.8634424</v>
      </c>
      <c r="I63" s="13">
        <v>0</v>
      </c>
    </row>
    <row r="64" spans="1:22" ht="15.75" customHeight="1">
      <c r="A64" s="29">
        <v>12</v>
      </c>
      <c r="B64" s="80" t="s">
        <v>103</v>
      </c>
      <c r="C64" s="84" t="s">
        <v>25</v>
      </c>
      <c r="D64" s="80" t="s">
        <v>160</v>
      </c>
      <c r="E64" s="81">
        <v>352</v>
      </c>
      <c r="F64" s="82">
        <f>E64*12</f>
        <v>4224</v>
      </c>
      <c r="G64" s="72">
        <v>2.6</v>
      </c>
      <c r="H64" s="83">
        <f>G64*F64/1000</f>
        <v>10.9824</v>
      </c>
      <c r="I64" s="13">
        <f>F64/12*G64</f>
        <v>915.2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29"/>
      <c r="B65" s="91" t="s">
        <v>46</v>
      </c>
      <c r="C65" s="84"/>
      <c r="D65" s="80"/>
      <c r="E65" s="81"/>
      <c r="F65" s="82"/>
      <c r="G65" s="92"/>
      <c r="H65" s="83" t="s">
        <v>143</v>
      </c>
      <c r="I65" s="13"/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29">
        <v>13</v>
      </c>
      <c r="B66" s="14" t="s">
        <v>47</v>
      </c>
      <c r="C66" s="16" t="s">
        <v>136</v>
      </c>
      <c r="D66" s="14" t="s">
        <v>69</v>
      </c>
      <c r="E66" s="18">
        <v>10</v>
      </c>
      <c r="F66" s="72">
        <v>10</v>
      </c>
      <c r="G66" s="13">
        <v>237.74</v>
      </c>
      <c r="H66" s="66">
        <f t="shared" ref="H66:H80" si="5">SUM(F66*G66/1000)</f>
        <v>2.3774000000000002</v>
      </c>
      <c r="I66" s="13">
        <f>G66*4</f>
        <v>950.96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48</v>
      </c>
      <c r="C67" s="16" t="s">
        <v>136</v>
      </c>
      <c r="D67" s="14" t="s">
        <v>69</v>
      </c>
      <c r="E67" s="18">
        <v>5</v>
      </c>
      <c r="F67" s="72">
        <v>5</v>
      </c>
      <c r="G67" s="13">
        <v>81.510000000000005</v>
      </c>
      <c r="H67" s="66">
        <f t="shared" si="5"/>
        <v>0.40755000000000002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10"/>
      <c r="S67" s="110"/>
      <c r="T67" s="110"/>
      <c r="U67" s="110"/>
    </row>
    <row r="68" spans="1:21" ht="15.75" hidden="1" customHeight="1">
      <c r="A68" s="29"/>
      <c r="B68" s="14" t="s">
        <v>49</v>
      </c>
      <c r="C68" s="16" t="s">
        <v>138</v>
      </c>
      <c r="D68" s="14" t="s">
        <v>54</v>
      </c>
      <c r="E68" s="71">
        <v>23808</v>
      </c>
      <c r="F68" s="13">
        <f>SUM(E68/100)</f>
        <v>238.08</v>
      </c>
      <c r="G68" s="13">
        <v>226.79</v>
      </c>
      <c r="H68" s="66">
        <f t="shared" si="5"/>
        <v>53.994163200000003</v>
      </c>
      <c r="I68" s="13">
        <f>F68*G68</f>
        <v>53994.163200000003</v>
      </c>
    </row>
    <row r="69" spans="1:21" ht="15.75" hidden="1" customHeight="1">
      <c r="A69" s="29"/>
      <c r="B69" s="14" t="s">
        <v>50</v>
      </c>
      <c r="C69" s="16" t="s">
        <v>139</v>
      </c>
      <c r="D69" s="14"/>
      <c r="E69" s="71">
        <v>23808</v>
      </c>
      <c r="F69" s="13">
        <f>SUM(E69/1000)</f>
        <v>23.808</v>
      </c>
      <c r="G69" s="13">
        <v>176.61</v>
      </c>
      <c r="H69" s="66">
        <f t="shared" si="5"/>
        <v>4.2047308800000005</v>
      </c>
      <c r="I69" s="13">
        <f t="shared" ref="I69:I73" si="6">F69*G69</f>
        <v>4204.7308800000001</v>
      </c>
    </row>
    <row r="70" spans="1:21" ht="15.75" hidden="1" customHeight="1">
      <c r="A70" s="29"/>
      <c r="B70" s="14" t="s">
        <v>51</v>
      </c>
      <c r="C70" s="16" t="s">
        <v>80</v>
      </c>
      <c r="D70" s="14" t="s">
        <v>54</v>
      </c>
      <c r="E70" s="71">
        <v>3810</v>
      </c>
      <c r="F70" s="13">
        <f>SUM(E70/100)</f>
        <v>38.1</v>
      </c>
      <c r="G70" s="13">
        <v>2217.7800000000002</v>
      </c>
      <c r="H70" s="66">
        <f t="shared" si="5"/>
        <v>84.49741800000001</v>
      </c>
      <c r="I70" s="13">
        <f t="shared" si="6"/>
        <v>84497.418000000005</v>
      </c>
    </row>
    <row r="71" spans="1:21" ht="15.75" hidden="1" customHeight="1">
      <c r="A71" s="29"/>
      <c r="B71" s="86" t="s">
        <v>140</v>
      </c>
      <c r="C71" s="16" t="s">
        <v>34</v>
      </c>
      <c r="D71" s="14"/>
      <c r="E71" s="71">
        <v>23.4</v>
      </c>
      <c r="F71" s="13">
        <f>SUM(E71)</f>
        <v>23.4</v>
      </c>
      <c r="G71" s="13">
        <v>42.67</v>
      </c>
      <c r="H71" s="66">
        <f t="shared" si="5"/>
        <v>0.99847799999999998</v>
      </c>
      <c r="I71" s="13">
        <f t="shared" si="6"/>
        <v>998.47799999999995</v>
      </c>
    </row>
    <row r="72" spans="1:21" ht="15.75" hidden="1" customHeight="1">
      <c r="A72" s="29"/>
      <c r="B72" s="86" t="s">
        <v>150</v>
      </c>
      <c r="C72" s="16" t="s">
        <v>34</v>
      </c>
      <c r="D72" s="14"/>
      <c r="E72" s="71">
        <v>23.4</v>
      </c>
      <c r="F72" s="13">
        <f>SUM(E72)</f>
        <v>23.4</v>
      </c>
      <c r="G72" s="13">
        <v>39.81</v>
      </c>
      <c r="H72" s="66">
        <f t="shared" si="5"/>
        <v>0.93155399999999999</v>
      </c>
      <c r="I72" s="13">
        <f t="shared" si="6"/>
        <v>931.55399999999997</v>
      </c>
    </row>
    <row r="73" spans="1:21" ht="15.75" hidden="1" customHeight="1">
      <c r="A73" s="29"/>
      <c r="B73" s="14" t="s">
        <v>59</v>
      </c>
      <c r="C73" s="16" t="s">
        <v>60</v>
      </c>
      <c r="D73" s="14" t="s">
        <v>54</v>
      </c>
      <c r="E73" s="18">
        <v>5</v>
      </c>
      <c r="F73" s="72">
        <f>SUM(E73)</f>
        <v>5</v>
      </c>
      <c r="G73" s="13">
        <v>53.32</v>
      </c>
      <c r="H73" s="66">
        <f t="shared" si="5"/>
        <v>0.2666</v>
      </c>
      <c r="I73" s="13">
        <f t="shared" si="6"/>
        <v>266.60000000000002</v>
      </c>
    </row>
    <row r="74" spans="1:21" ht="15.75" customHeight="1">
      <c r="A74" s="29">
        <v>14</v>
      </c>
      <c r="B74" s="14" t="s">
        <v>151</v>
      </c>
      <c r="C74" s="16" t="s">
        <v>60</v>
      </c>
      <c r="D74" s="14" t="s">
        <v>30</v>
      </c>
      <c r="E74" s="18">
        <v>1</v>
      </c>
      <c r="F74" s="59">
        <v>12</v>
      </c>
      <c r="G74" s="13">
        <v>711</v>
      </c>
      <c r="H74" s="66">
        <v>8.5310000000000006</v>
      </c>
      <c r="I74" s="13">
        <f>F74/12*G74</f>
        <v>711</v>
      </c>
    </row>
    <row r="75" spans="1:21" ht="15.75" hidden="1" customHeight="1">
      <c r="A75" s="29"/>
      <c r="B75" s="54" t="s">
        <v>76</v>
      </c>
      <c r="C75" s="16"/>
      <c r="D75" s="14"/>
      <c r="E75" s="18"/>
      <c r="F75" s="13"/>
      <c r="G75" s="13"/>
      <c r="H75" s="66" t="s">
        <v>143</v>
      </c>
      <c r="I75" s="13"/>
    </row>
    <row r="76" spans="1:21" ht="15.75" hidden="1" customHeight="1">
      <c r="A76" s="29"/>
      <c r="B76" s="14" t="s">
        <v>77</v>
      </c>
      <c r="C76" s="16" t="s">
        <v>32</v>
      </c>
      <c r="D76" s="14" t="s">
        <v>69</v>
      </c>
      <c r="E76" s="18">
        <v>2</v>
      </c>
      <c r="F76" s="59">
        <v>0.2</v>
      </c>
      <c r="G76" s="13">
        <v>536.23</v>
      </c>
      <c r="H76" s="66">
        <v>0.107</v>
      </c>
      <c r="I76" s="13">
        <v>0</v>
      </c>
    </row>
    <row r="77" spans="1:21" ht="15.75" hidden="1" customHeight="1">
      <c r="A77" s="29"/>
      <c r="B77" s="14" t="s">
        <v>94</v>
      </c>
      <c r="C77" s="16" t="s">
        <v>31</v>
      </c>
      <c r="D77" s="14"/>
      <c r="E77" s="18">
        <v>1</v>
      </c>
      <c r="F77" s="72">
        <f>SUM(E77)</f>
        <v>1</v>
      </c>
      <c r="G77" s="13">
        <v>383.25</v>
      </c>
      <c r="H77" s="66">
        <f t="shared" si="5"/>
        <v>0.38324999999999998</v>
      </c>
      <c r="I77" s="13">
        <v>0</v>
      </c>
    </row>
    <row r="78" spans="1:21" ht="15.75" hidden="1" customHeight="1">
      <c r="A78" s="29"/>
      <c r="B78" s="14" t="s">
        <v>78</v>
      </c>
      <c r="C78" s="16" t="s">
        <v>31</v>
      </c>
      <c r="D78" s="14"/>
      <c r="E78" s="18">
        <v>1</v>
      </c>
      <c r="F78" s="13">
        <v>1</v>
      </c>
      <c r="G78" s="13">
        <v>911.85</v>
      </c>
      <c r="H78" s="66">
        <f>F78*G78/1000</f>
        <v>0.91185000000000005</v>
      </c>
      <c r="I78" s="13">
        <v>0</v>
      </c>
    </row>
    <row r="79" spans="1:21" ht="15.75" hidden="1" customHeight="1">
      <c r="A79" s="29"/>
      <c r="B79" s="87" t="s">
        <v>79</v>
      </c>
      <c r="C79" s="16"/>
      <c r="D79" s="14"/>
      <c r="E79" s="18"/>
      <c r="F79" s="13"/>
      <c r="G79" s="13" t="s">
        <v>143</v>
      </c>
      <c r="H79" s="66" t="s">
        <v>143</v>
      </c>
      <c r="I79" s="13"/>
    </row>
    <row r="80" spans="1:21" ht="15.75" hidden="1" customHeight="1">
      <c r="A80" s="29"/>
      <c r="B80" s="42" t="s">
        <v>144</v>
      </c>
      <c r="C80" s="16" t="s">
        <v>80</v>
      </c>
      <c r="D80" s="14"/>
      <c r="E80" s="18"/>
      <c r="F80" s="13">
        <v>0.6</v>
      </c>
      <c r="G80" s="13">
        <v>2949.85</v>
      </c>
      <c r="H80" s="66">
        <f t="shared" si="5"/>
        <v>1.7699099999999999</v>
      </c>
      <c r="I80" s="13">
        <v>0</v>
      </c>
      <c r="J80" s="5"/>
      <c r="K80" s="5"/>
      <c r="L80" s="5"/>
      <c r="M80" s="5"/>
      <c r="N80" s="5"/>
      <c r="O80" s="5"/>
      <c r="P80" s="5"/>
      <c r="Q80" s="5"/>
      <c r="R80" s="53"/>
      <c r="S80" s="53"/>
      <c r="T80" s="53"/>
      <c r="U80" s="53"/>
    </row>
    <row r="81" spans="1:21" ht="15.75" hidden="1" customHeight="1">
      <c r="A81" s="43"/>
      <c r="B81" s="54" t="s">
        <v>141</v>
      </c>
      <c r="C81" s="54"/>
      <c r="D81" s="54"/>
      <c r="E81" s="54"/>
      <c r="F81" s="54"/>
      <c r="G81" s="54"/>
      <c r="H81" s="54"/>
      <c r="I81" s="18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29"/>
      <c r="B82" s="69" t="s">
        <v>142</v>
      </c>
      <c r="C82" s="16"/>
      <c r="D82" s="14"/>
      <c r="E82" s="60"/>
      <c r="F82" s="13">
        <v>1</v>
      </c>
      <c r="G82" s="13">
        <v>21062.799999999999</v>
      </c>
      <c r="H82" s="66">
        <f>G82*F82/1000</f>
        <v>21.062799999999999</v>
      </c>
      <c r="I82" s="13">
        <v>0</v>
      </c>
      <c r="J82" s="5"/>
      <c r="K82" s="5"/>
      <c r="L82" s="5"/>
      <c r="M82" s="5"/>
      <c r="N82" s="5"/>
      <c r="O82" s="5"/>
      <c r="P82" s="5"/>
      <c r="Q82" s="5"/>
      <c r="R82" s="53"/>
      <c r="S82" s="53"/>
      <c r="T82" s="53"/>
      <c r="U82" s="53"/>
    </row>
    <row r="83" spans="1:21" ht="15.75" customHeight="1">
      <c r="A83" s="111" t="s">
        <v>196</v>
      </c>
      <c r="B83" s="112"/>
      <c r="C83" s="112"/>
      <c r="D83" s="112"/>
      <c r="E83" s="112"/>
      <c r="F83" s="112"/>
      <c r="G83" s="112"/>
      <c r="H83" s="112"/>
      <c r="I83" s="113"/>
    </row>
    <row r="84" spans="1:21" ht="15.75" customHeight="1">
      <c r="A84" s="29">
        <v>15</v>
      </c>
      <c r="B84" s="69" t="s">
        <v>145</v>
      </c>
      <c r="C84" s="16" t="s">
        <v>56</v>
      </c>
      <c r="D84" s="88" t="s">
        <v>57</v>
      </c>
      <c r="E84" s="13">
        <v>5816.5</v>
      </c>
      <c r="F84" s="13">
        <f>SUM(E84*12)</f>
        <v>69798</v>
      </c>
      <c r="G84" s="13">
        <v>2.54</v>
      </c>
      <c r="H84" s="66">
        <f>SUM(F84*G84/1000)</f>
        <v>177.28692000000001</v>
      </c>
      <c r="I84" s="13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53"/>
      <c r="S84" s="53"/>
      <c r="T84" s="53"/>
      <c r="U84" s="53"/>
    </row>
    <row r="85" spans="1:21" ht="31.5" customHeight="1">
      <c r="A85" s="29">
        <v>16</v>
      </c>
      <c r="B85" s="14" t="s">
        <v>81</v>
      </c>
      <c r="C85" s="16"/>
      <c r="D85" s="88" t="s">
        <v>57</v>
      </c>
      <c r="E85" s="71">
        <f>E84</f>
        <v>5816.5</v>
      </c>
      <c r="F85" s="13">
        <f>E85*12</f>
        <v>69798</v>
      </c>
      <c r="G85" s="13">
        <v>2.0499999999999998</v>
      </c>
      <c r="H85" s="66">
        <f>F85*G85/1000</f>
        <v>143.08589999999998</v>
      </c>
      <c r="I85" s="13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53"/>
      <c r="S85" s="53"/>
      <c r="T85" s="53"/>
      <c r="U85" s="53"/>
    </row>
    <row r="86" spans="1:21" ht="15.75" customHeight="1">
      <c r="A86" s="43"/>
      <c r="B86" s="34" t="s">
        <v>84</v>
      </c>
      <c r="C86" s="35"/>
      <c r="D86" s="15"/>
      <c r="E86" s="15"/>
      <c r="F86" s="15"/>
      <c r="G86" s="18"/>
      <c r="H86" s="18"/>
      <c r="I86" s="31">
        <f>I16+I17+I18+I20+I27+I28+I31+I32+I34+I35+I56+I64+I66+I74+I84+I85</f>
        <v>89572.819452399985</v>
      </c>
    </row>
    <row r="87" spans="1:21" ht="15.75" customHeight="1">
      <c r="A87" s="125" t="s">
        <v>62</v>
      </c>
      <c r="B87" s="126"/>
      <c r="C87" s="126"/>
      <c r="D87" s="126"/>
      <c r="E87" s="126"/>
      <c r="F87" s="126"/>
      <c r="G87" s="126"/>
      <c r="H87" s="126"/>
      <c r="I87" s="127"/>
    </row>
    <row r="88" spans="1:21" ht="15.75" customHeight="1">
      <c r="A88" s="29">
        <v>17</v>
      </c>
      <c r="B88" s="46" t="s">
        <v>86</v>
      </c>
      <c r="C88" s="65" t="s">
        <v>136</v>
      </c>
      <c r="D88" s="42"/>
      <c r="E88" s="13"/>
      <c r="F88" s="13">
        <v>26</v>
      </c>
      <c r="G88" s="13">
        <v>189.88</v>
      </c>
      <c r="H88" s="66">
        <f t="shared" ref="H88" si="7">G88*F88/1000</f>
        <v>4.9368800000000004</v>
      </c>
      <c r="I88" s="13">
        <f>G88*2</f>
        <v>379.76</v>
      </c>
      <c r="J88" s="5"/>
      <c r="K88" s="5"/>
      <c r="L88" s="5"/>
      <c r="M88" s="5"/>
      <c r="N88" s="5"/>
      <c r="O88" s="5"/>
      <c r="P88" s="5"/>
      <c r="Q88" s="5"/>
      <c r="R88" s="53"/>
      <c r="S88" s="53"/>
      <c r="T88" s="53"/>
      <c r="U88" s="53"/>
    </row>
    <row r="89" spans="1:21" ht="15.75" customHeight="1">
      <c r="A89" s="29">
        <v>18</v>
      </c>
      <c r="B89" s="67" t="s">
        <v>212</v>
      </c>
      <c r="C89" s="68" t="s">
        <v>98</v>
      </c>
      <c r="D89" s="42"/>
      <c r="E89" s="13"/>
      <c r="F89" s="13">
        <f>92/3</f>
        <v>30.666666666666668</v>
      </c>
      <c r="G89" s="13">
        <v>1120.8900000000001</v>
      </c>
      <c r="H89" s="66">
        <f>G89*F89/1000</f>
        <v>34.373960000000004</v>
      </c>
      <c r="I89" s="13">
        <f>G89*(5/3)</f>
        <v>1868.1500000000003</v>
      </c>
      <c r="J89" s="5"/>
      <c r="K89" s="5"/>
      <c r="L89" s="5"/>
      <c r="M89" s="5"/>
      <c r="N89" s="5"/>
      <c r="O89" s="5"/>
      <c r="P89" s="5"/>
      <c r="Q89" s="5"/>
      <c r="R89" s="53"/>
      <c r="S89" s="53"/>
      <c r="T89" s="53"/>
      <c r="U89" s="53"/>
    </row>
    <row r="90" spans="1:21" ht="15.75" customHeight="1">
      <c r="A90" s="29">
        <v>19</v>
      </c>
      <c r="B90" s="46" t="s">
        <v>285</v>
      </c>
      <c r="C90" s="65" t="s">
        <v>34</v>
      </c>
      <c r="D90" s="108"/>
      <c r="E90" s="17"/>
      <c r="F90" s="33">
        <f>(222.76+106.76+65.11+124.75+25.49)-(18.15*6)+(((7.4-(18.15*6))*44.31)/G90)</f>
        <v>330.42048110772123</v>
      </c>
      <c r="G90" s="33">
        <v>42.61</v>
      </c>
      <c r="H90" s="33">
        <f t="shared" ref="H90" si="8">G90*F90/1000</f>
        <v>14.079216700000002</v>
      </c>
      <c r="I90" s="13">
        <f>G90*F90</f>
        <v>14079.216700000001</v>
      </c>
      <c r="J90" s="5"/>
      <c r="K90" s="5"/>
      <c r="L90" s="5"/>
      <c r="M90" s="5"/>
      <c r="N90" s="5"/>
      <c r="O90" s="5"/>
      <c r="P90" s="5"/>
      <c r="Q90" s="5"/>
      <c r="R90" s="109"/>
      <c r="S90" s="109"/>
      <c r="T90" s="109"/>
      <c r="U90" s="109"/>
    </row>
    <row r="91" spans="1:21" ht="15.75" customHeight="1">
      <c r="A91" s="29"/>
      <c r="B91" s="40" t="s">
        <v>52</v>
      </c>
      <c r="C91" s="36"/>
      <c r="D91" s="44"/>
      <c r="E91" s="36">
        <v>1</v>
      </c>
      <c r="F91" s="36"/>
      <c r="G91" s="36"/>
      <c r="H91" s="36"/>
      <c r="I91" s="31">
        <f>SUM(I88:I90)</f>
        <v>16327.126700000001</v>
      </c>
    </row>
    <row r="92" spans="1:21" ht="15.75" customHeight="1">
      <c r="A92" s="29"/>
      <c r="B92" s="42" t="s">
        <v>82</v>
      </c>
      <c r="C92" s="15"/>
      <c r="D92" s="15"/>
      <c r="E92" s="37"/>
      <c r="F92" s="37"/>
      <c r="G92" s="38"/>
      <c r="H92" s="38"/>
      <c r="I92" s="17">
        <v>0</v>
      </c>
    </row>
    <row r="93" spans="1:21" ht="15.75" customHeight="1">
      <c r="A93" s="45"/>
      <c r="B93" s="41" t="s">
        <v>210</v>
      </c>
      <c r="C93" s="32"/>
      <c r="D93" s="32"/>
      <c r="E93" s="32"/>
      <c r="F93" s="32"/>
      <c r="G93" s="32"/>
      <c r="H93" s="32"/>
      <c r="I93" s="39">
        <f>I86+I91</f>
        <v>105899.94615239999</v>
      </c>
    </row>
    <row r="94" spans="1:21" ht="15.75" customHeight="1">
      <c r="A94" s="128" t="s">
        <v>286</v>
      </c>
      <c r="B94" s="128"/>
      <c r="C94" s="128"/>
      <c r="D94" s="128"/>
      <c r="E94" s="128"/>
      <c r="F94" s="128"/>
      <c r="G94" s="128"/>
      <c r="H94" s="128"/>
      <c r="I94" s="128"/>
    </row>
    <row r="95" spans="1:21" ht="15.75" customHeight="1">
      <c r="A95" s="57"/>
      <c r="B95" s="129" t="s">
        <v>287</v>
      </c>
      <c r="C95" s="129"/>
      <c r="D95" s="129"/>
      <c r="E95" s="129"/>
      <c r="F95" s="129"/>
      <c r="G95" s="129"/>
      <c r="H95" s="63"/>
      <c r="I95" s="3"/>
    </row>
    <row r="96" spans="1:21" ht="15.75" customHeight="1">
      <c r="A96" s="53"/>
      <c r="B96" s="130" t="s">
        <v>6</v>
      </c>
      <c r="C96" s="130"/>
      <c r="D96" s="130"/>
      <c r="E96" s="130"/>
      <c r="F96" s="130"/>
      <c r="G96" s="130"/>
      <c r="H96" s="24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31" t="s">
        <v>7</v>
      </c>
      <c r="B98" s="131"/>
      <c r="C98" s="131"/>
      <c r="D98" s="131"/>
      <c r="E98" s="131"/>
      <c r="F98" s="131"/>
      <c r="G98" s="131"/>
      <c r="H98" s="131"/>
      <c r="I98" s="131"/>
    </row>
    <row r="99" spans="1:9" ht="15.75" customHeight="1">
      <c r="A99" s="131" t="s">
        <v>8</v>
      </c>
      <c r="B99" s="131"/>
      <c r="C99" s="131"/>
      <c r="D99" s="131"/>
      <c r="E99" s="131"/>
      <c r="F99" s="131"/>
      <c r="G99" s="131"/>
      <c r="H99" s="131"/>
      <c r="I99" s="131"/>
    </row>
    <row r="100" spans="1:9" ht="15.75" customHeight="1">
      <c r="A100" s="120" t="s">
        <v>63</v>
      </c>
      <c r="B100" s="120"/>
      <c r="C100" s="120"/>
      <c r="D100" s="120"/>
      <c r="E100" s="120"/>
      <c r="F100" s="120"/>
      <c r="G100" s="120"/>
      <c r="H100" s="120"/>
      <c r="I100" s="120"/>
    </row>
    <row r="101" spans="1:9" ht="15.75" customHeight="1">
      <c r="A101" s="11"/>
    </row>
    <row r="102" spans="1:9" ht="15.75" customHeight="1">
      <c r="A102" s="133" t="s">
        <v>9</v>
      </c>
      <c r="B102" s="133"/>
      <c r="C102" s="133"/>
      <c r="D102" s="133"/>
      <c r="E102" s="133"/>
      <c r="F102" s="133"/>
      <c r="G102" s="133"/>
      <c r="H102" s="133"/>
      <c r="I102" s="133"/>
    </row>
    <row r="103" spans="1:9" ht="15.75" customHeight="1">
      <c r="A103" s="4"/>
    </row>
    <row r="104" spans="1:9" ht="15.75" customHeight="1">
      <c r="B104" s="56" t="s">
        <v>10</v>
      </c>
      <c r="C104" s="134" t="s">
        <v>96</v>
      </c>
      <c r="D104" s="134"/>
      <c r="E104" s="134"/>
      <c r="F104" s="61"/>
      <c r="I104" s="52"/>
    </row>
    <row r="105" spans="1:9" ht="15.75" customHeight="1">
      <c r="A105" s="53"/>
      <c r="C105" s="130" t="s">
        <v>11</v>
      </c>
      <c r="D105" s="130"/>
      <c r="E105" s="130"/>
      <c r="F105" s="24"/>
      <c r="I105" s="51" t="s">
        <v>12</v>
      </c>
    </row>
    <row r="106" spans="1:9" ht="15.75" customHeight="1">
      <c r="A106" s="25"/>
      <c r="C106" s="12"/>
      <c r="D106" s="12"/>
      <c r="G106" s="12"/>
      <c r="H106" s="12"/>
    </row>
    <row r="107" spans="1:9" ht="15.75" customHeight="1">
      <c r="B107" s="56" t="s">
        <v>13</v>
      </c>
      <c r="C107" s="135"/>
      <c r="D107" s="135"/>
      <c r="E107" s="135"/>
      <c r="F107" s="62"/>
      <c r="I107" s="52"/>
    </row>
    <row r="108" spans="1:9" ht="15.75" customHeight="1">
      <c r="A108" s="53"/>
      <c r="C108" s="110" t="s">
        <v>11</v>
      </c>
      <c r="D108" s="110"/>
      <c r="E108" s="110"/>
      <c r="F108" s="53"/>
      <c r="I108" s="51" t="s">
        <v>12</v>
      </c>
    </row>
    <row r="109" spans="1:9" ht="15.75" customHeight="1">
      <c r="A109" s="4" t="s">
        <v>14</v>
      </c>
    </row>
    <row r="110" spans="1:9" ht="15.75" customHeight="1">
      <c r="A110" s="136" t="s">
        <v>15</v>
      </c>
      <c r="B110" s="136"/>
      <c r="C110" s="136"/>
      <c r="D110" s="136"/>
      <c r="E110" s="136"/>
      <c r="F110" s="136"/>
      <c r="G110" s="136"/>
      <c r="H110" s="136"/>
      <c r="I110" s="136"/>
    </row>
    <row r="111" spans="1:9" ht="45" customHeight="1">
      <c r="A111" s="132" t="s">
        <v>16</v>
      </c>
      <c r="B111" s="132"/>
      <c r="C111" s="132"/>
      <c r="D111" s="132"/>
      <c r="E111" s="132"/>
      <c r="F111" s="132"/>
      <c r="G111" s="132"/>
      <c r="H111" s="132"/>
      <c r="I111" s="132"/>
    </row>
    <row r="112" spans="1:9" ht="30" customHeight="1">
      <c r="A112" s="132" t="s">
        <v>17</v>
      </c>
      <c r="B112" s="132"/>
      <c r="C112" s="132"/>
      <c r="D112" s="132"/>
      <c r="E112" s="132"/>
      <c r="F112" s="132"/>
      <c r="G112" s="132"/>
      <c r="H112" s="132"/>
      <c r="I112" s="132"/>
    </row>
    <row r="113" spans="1:9" ht="30" customHeight="1">
      <c r="A113" s="132" t="s">
        <v>21</v>
      </c>
      <c r="B113" s="132"/>
      <c r="C113" s="132"/>
      <c r="D113" s="132"/>
      <c r="E113" s="132"/>
      <c r="F113" s="132"/>
      <c r="G113" s="132"/>
      <c r="H113" s="132"/>
      <c r="I113" s="132"/>
    </row>
    <row r="114" spans="1:9" ht="15" customHeight="1">
      <c r="A114" s="132" t="s">
        <v>20</v>
      </c>
      <c r="B114" s="132"/>
      <c r="C114" s="132"/>
      <c r="D114" s="132"/>
      <c r="E114" s="132"/>
      <c r="F114" s="132"/>
      <c r="G114" s="132"/>
      <c r="H114" s="132"/>
      <c r="I114" s="132"/>
    </row>
  </sheetData>
  <autoFilter ref="I12:I62"/>
  <mergeCells count="29"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  <mergeCell ref="A100:I100"/>
    <mergeCell ref="A15:I15"/>
    <mergeCell ref="A29:I29"/>
    <mergeCell ref="A47:I47"/>
    <mergeCell ref="A57:I57"/>
    <mergeCell ref="A87:I87"/>
    <mergeCell ref="A94:I94"/>
    <mergeCell ref="B95:G95"/>
    <mergeCell ref="B96:G96"/>
    <mergeCell ref="A98:I98"/>
    <mergeCell ref="A99:I99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2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92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14" t="s">
        <v>200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146</v>
      </c>
      <c r="B4" s="115"/>
      <c r="C4" s="115"/>
      <c r="D4" s="115"/>
      <c r="E4" s="115"/>
      <c r="F4" s="115"/>
      <c r="G4" s="115"/>
      <c r="H4" s="115"/>
      <c r="I4" s="115"/>
    </row>
    <row r="5" spans="1:13" ht="15.75" customHeight="1">
      <c r="A5" s="114" t="s">
        <v>244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 customHeight="1">
      <c r="A6" s="2"/>
      <c r="B6" s="55"/>
      <c r="C6" s="55"/>
      <c r="D6" s="55"/>
      <c r="E6" s="55"/>
      <c r="F6" s="55"/>
      <c r="G6" s="55"/>
      <c r="H6" s="55"/>
      <c r="I6" s="30">
        <v>42947</v>
      </c>
      <c r="J6" s="2"/>
      <c r="K6" s="2"/>
      <c r="L6" s="2"/>
      <c r="M6" s="2"/>
    </row>
    <row r="7" spans="1:13" ht="15.75" customHeight="1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7" t="s">
        <v>152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8" t="s">
        <v>209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19" t="s">
        <v>61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29">
        <v>1</v>
      </c>
      <c r="B16" s="69" t="s">
        <v>93</v>
      </c>
      <c r="C16" s="70" t="s">
        <v>115</v>
      </c>
      <c r="D16" s="69" t="s">
        <v>116</v>
      </c>
      <c r="E16" s="71">
        <v>176.24</v>
      </c>
      <c r="F16" s="72">
        <f>SUM(E16*156/100)</f>
        <v>274.93440000000004</v>
      </c>
      <c r="G16" s="72">
        <v>187.48</v>
      </c>
      <c r="H16" s="73">
        <f t="shared" ref="H16:H26" si="0">SUM(F16*G16/1000)</f>
        <v>51.544701312000008</v>
      </c>
      <c r="I16" s="13">
        <f>F16/12*G16</f>
        <v>4295.3917760000004</v>
      </c>
      <c r="J16" s="8"/>
      <c r="K16" s="8"/>
      <c r="L16" s="8"/>
      <c r="M16" s="8"/>
    </row>
    <row r="17" spans="1:13" ht="15.75" customHeight="1">
      <c r="A17" s="29">
        <v>2</v>
      </c>
      <c r="B17" s="69" t="s">
        <v>100</v>
      </c>
      <c r="C17" s="70" t="s">
        <v>115</v>
      </c>
      <c r="D17" s="69" t="s">
        <v>117</v>
      </c>
      <c r="E17" s="71">
        <v>704.96</v>
      </c>
      <c r="F17" s="72">
        <f>SUM(E17*104/100)</f>
        <v>733.15839999999992</v>
      </c>
      <c r="G17" s="72">
        <v>187.48</v>
      </c>
      <c r="H17" s="73">
        <v>137.453</v>
      </c>
      <c r="I17" s="13">
        <f>F17/12*G17</f>
        <v>11454.378069333332</v>
      </c>
      <c r="J17" s="22"/>
      <c r="K17" s="8"/>
      <c r="L17" s="8"/>
      <c r="M17" s="8"/>
    </row>
    <row r="18" spans="1:13" ht="15.75" customHeight="1">
      <c r="A18" s="29">
        <v>3</v>
      </c>
      <c r="B18" s="69" t="s">
        <v>101</v>
      </c>
      <c r="C18" s="70" t="s">
        <v>115</v>
      </c>
      <c r="D18" s="69" t="s">
        <v>118</v>
      </c>
      <c r="E18" s="71">
        <f>SUM(E16+E17)</f>
        <v>881.2</v>
      </c>
      <c r="F18" s="72">
        <f>SUM(E18*24/100)</f>
        <v>211.48800000000003</v>
      </c>
      <c r="G18" s="72">
        <v>539.30999999999995</v>
      </c>
      <c r="H18" s="73">
        <f t="shared" si="0"/>
        <v>114.05759328000001</v>
      </c>
      <c r="I18" s="13">
        <f>F18/12*G18</f>
        <v>9504.7994400000007</v>
      </c>
      <c r="J18" s="22"/>
      <c r="K18" s="8"/>
      <c r="L18" s="8"/>
      <c r="M18" s="8"/>
    </row>
    <row r="19" spans="1:13" ht="15.75" hidden="1" customHeight="1">
      <c r="A19" s="29">
        <v>4</v>
      </c>
      <c r="B19" s="69" t="s">
        <v>119</v>
      </c>
      <c r="C19" s="70" t="s">
        <v>120</v>
      </c>
      <c r="D19" s="69" t="s">
        <v>121</v>
      </c>
      <c r="E19" s="71">
        <v>28.8</v>
      </c>
      <c r="F19" s="72">
        <f>SUM(E19/10)</f>
        <v>2.88</v>
      </c>
      <c r="G19" s="72">
        <v>181.91</v>
      </c>
      <c r="H19" s="73">
        <f t="shared" si="0"/>
        <v>0.52390080000000006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69" t="s">
        <v>106</v>
      </c>
      <c r="C20" s="70" t="s">
        <v>115</v>
      </c>
      <c r="D20" s="69" t="s">
        <v>30</v>
      </c>
      <c r="E20" s="71">
        <v>17.5</v>
      </c>
      <c r="F20" s="72">
        <f>SUM(E20*12/100)</f>
        <v>2.1</v>
      </c>
      <c r="G20" s="72">
        <v>232.92</v>
      </c>
      <c r="H20" s="73">
        <f t="shared" si="0"/>
        <v>0.48913200000000001</v>
      </c>
      <c r="I20" s="13">
        <f>F20/12*G20</f>
        <v>40.761000000000003</v>
      </c>
      <c r="J20" s="22"/>
      <c r="K20" s="8"/>
      <c r="L20" s="8"/>
      <c r="M20" s="8"/>
    </row>
    <row r="21" spans="1:13" ht="15.75" customHeight="1">
      <c r="A21" s="29">
        <v>5</v>
      </c>
      <c r="B21" s="69" t="s">
        <v>107</v>
      </c>
      <c r="C21" s="70" t="s">
        <v>115</v>
      </c>
      <c r="D21" s="69" t="s">
        <v>114</v>
      </c>
      <c r="E21" s="71">
        <v>5.94</v>
      </c>
      <c r="F21" s="72">
        <f>SUM(E21*6/100)</f>
        <v>0.35639999999999999</v>
      </c>
      <c r="G21" s="72">
        <v>231.03</v>
      </c>
      <c r="H21" s="73">
        <f t="shared" si="0"/>
        <v>8.2339091999999989E-2</v>
      </c>
      <c r="I21" s="13">
        <f>F21/6*G21</f>
        <v>13.723182</v>
      </c>
      <c r="J21" s="22"/>
      <c r="K21" s="8"/>
      <c r="L21" s="8"/>
      <c r="M21" s="8"/>
    </row>
    <row r="22" spans="1:13" ht="15.75" hidden="1" customHeight="1">
      <c r="A22" s="29">
        <v>7</v>
      </c>
      <c r="B22" s="69" t="s">
        <v>122</v>
      </c>
      <c r="C22" s="70" t="s">
        <v>53</v>
      </c>
      <c r="D22" s="69" t="s">
        <v>121</v>
      </c>
      <c r="E22" s="71">
        <v>376</v>
      </c>
      <c r="F22" s="72">
        <f>SUM(E22/100)</f>
        <v>3.76</v>
      </c>
      <c r="G22" s="72">
        <v>287.83999999999997</v>
      </c>
      <c r="H22" s="73">
        <f t="shared" si="0"/>
        <v>1.0822783999999999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9" t="s">
        <v>123</v>
      </c>
      <c r="C23" s="70" t="s">
        <v>53</v>
      </c>
      <c r="D23" s="69" t="s">
        <v>121</v>
      </c>
      <c r="E23" s="74">
        <v>60.4</v>
      </c>
      <c r="F23" s="72">
        <f>SUM(E23/100)</f>
        <v>0.60399999999999998</v>
      </c>
      <c r="G23" s="72">
        <v>47.34</v>
      </c>
      <c r="H23" s="73">
        <f t="shared" si="0"/>
        <v>2.8593360000000002E-2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9" t="s">
        <v>110</v>
      </c>
      <c r="C24" s="70" t="s">
        <v>53</v>
      </c>
      <c r="D24" s="69" t="s">
        <v>54</v>
      </c>
      <c r="E24" s="18">
        <v>25</v>
      </c>
      <c r="F24" s="75">
        <f>E24/100</f>
        <v>0.25</v>
      </c>
      <c r="G24" s="72">
        <v>416.62</v>
      </c>
      <c r="H24" s="73">
        <f>F24*G24/1000</f>
        <v>0.104155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9" t="s">
        <v>124</v>
      </c>
      <c r="C25" s="70" t="s">
        <v>53</v>
      </c>
      <c r="D25" s="69" t="s">
        <v>121</v>
      </c>
      <c r="E25" s="74">
        <v>23.75</v>
      </c>
      <c r="F25" s="72">
        <f>E25/100</f>
        <v>0.23749999999999999</v>
      </c>
      <c r="G25" s="72">
        <v>231.03</v>
      </c>
      <c r="H25" s="73">
        <f>F25*G25/1000</f>
        <v>5.4869624999999998E-2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11</v>
      </c>
      <c r="B26" s="69" t="s">
        <v>111</v>
      </c>
      <c r="C26" s="70" t="s">
        <v>53</v>
      </c>
      <c r="D26" s="69" t="s">
        <v>121</v>
      </c>
      <c r="E26" s="71">
        <v>10.63</v>
      </c>
      <c r="F26" s="72">
        <f>SUM(E26/100)</f>
        <v>0.10630000000000001</v>
      </c>
      <c r="G26" s="72">
        <v>556.74</v>
      </c>
      <c r="H26" s="73">
        <f t="shared" si="0"/>
        <v>5.9181462000000004E-2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6</v>
      </c>
      <c r="B27" s="69" t="s">
        <v>66</v>
      </c>
      <c r="C27" s="70" t="s">
        <v>34</v>
      </c>
      <c r="D27" s="69" t="s">
        <v>91</v>
      </c>
      <c r="E27" s="71">
        <v>0.1</v>
      </c>
      <c r="F27" s="72">
        <f>SUM(E27*365)</f>
        <v>36.5</v>
      </c>
      <c r="G27" s="72">
        <v>157.18</v>
      </c>
      <c r="H27" s="73">
        <f>SUM(F27*G27/1000)</f>
        <v>5.737070000000001</v>
      </c>
      <c r="I27" s="13">
        <f>F27/12*G27</f>
        <v>478.08916666666664</v>
      </c>
      <c r="J27" s="23"/>
    </row>
    <row r="28" spans="1:13" ht="15.75" customHeight="1">
      <c r="A28" s="29">
        <v>7</v>
      </c>
      <c r="B28" s="77" t="s">
        <v>23</v>
      </c>
      <c r="C28" s="70" t="s">
        <v>24</v>
      </c>
      <c r="D28" s="69" t="s">
        <v>91</v>
      </c>
      <c r="E28" s="71">
        <v>5816.5</v>
      </c>
      <c r="F28" s="72">
        <f>SUM(E28*12)</f>
        <v>69798</v>
      </c>
      <c r="G28" s="72">
        <v>4.72</v>
      </c>
      <c r="H28" s="73">
        <f>SUM(F28*G28/1000)</f>
        <v>329.44655999999998</v>
      </c>
      <c r="I28" s="13">
        <f>F28/12*G28</f>
        <v>27453.879999999997</v>
      </c>
      <c r="J28" s="23"/>
    </row>
    <row r="29" spans="1:13" ht="15.75" customHeight="1">
      <c r="A29" s="121" t="s">
        <v>90</v>
      </c>
      <c r="B29" s="121"/>
      <c r="C29" s="121"/>
      <c r="D29" s="121"/>
      <c r="E29" s="121"/>
      <c r="F29" s="121"/>
      <c r="G29" s="121"/>
      <c r="H29" s="121"/>
      <c r="I29" s="121"/>
      <c r="J29" s="22"/>
      <c r="K29" s="8"/>
      <c r="L29" s="8"/>
      <c r="M29" s="8"/>
    </row>
    <row r="30" spans="1:13" ht="15.75" customHeight="1">
      <c r="A30" s="29"/>
      <c r="B30" s="90" t="s">
        <v>28</v>
      </c>
      <c r="C30" s="70"/>
      <c r="D30" s="69"/>
      <c r="E30" s="71"/>
      <c r="F30" s="72"/>
      <c r="G30" s="72"/>
      <c r="H30" s="73"/>
      <c r="I30" s="13"/>
      <c r="J30" s="22"/>
      <c r="K30" s="8"/>
      <c r="L30" s="8"/>
      <c r="M30" s="8"/>
    </row>
    <row r="31" spans="1:13" ht="15.75" customHeight="1">
      <c r="A31" s="29">
        <v>8</v>
      </c>
      <c r="B31" s="69" t="s">
        <v>125</v>
      </c>
      <c r="C31" s="70" t="s">
        <v>126</v>
      </c>
      <c r="D31" s="69" t="s">
        <v>127</v>
      </c>
      <c r="E31" s="72">
        <v>357.22</v>
      </c>
      <c r="F31" s="72">
        <f>SUM(E31*52/1000)</f>
        <v>18.575440000000004</v>
      </c>
      <c r="G31" s="72">
        <v>166.65</v>
      </c>
      <c r="H31" s="73">
        <f t="shared" ref="H31:H38" si="1">SUM(F31*G31/1000)</f>
        <v>3.0955970760000011</v>
      </c>
      <c r="I31" s="13">
        <f>F31/6*G31</f>
        <v>515.93284600000015</v>
      </c>
      <c r="J31" s="22"/>
      <c r="K31" s="8"/>
      <c r="L31" s="8"/>
      <c r="M31" s="8"/>
    </row>
    <row r="32" spans="1:13" ht="31.5" customHeight="1">
      <c r="A32" s="29">
        <v>9</v>
      </c>
      <c r="B32" s="69" t="s">
        <v>191</v>
      </c>
      <c r="C32" s="70" t="s">
        <v>126</v>
      </c>
      <c r="D32" s="69" t="s">
        <v>128</v>
      </c>
      <c r="E32" s="72">
        <v>475.06</v>
      </c>
      <c r="F32" s="72">
        <f>SUM(E32*78/1000)</f>
        <v>37.054679999999998</v>
      </c>
      <c r="G32" s="72">
        <v>276.48</v>
      </c>
      <c r="H32" s="73">
        <f t="shared" si="1"/>
        <v>10.244877926400001</v>
      </c>
      <c r="I32" s="13">
        <f t="shared" ref="I32:I35" si="2">F32/6*G32</f>
        <v>1707.4796544000001</v>
      </c>
      <c r="J32" s="22"/>
      <c r="K32" s="8"/>
      <c r="L32" s="8"/>
      <c r="M32" s="8"/>
    </row>
    <row r="33" spans="1:14" ht="15.75" hidden="1" customHeight="1">
      <c r="A33" s="29">
        <v>16</v>
      </c>
      <c r="B33" s="69" t="s">
        <v>27</v>
      </c>
      <c r="C33" s="70" t="s">
        <v>126</v>
      </c>
      <c r="D33" s="69" t="s">
        <v>54</v>
      </c>
      <c r="E33" s="72">
        <v>357.22</v>
      </c>
      <c r="F33" s="72">
        <f>SUM(E33/1000)</f>
        <v>0.35722000000000004</v>
      </c>
      <c r="G33" s="72">
        <v>3228.73</v>
      </c>
      <c r="H33" s="73">
        <f t="shared" si="1"/>
        <v>1.1533669306000001</v>
      </c>
      <c r="I33" s="13">
        <f>F33*G33</f>
        <v>1153.3669306000002</v>
      </c>
      <c r="J33" s="22"/>
      <c r="K33" s="8"/>
      <c r="L33" s="8"/>
      <c r="M33" s="8"/>
    </row>
    <row r="34" spans="1:14" ht="15.75" customHeight="1">
      <c r="A34" s="29">
        <v>10</v>
      </c>
      <c r="B34" s="69" t="s">
        <v>157</v>
      </c>
      <c r="C34" s="70" t="s">
        <v>40</v>
      </c>
      <c r="D34" s="69" t="s">
        <v>158</v>
      </c>
      <c r="E34" s="72">
        <v>5</v>
      </c>
      <c r="F34" s="72">
        <f>E34*155/100</f>
        <v>7.75</v>
      </c>
      <c r="G34" s="72">
        <v>1391.86</v>
      </c>
      <c r="H34" s="73">
        <f>G34*F34/1000</f>
        <v>10.786914999999999</v>
      </c>
      <c r="I34" s="13">
        <f t="shared" si="2"/>
        <v>1797.8191666666667</v>
      </c>
      <c r="J34" s="22"/>
      <c r="K34" s="8"/>
      <c r="L34" s="8"/>
      <c r="M34" s="8"/>
    </row>
    <row r="35" spans="1:14" ht="15.75" customHeight="1">
      <c r="A35" s="29">
        <v>11</v>
      </c>
      <c r="B35" s="69" t="s">
        <v>129</v>
      </c>
      <c r="C35" s="70" t="s">
        <v>31</v>
      </c>
      <c r="D35" s="69" t="s">
        <v>65</v>
      </c>
      <c r="E35" s="76">
        <v>0.33333333333333331</v>
      </c>
      <c r="F35" s="72">
        <f>155/3</f>
        <v>51.666666666666664</v>
      </c>
      <c r="G35" s="72">
        <v>60.6</v>
      </c>
      <c r="H35" s="73">
        <f>SUM(G35*155/3/1000)</f>
        <v>3.1309999999999998</v>
      </c>
      <c r="I35" s="13">
        <f t="shared" si="2"/>
        <v>521.83333333333337</v>
      </c>
      <c r="J35" s="22"/>
      <c r="K35" s="8"/>
    </row>
    <row r="36" spans="1:14" ht="15.75" hidden="1" customHeight="1">
      <c r="A36" s="29"/>
      <c r="B36" s="69" t="s">
        <v>67</v>
      </c>
      <c r="C36" s="70" t="s">
        <v>34</v>
      </c>
      <c r="D36" s="69" t="s">
        <v>69</v>
      </c>
      <c r="E36" s="71"/>
      <c r="F36" s="72">
        <v>3</v>
      </c>
      <c r="G36" s="72">
        <v>204.52</v>
      </c>
      <c r="H36" s="73">
        <f t="shared" si="1"/>
        <v>0.61356000000000011</v>
      </c>
      <c r="I36" s="13">
        <v>0</v>
      </c>
      <c r="J36" s="23"/>
    </row>
    <row r="37" spans="1:14" ht="15.75" hidden="1" customHeight="1">
      <c r="A37" s="29"/>
      <c r="B37" s="69" t="s">
        <v>68</v>
      </c>
      <c r="C37" s="70" t="s">
        <v>33</v>
      </c>
      <c r="D37" s="69" t="s">
        <v>69</v>
      </c>
      <c r="E37" s="71"/>
      <c r="F37" s="72">
        <v>2</v>
      </c>
      <c r="G37" s="72">
        <v>1214.74</v>
      </c>
      <c r="H37" s="73">
        <f t="shared" si="1"/>
        <v>2.4294799999999999</v>
      </c>
      <c r="I37" s="13">
        <v>0</v>
      </c>
      <c r="J37" s="23"/>
    </row>
    <row r="38" spans="1:14" ht="15.75" hidden="1" customHeight="1">
      <c r="A38" s="29"/>
      <c r="B38" s="46" t="s">
        <v>159</v>
      </c>
      <c r="C38" s="65" t="s">
        <v>29</v>
      </c>
      <c r="D38" s="69"/>
      <c r="E38" s="71">
        <v>360.36</v>
      </c>
      <c r="F38" s="72">
        <f>E38*36/1000</f>
        <v>12.97296</v>
      </c>
      <c r="G38" s="72">
        <v>3228.73</v>
      </c>
      <c r="H38" s="73">
        <f t="shared" si="1"/>
        <v>41.886185140800002</v>
      </c>
      <c r="I38" s="13">
        <v>0</v>
      </c>
      <c r="J38" s="23"/>
    </row>
    <row r="39" spans="1:14" ht="15.75" hidden="1" customHeight="1">
      <c r="A39" s="29"/>
      <c r="B39" s="90" t="s">
        <v>5</v>
      </c>
      <c r="C39" s="70"/>
      <c r="D39" s="69"/>
      <c r="E39" s="71"/>
      <c r="F39" s="72"/>
      <c r="G39" s="72"/>
      <c r="H39" s="73" t="s">
        <v>143</v>
      </c>
      <c r="I39" s="13"/>
      <c r="J39" s="23"/>
    </row>
    <row r="40" spans="1:14" ht="15.75" hidden="1" customHeight="1">
      <c r="A40" s="29">
        <v>8</v>
      </c>
      <c r="B40" s="69" t="s">
        <v>26</v>
      </c>
      <c r="C40" s="70" t="s">
        <v>33</v>
      </c>
      <c r="D40" s="69"/>
      <c r="E40" s="71"/>
      <c r="F40" s="72">
        <v>10</v>
      </c>
      <c r="G40" s="72">
        <v>1632.6</v>
      </c>
      <c r="H40" s="73">
        <f t="shared" ref="H40:H46" si="3">SUM(F40*G40/1000)</f>
        <v>16.326000000000001</v>
      </c>
      <c r="I40" s="13">
        <f>F40/6*G40</f>
        <v>2721</v>
      </c>
      <c r="J40" s="23"/>
      <c r="L40" s="19"/>
      <c r="M40" s="20"/>
      <c r="N40" s="21"/>
    </row>
    <row r="41" spans="1:14" ht="15.75" hidden="1" customHeight="1">
      <c r="A41" s="29">
        <v>9</v>
      </c>
      <c r="B41" s="69" t="s">
        <v>70</v>
      </c>
      <c r="C41" s="70" t="s">
        <v>29</v>
      </c>
      <c r="D41" s="69" t="s">
        <v>130</v>
      </c>
      <c r="E41" s="72">
        <v>469.73</v>
      </c>
      <c r="F41" s="72">
        <f>SUM(E41*30/1000)</f>
        <v>14.091900000000001</v>
      </c>
      <c r="G41" s="72">
        <v>2247.8000000000002</v>
      </c>
      <c r="H41" s="73">
        <f t="shared" si="3"/>
        <v>31.675772820000006</v>
      </c>
      <c r="I41" s="13">
        <f>F41/6*G41</f>
        <v>5279.2954700000009</v>
      </c>
      <c r="J41" s="23"/>
      <c r="L41" s="19"/>
      <c r="M41" s="20"/>
      <c r="N41" s="21"/>
    </row>
    <row r="42" spans="1:14" ht="15.75" hidden="1" customHeight="1">
      <c r="A42" s="29"/>
      <c r="B42" s="69" t="s">
        <v>102</v>
      </c>
      <c r="C42" s="70" t="s">
        <v>147</v>
      </c>
      <c r="D42" s="69" t="s">
        <v>69</v>
      </c>
      <c r="E42" s="71"/>
      <c r="F42" s="72">
        <v>120</v>
      </c>
      <c r="G42" s="72">
        <v>213.2</v>
      </c>
      <c r="H42" s="73">
        <f t="shared" si="3"/>
        <v>25.584</v>
      </c>
      <c r="I42" s="13">
        <v>0</v>
      </c>
      <c r="J42" s="23"/>
      <c r="L42" s="19"/>
      <c r="M42" s="20"/>
      <c r="N42" s="21"/>
    </row>
    <row r="43" spans="1:14" ht="15.75" hidden="1" customHeight="1">
      <c r="A43" s="29">
        <v>10</v>
      </c>
      <c r="B43" s="69" t="s">
        <v>71</v>
      </c>
      <c r="C43" s="70" t="s">
        <v>29</v>
      </c>
      <c r="D43" s="69" t="s">
        <v>131</v>
      </c>
      <c r="E43" s="72">
        <v>475.06</v>
      </c>
      <c r="F43" s="72">
        <f>SUM(E43*155/1000)</f>
        <v>73.634299999999996</v>
      </c>
      <c r="G43" s="72">
        <v>374.95</v>
      </c>
      <c r="H43" s="73">
        <f t="shared" si="3"/>
        <v>27.609180784999996</v>
      </c>
      <c r="I43" s="13">
        <f>F43/6*G43</f>
        <v>4601.5301308333328</v>
      </c>
      <c r="J43" s="23"/>
      <c r="L43" s="19"/>
      <c r="M43" s="20"/>
      <c r="N43" s="21"/>
    </row>
    <row r="44" spans="1:14" ht="47.25" hidden="1" customHeight="1">
      <c r="A44" s="29">
        <v>11</v>
      </c>
      <c r="B44" s="69" t="s">
        <v>87</v>
      </c>
      <c r="C44" s="70" t="s">
        <v>126</v>
      </c>
      <c r="D44" s="69" t="s">
        <v>148</v>
      </c>
      <c r="E44" s="72">
        <v>40.6</v>
      </c>
      <c r="F44" s="72">
        <f>SUM(E44*35/1000)</f>
        <v>1.421</v>
      </c>
      <c r="G44" s="72">
        <v>6203.7</v>
      </c>
      <c r="H44" s="73">
        <f t="shared" si="3"/>
        <v>8.8154577000000014</v>
      </c>
      <c r="I44" s="13">
        <f>F44/6*G44</f>
        <v>1469.2429500000001</v>
      </c>
      <c r="J44" s="23"/>
      <c r="L44" s="19"/>
      <c r="M44" s="20"/>
      <c r="N44" s="21"/>
    </row>
    <row r="45" spans="1:14" ht="15.75" hidden="1" customHeight="1">
      <c r="A45" s="29">
        <v>12</v>
      </c>
      <c r="B45" s="69" t="s">
        <v>132</v>
      </c>
      <c r="C45" s="70" t="s">
        <v>126</v>
      </c>
      <c r="D45" s="69" t="s">
        <v>72</v>
      </c>
      <c r="E45" s="72">
        <v>167.03</v>
      </c>
      <c r="F45" s="72">
        <f>SUM(E45*45/1000)</f>
        <v>7.5163500000000001</v>
      </c>
      <c r="G45" s="72">
        <v>458.28</v>
      </c>
      <c r="H45" s="73">
        <f t="shared" si="3"/>
        <v>3.4445928779999999</v>
      </c>
      <c r="I45" s="13">
        <f>F45/6*G45</f>
        <v>574.09881299999995</v>
      </c>
      <c r="J45" s="23"/>
      <c r="L45" s="19"/>
      <c r="M45" s="20"/>
      <c r="N45" s="21"/>
    </row>
    <row r="46" spans="1:14" ht="15.75" hidden="1" customHeight="1">
      <c r="A46" s="29">
        <v>13</v>
      </c>
      <c r="B46" s="69" t="s">
        <v>73</v>
      </c>
      <c r="C46" s="70" t="s">
        <v>34</v>
      </c>
      <c r="D46" s="69"/>
      <c r="E46" s="71"/>
      <c r="F46" s="72">
        <v>1.2</v>
      </c>
      <c r="G46" s="72">
        <v>853.06</v>
      </c>
      <c r="H46" s="73">
        <f t="shared" si="3"/>
        <v>1.0236719999999999</v>
      </c>
      <c r="I46" s="13">
        <f>F46/6*G46</f>
        <v>170.61199999999997</v>
      </c>
      <c r="J46" s="23"/>
      <c r="L46" s="19"/>
      <c r="M46" s="20"/>
      <c r="N46" s="21"/>
    </row>
    <row r="47" spans="1:14" ht="15.75" hidden="1" customHeight="1">
      <c r="A47" s="122" t="s">
        <v>153</v>
      </c>
      <c r="B47" s="123"/>
      <c r="C47" s="123"/>
      <c r="D47" s="123"/>
      <c r="E47" s="123"/>
      <c r="F47" s="123"/>
      <c r="G47" s="123"/>
      <c r="H47" s="123"/>
      <c r="I47" s="124"/>
      <c r="J47" s="23"/>
      <c r="L47" s="19"/>
      <c r="M47" s="20"/>
      <c r="N47" s="21"/>
    </row>
    <row r="48" spans="1:14" ht="15.75" hidden="1" customHeight="1">
      <c r="A48" s="29"/>
      <c r="B48" s="69" t="s">
        <v>133</v>
      </c>
      <c r="C48" s="70" t="s">
        <v>126</v>
      </c>
      <c r="D48" s="69" t="s">
        <v>42</v>
      </c>
      <c r="E48" s="71">
        <v>1603.6</v>
      </c>
      <c r="F48" s="72">
        <f>SUM(E48*2/1000)</f>
        <v>3.2071999999999998</v>
      </c>
      <c r="G48" s="13">
        <v>908.11</v>
      </c>
      <c r="H48" s="73">
        <f t="shared" ref="H48:H56" si="4">SUM(F48*G48/1000)</f>
        <v>2.9124903919999996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9" t="s">
        <v>35</v>
      </c>
      <c r="C49" s="70" t="s">
        <v>126</v>
      </c>
      <c r="D49" s="69" t="s">
        <v>42</v>
      </c>
      <c r="E49" s="71">
        <v>65</v>
      </c>
      <c r="F49" s="72">
        <f>SUM(E49*2/1000)</f>
        <v>0.13</v>
      </c>
      <c r="G49" s="13">
        <v>619.46</v>
      </c>
      <c r="H49" s="73">
        <f t="shared" si="4"/>
        <v>8.0529800000000012E-2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9" t="s">
        <v>36</v>
      </c>
      <c r="C50" s="70" t="s">
        <v>126</v>
      </c>
      <c r="D50" s="69" t="s">
        <v>42</v>
      </c>
      <c r="E50" s="71">
        <v>1825.8</v>
      </c>
      <c r="F50" s="72">
        <f>SUM(E50*2/1000)</f>
        <v>3.6515999999999997</v>
      </c>
      <c r="G50" s="13">
        <v>619.46</v>
      </c>
      <c r="H50" s="73">
        <f t="shared" si="4"/>
        <v>2.2620201360000003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69" t="s">
        <v>37</v>
      </c>
      <c r="C51" s="70" t="s">
        <v>126</v>
      </c>
      <c r="D51" s="69" t="s">
        <v>42</v>
      </c>
      <c r="E51" s="71">
        <v>3163.96</v>
      </c>
      <c r="F51" s="72">
        <f>SUM(E51*2/1000)</f>
        <v>6.3279199999999998</v>
      </c>
      <c r="G51" s="13">
        <v>648.64</v>
      </c>
      <c r="H51" s="73">
        <f t="shared" si="4"/>
        <v>4.1045420287999992</v>
      </c>
      <c r="I51" s="13">
        <v>0</v>
      </c>
      <c r="J51" s="23"/>
      <c r="L51" s="19"/>
      <c r="M51" s="20"/>
      <c r="N51" s="21"/>
    </row>
    <row r="52" spans="1:22" ht="15.75" hidden="1" customHeight="1">
      <c r="A52" s="29">
        <v>14</v>
      </c>
      <c r="B52" s="69" t="s">
        <v>58</v>
      </c>
      <c r="C52" s="70" t="s">
        <v>126</v>
      </c>
      <c r="D52" s="69" t="s">
        <v>192</v>
      </c>
      <c r="E52" s="71">
        <v>1583</v>
      </c>
      <c r="F52" s="72">
        <f>SUM(E52*5/1000)</f>
        <v>7.915</v>
      </c>
      <c r="G52" s="13">
        <v>1297.28</v>
      </c>
      <c r="H52" s="73">
        <f t="shared" si="4"/>
        <v>10.2679712</v>
      </c>
      <c r="I52" s="13">
        <f>F52/5*G52</f>
        <v>2053.5942399999999</v>
      </c>
      <c r="J52" s="23"/>
      <c r="L52" s="19"/>
      <c r="M52" s="20"/>
      <c r="N52" s="21"/>
    </row>
    <row r="53" spans="1:22" ht="31.5" hidden="1" customHeight="1">
      <c r="A53" s="29"/>
      <c r="B53" s="69" t="s">
        <v>134</v>
      </c>
      <c r="C53" s="70" t="s">
        <v>126</v>
      </c>
      <c r="D53" s="69" t="s">
        <v>42</v>
      </c>
      <c r="E53" s="71">
        <v>1583</v>
      </c>
      <c r="F53" s="72">
        <f>SUM(E53*2/1000)</f>
        <v>3.1659999999999999</v>
      </c>
      <c r="G53" s="13">
        <v>1297.28</v>
      </c>
      <c r="H53" s="73">
        <f t="shared" si="4"/>
        <v>4.1071884799999996</v>
      </c>
      <c r="I53" s="13">
        <v>0</v>
      </c>
      <c r="J53" s="23"/>
      <c r="L53" s="19"/>
      <c r="M53" s="20"/>
      <c r="N53" s="21"/>
    </row>
    <row r="54" spans="1:22" ht="31.5" hidden="1" customHeight="1">
      <c r="A54" s="29"/>
      <c r="B54" s="69" t="s">
        <v>135</v>
      </c>
      <c r="C54" s="70" t="s">
        <v>38</v>
      </c>
      <c r="D54" s="69" t="s">
        <v>42</v>
      </c>
      <c r="E54" s="71">
        <v>25</v>
      </c>
      <c r="F54" s="72">
        <f>SUM(E54*2/100)</f>
        <v>0.5</v>
      </c>
      <c r="G54" s="13">
        <v>2918.89</v>
      </c>
      <c r="H54" s="73">
        <f t="shared" si="4"/>
        <v>1.4594449999999999</v>
      </c>
      <c r="I54" s="13">
        <v>0</v>
      </c>
      <c r="J54" s="23"/>
      <c r="L54" s="19"/>
      <c r="M54" s="20"/>
      <c r="N54" s="21"/>
    </row>
    <row r="55" spans="1:22" ht="15.75" hidden="1" customHeight="1">
      <c r="A55" s="29"/>
      <c r="B55" s="69" t="s">
        <v>39</v>
      </c>
      <c r="C55" s="70" t="s">
        <v>40</v>
      </c>
      <c r="D55" s="69" t="s">
        <v>42</v>
      </c>
      <c r="E55" s="71">
        <v>1</v>
      </c>
      <c r="F55" s="72">
        <v>0.02</v>
      </c>
      <c r="G55" s="13">
        <v>6042.12</v>
      </c>
      <c r="H55" s="73">
        <f t="shared" si="4"/>
        <v>0.1208424</v>
      </c>
      <c r="I55" s="13">
        <v>0</v>
      </c>
      <c r="J55" s="23"/>
      <c r="L55" s="19"/>
      <c r="M55" s="20"/>
      <c r="N55" s="21"/>
    </row>
    <row r="56" spans="1:22" ht="15.75" hidden="1" customHeight="1">
      <c r="A56" s="29">
        <v>15</v>
      </c>
      <c r="B56" s="69" t="s">
        <v>41</v>
      </c>
      <c r="C56" s="70" t="s">
        <v>31</v>
      </c>
      <c r="D56" s="69" t="s">
        <v>74</v>
      </c>
      <c r="E56" s="71">
        <v>36</v>
      </c>
      <c r="F56" s="72">
        <f>SUM(E56)*3</f>
        <v>108</v>
      </c>
      <c r="G56" s="13">
        <v>70.209999999999994</v>
      </c>
      <c r="H56" s="73">
        <f t="shared" si="4"/>
        <v>7.582679999999999</v>
      </c>
      <c r="I56" s="13">
        <f>E56*G56</f>
        <v>2527.56</v>
      </c>
      <c r="J56" s="23"/>
      <c r="L56" s="19"/>
      <c r="M56" s="20"/>
      <c r="N56" s="21"/>
    </row>
    <row r="57" spans="1:22" ht="15.75" customHeight="1">
      <c r="A57" s="122" t="s">
        <v>195</v>
      </c>
      <c r="B57" s="123"/>
      <c r="C57" s="123"/>
      <c r="D57" s="123"/>
      <c r="E57" s="123"/>
      <c r="F57" s="123"/>
      <c r="G57" s="123"/>
      <c r="H57" s="123"/>
      <c r="I57" s="124"/>
      <c r="J57" s="23"/>
      <c r="L57" s="19"/>
      <c r="M57" s="20"/>
      <c r="N57" s="21"/>
    </row>
    <row r="58" spans="1:22" ht="15.75" hidden="1" customHeight="1">
      <c r="A58" s="29"/>
      <c r="B58" s="90" t="s">
        <v>43</v>
      </c>
      <c r="C58" s="70"/>
      <c r="D58" s="69"/>
      <c r="E58" s="71"/>
      <c r="F58" s="72"/>
      <c r="G58" s="72"/>
      <c r="H58" s="73"/>
      <c r="I58" s="13"/>
      <c r="J58" s="23"/>
      <c r="L58" s="19"/>
      <c r="M58" s="20"/>
      <c r="N58" s="21"/>
    </row>
    <row r="59" spans="1:22" ht="31.5" hidden="1" customHeight="1">
      <c r="A59" s="29">
        <v>16</v>
      </c>
      <c r="B59" s="69" t="s">
        <v>149</v>
      </c>
      <c r="C59" s="70" t="s">
        <v>115</v>
      </c>
      <c r="D59" s="69" t="s">
        <v>75</v>
      </c>
      <c r="E59" s="78">
        <v>3.78</v>
      </c>
      <c r="F59" s="13">
        <f>E59*6/100</f>
        <v>0.2268</v>
      </c>
      <c r="G59" s="72">
        <v>1654.04</v>
      </c>
      <c r="H59" s="73">
        <f>SUM(F59*G59/1000)</f>
        <v>0.37513627199999999</v>
      </c>
      <c r="I59" s="13">
        <f>F59/6*G59</f>
        <v>62.522711999999999</v>
      </c>
      <c r="J59" s="23"/>
      <c r="L59" s="19"/>
      <c r="M59" s="20"/>
      <c r="N59" s="21"/>
    </row>
    <row r="60" spans="1:22" ht="31.5" hidden="1" customHeight="1">
      <c r="A60" s="29">
        <v>17</v>
      </c>
      <c r="B60" s="69" t="s">
        <v>137</v>
      </c>
      <c r="C60" s="70" t="s">
        <v>115</v>
      </c>
      <c r="D60" s="69" t="s">
        <v>75</v>
      </c>
      <c r="E60" s="71">
        <v>185.36</v>
      </c>
      <c r="F60" s="72">
        <f>E60*6/100</f>
        <v>11.121600000000001</v>
      </c>
      <c r="G60" s="79">
        <v>1654.04</v>
      </c>
      <c r="H60" s="73">
        <f>F60*G60/1000</f>
        <v>18.395571264000001</v>
      </c>
      <c r="I60" s="13">
        <f>F60/6*G60</f>
        <v>3065.9285440000003</v>
      </c>
      <c r="J60" s="23"/>
      <c r="L60" s="19"/>
    </row>
    <row r="61" spans="1:22" ht="15.75" hidden="1" customHeight="1">
      <c r="A61" s="29"/>
      <c r="B61" s="80" t="s">
        <v>108</v>
      </c>
      <c r="C61" s="70" t="s">
        <v>109</v>
      </c>
      <c r="D61" s="80" t="s">
        <v>42</v>
      </c>
      <c r="E61" s="81">
        <v>5</v>
      </c>
      <c r="F61" s="82">
        <v>10</v>
      </c>
      <c r="G61" s="79">
        <v>198.25</v>
      </c>
      <c r="H61" s="83">
        <v>0.99099999999999999</v>
      </c>
      <c r="I61" s="13">
        <v>0</v>
      </c>
      <c r="J61" s="23"/>
      <c r="L61" s="19"/>
    </row>
    <row r="62" spans="1:22" ht="15.75" customHeight="1">
      <c r="A62" s="29"/>
      <c r="B62" s="91" t="s">
        <v>44</v>
      </c>
      <c r="C62" s="84"/>
      <c r="D62" s="80"/>
      <c r="E62" s="81"/>
      <c r="F62" s="82"/>
      <c r="G62" s="85"/>
      <c r="H62" s="83"/>
      <c r="I62" s="13"/>
    </row>
    <row r="63" spans="1:22" ht="15.75" hidden="1" customHeight="1">
      <c r="A63" s="29"/>
      <c r="B63" s="80" t="s">
        <v>45</v>
      </c>
      <c r="C63" s="84" t="s">
        <v>53</v>
      </c>
      <c r="D63" s="80" t="s">
        <v>54</v>
      </c>
      <c r="E63" s="81">
        <v>1752</v>
      </c>
      <c r="F63" s="82">
        <f>E63/100</f>
        <v>17.52</v>
      </c>
      <c r="G63" s="72">
        <v>848.37</v>
      </c>
      <c r="H63" s="83">
        <f>G63*F63/1000</f>
        <v>14.8634424</v>
      </c>
      <c r="I63" s="13">
        <v>0</v>
      </c>
    </row>
    <row r="64" spans="1:22" ht="15.75" customHeight="1">
      <c r="A64" s="29">
        <v>12</v>
      </c>
      <c r="B64" s="80" t="s">
        <v>103</v>
      </c>
      <c r="C64" s="84" t="s">
        <v>25</v>
      </c>
      <c r="D64" s="80" t="s">
        <v>160</v>
      </c>
      <c r="E64" s="81">
        <v>352</v>
      </c>
      <c r="F64" s="82">
        <f>E64*12</f>
        <v>4224</v>
      </c>
      <c r="G64" s="72">
        <v>2.6</v>
      </c>
      <c r="H64" s="83">
        <f>G64*F64/1000</f>
        <v>10.9824</v>
      </c>
      <c r="I64" s="13">
        <f>F64/12*G64</f>
        <v>915.2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29"/>
      <c r="B65" s="91" t="s">
        <v>46</v>
      </c>
      <c r="C65" s="84"/>
      <c r="D65" s="80"/>
      <c r="E65" s="81"/>
      <c r="F65" s="82"/>
      <c r="G65" s="92"/>
      <c r="H65" s="83" t="s">
        <v>143</v>
      </c>
      <c r="I65" s="13"/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29">
        <v>13</v>
      </c>
      <c r="B66" s="14" t="s">
        <v>47</v>
      </c>
      <c r="C66" s="16" t="s">
        <v>136</v>
      </c>
      <c r="D66" s="14" t="s">
        <v>69</v>
      </c>
      <c r="E66" s="18">
        <v>10</v>
      </c>
      <c r="F66" s="72">
        <v>10</v>
      </c>
      <c r="G66" s="13">
        <v>237.74</v>
      </c>
      <c r="H66" s="66">
        <f t="shared" ref="H66:H80" si="5">SUM(F66*G66/1000)</f>
        <v>2.3774000000000002</v>
      </c>
      <c r="I66" s="13">
        <f>G66*10</f>
        <v>2377.4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48</v>
      </c>
      <c r="C67" s="16" t="s">
        <v>136</v>
      </c>
      <c r="D67" s="14" t="s">
        <v>69</v>
      </c>
      <c r="E67" s="18">
        <v>5</v>
      </c>
      <c r="F67" s="72">
        <v>5</v>
      </c>
      <c r="G67" s="13">
        <v>81.510000000000005</v>
      </c>
      <c r="H67" s="66">
        <f t="shared" si="5"/>
        <v>0.40755000000000002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10"/>
      <c r="S67" s="110"/>
      <c r="T67" s="110"/>
      <c r="U67" s="110"/>
    </row>
    <row r="68" spans="1:21" ht="15.75" hidden="1" customHeight="1">
      <c r="A68" s="29"/>
      <c r="B68" s="14" t="s">
        <v>49</v>
      </c>
      <c r="C68" s="16" t="s">
        <v>138</v>
      </c>
      <c r="D68" s="14" t="s">
        <v>54</v>
      </c>
      <c r="E68" s="71">
        <v>23808</v>
      </c>
      <c r="F68" s="13">
        <f>SUM(E68/100)</f>
        <v>238.08</v>
      </c>
      <c r="G68" s="13">
        <v>226.79</v>
      </c>
      <c r="H68" s="66">
        <f t="shared" si="5"/>
        <v>53.994163200000003</v>
      </c>
      <c r="I68" s="13">
        <f>F68*G68</f>
        <v>53994.163200000003</v>
      </c>
    </row>
    <row r="69" spans="1:21" ht="15.75" hidden="1" customHeight="1">
      <c r="A69" s="29"/>
      <c r="B69" s="14" t="s">
        <v>50</v>
      </c>
      <c r="C69" s="16" t="s">
        <v>139</v>
      </c>
      <c r="D69" s="14"/>
      <c r="E69" s="71">
        <v>23808</v>
      </c>
      <c r="F69" s="13">
        <f>SUM(E69/1000)</f>
        <v>23.808</v>
      </c>
      <c r="G69" s="13">
        <v>176.61</v>
      </c>
      <c r="H69" s="66">
        <f t="shared" si="5"/>
        <v>4.2047308800000005</v>
      </c>
      <c r="I69" s="13">
        <f t="shared" ref="I69:I73" si="6">F69*G69</f>
        <v>4204.7308800000001</v>
      </c>
    </row>
    <row r="70" spans="1:21" ht="15.75" hidden="1" customHeight="1">
      <c r="A70" s="29"/>
      <c r="B70" s="14" t="s">
        <v>51</v>
      </c>
      <c r="C70" s="16" t="s">
        <v>80</v>
      </c>
      <c r="D70" s="14" t="s">
        <v>54</v>
      </c>
      <c r="E70" s="71">
        <v>3810</v>
      </c>
      <c r="F70" s="13">
        <f>SUM(E70/100)</f>
        <v>38.1</v>
      </c>
      <c r="G70" s="13">
        <v>2217.7800000000002</v>
      </c>
      <c r="H70" s="66">
        <f t="shared" si="5"/>
        <v>84.49741800000001</v>
      </c>
      <c r="I70" s="13">
        <f t="shared" si="6"/>
        <v>84497.418000000005</v>
      </c>
    </row>
    <row r="71" spans="1:21" ht="15.75" hidden="1" customHeight="1">
      <c r="A71" s="29"/>
      <c r="B71" s="86" t="s">
        <v>140</v>
      </c>
      <c r="C71" s="16" t="s">
        <v>34</v>
      </c>
      <c r="D71" s="14"/>
      <c r="E71" s="71">
        <v>23.4</v>
      </c>
      <c r="F71" s="13">
        <f>SUM(E71)</f>
        <v>23.4</v>
      </c>
      <c r="G71" s="13">
        <v>42.67</v>
      </c>
      <c r="H71" s="66">
        <f t="shared" si="5"/>
        <v>0.99847799999999998</v>
      </c>
      <c r="I71" s="13">
        <f t="shared" si="6"/>
        <v>998.47799999999995</v>
      </c>
    </row>
    <row r="72" spans="1:21" ht="15.75" hidden="1" customHeight="1">
      <c r="A72" s="29"/>
      <c r="B72" s="86" t="s">
        <v>150</v>
      </c>
      <c r="C72" s="16" t="s">
        <v>34</v>
      </c>
      <c r="D72" s="14"/>
      <c r="E72" s="71">
        <v>23.4</v>
      </c>
      <c r="F72" s="13">
        <f>SUM(E72)</f>
        <v>23.4</v>
      </c>
      <c r="G72" s="13">
        <v>39.81</v>
      </c>
      <c r="H72" s="66">
        <f t="shared" si="5"/>
        <v>0.93155399999999999</v>
      </c>
      <c r="I72" s="13">
        <f t="shared" si="6"/>
        <v>931.55399999999997</v>
      </c>
    </row>
    <row r="73" spans="1:21" ht="15.75" hidden="1" customHeight="1">
      <c r="A73" s="29"/>
      <c r="B73" s="14" t="s">
        <v>59</v>
      </c>
      <c r="C73" s="16" t="s">
        <v>60</v>
      </c>
      <c r="D73" s="14" t="s">
        <v>54</v>
      </c>
      <c r="E73" s="18">
        <v>5</v>
      </c>
      <c r="F73" s="72">
        <f>SUM(E73)</f>
        <v>5</v>
      </c>
      <c r="G73" s="13">
        <v>53.32</v>
      </c>
      <c r="H73" s="66">
        <f t="shared" si="5"/>
        <v>0.2666</v>
      </c>
      <c r="I73" s="13">
        <f t="shared" si="6"/>
        <v>266.60000000000002</v>
      </c>
    </row>
    <row r="74" spans="1:21" ht="15.75" customHeight="1">
      <c r="A74" s="29">
        <v>14</v>
      </c>
      <c r="B74" s="14" t="s">
        <v>151</v>
      </c>
      <c r="C74" s="16" t="s">
        <v>60</v>
      </c>
      <c r="D74" s="14" t="s">
        <v>30</v>
      </c>
      <c r="E74" s="18">
        <v>1</v>
      </c>
      <c r="F74" s="59">
        <v>12</v>
      </c>
      <c r="G74" s="13">
        <v>711</v>
      </c>
      <c r="H74" s="66">
        <v>8.5310000000000006</v>
      </c>
      <c r="I74" s="13">
        <f>F74/12*G74</f>
        <v>711</v>
      </c>
    </row>
    <row r="75" spans="1:21" ht="15.75" customHeight="1">
      <c r="A75" s="29"/>
      <c r="B75" s="54" t="s">
        <v>76</v>
      </c>
      <c r="C75" s="16"/>
      <c r="D75" s="14"/>
      <c r="E75" s="18"/>
      <c r="F75" s="13"/>
      <c r="G75" s="13"/>
      <c r="H75" s="66" t="s">
        <v>143</v>
      </c>
      <c r="I75" s="13"/>
    </row>
    <row r="76" spans="1:21" ht="15.75" customHeight="1">
      <c r="A76" s="29">
        <v>15</v>
      </c>
      <c r="B76" s="14" t="s">
        <v>77</v>
      </c>
      <c r="C76" s="16" t="s">
        <v>32</v>
      </c>
      <c r="D76" s="14" t="s">
        <v>69</v>
      </c>
      <c r="E76" s="18">
        <v>2</v>
      </c>
      <c r="F76" s="59">
        <v>0.2</v>
      </c>
      <c r="G76" s="13">
        <v>536.23</v>
      </c>
      <c r="H76" s="66">
        <v>0.107</v>
      </c>
      <c r="I76" s="13">
        <f>G76*0.5</f>
        <v>268.11500000000001</v>
      </c>
    </row>
    <row r="77" spans="1:21" ht="15.75" hidden="1" customHeight="1">
      <c r="A77" s="29"/>
      <c r="B77" s="14" t="s">
        <v>94</v>
      </c>
      <c r="C77" s="16" t="s">
        <v>31</v>
      </c>
      <c r="D77" s="14"/>
      <c r="E77" s="18">
        <v>1</v>
      </c>
      <c r="F77" s="72">
        <f>SUM(E77)</f>
        <v>1</v>
      </c>
      <c r="G77" s="13">
        <v>383.25</v>
      </c>
      <c r="H77" s="66">
        <f t="shared" si="5"/>
        <v>0.38324999999999998</v>
      </c>
      <c r="I77" s="13">
        <v>0</v>
      </c>
    </row>
    <row r="78" spans="1:21" ht="15.75" hidden="1" customHeight="1">
      <c r="A78" s="29"/>
      <c r="B78" s="14" t="s">
        <v>78</v>
      </c>
      <c r="C78" s="16" t="s">
        <v>31</v>
      </c>
      <c r="D78" s="14"/>
      <c r="E78" s="18">
        <v>1</v>
      </c>
      <c r="F78" s="13">
        <v>1</v>
      </c>
      <c r="G78" s="13">
        <v>911.85</v>
      </c>
      <c r="H78" s="66">
        <f>F78*G78/1000</f>
        <v>0.91185000000000005</v>
      </c>
      <c r="I78" s="13">
        <v>0</v>
      </c>
    </row>
    <row r="79" spans="1:21" ht="15.75" hidden="1" customHeight="1">
      <c r="A79" s="29"/>
      <c r="B79" s="87" t="s">
        <v>79</v>
      </c>
      <c r="C79" s="16"/>
      <c r="D79" s="14"/>
      <c r="E79" s="18"/>
      <c r="F79" s="13"/>
      <c r="G79" s="13" t="s">
        <v>143</v>
      </c>
      <c r="H79" s="66" t="s">
        <v>143</v>
      </c>
      <c r="I79" s="13"/>
    </row>
    <row r="80" spans="1:21" ht="15.75" hidden="1" customHeight="1">
      <c r="A80" s="29"/>
      <c r="B80" s="42" t="s">
        <v>144</v>
      </c>
      <c r="C80" s="16" t="s">
        <v>80</v>
      </c>
      <c r="D80" s="14"/>
      <c r="E80" s="18"/>
      <c r="F80" s="13">
        <v>0.6</v>
      </c>
      <c r="G80" s="13">
        <v>2949.85</v>
      </c>
      <c r="H80" s="66">
        <f t="shared" si="5"/>
        <v>1.7699099999999999</v>
      </c>
      <c r="I80" s="13">
        <v>0</v>
      </c>
      <c r="J80" s="5"/>
      <c r="K80" s="5"/>
      <c r="L80" s="5"/>
      <c r="M80" s="5"/>
      <c r="N80" s="5"/>
      <c r="O80" s="5"/>
      <c r="P80" s="5"/>
      <c r="Q80" s="5"/>
      <c r="R80" s="53"/>
      <c r="S80" s="53"/>
      <c r="T80" s="53"/>
      <c r="U80" s="53"/>
    </row>
    <row r="81" spans="1:21" ht="15.75" hidden="1" customHeight="1">
      <c r="A81" s="43"/>
      <c r="B81" s="54" t="s">
        <v>141</v>
      </c>
      <c r="C81" s="54"/>
      <c r="D81" s="54"/>
      <c r="E81" s="54"/>
      <c r="F81" s="54"/>
      <c r="G81" s="54"/>
      <c r="H81" s="54"/>
      <c r="I81" s="18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29"/>
      <c r="B82" s="69" t="s">
        <v>142</v>
      </c>
      <c r="C82" s="16"/>
      <c r="D82" s="14"/>
      <c r="E82" s="60"/>
      <c r="F82" s="13">
        <v>1</v>
      </c>
      <c r="G82" s="13">
        <v>21062.799999999999</v>
      </c>
      <c r="H82" s="66">
        <f>G82*F82/1000</f>
        <v>21.062799999999999</v>
      </c>
      <c r="I82" s="13">
        <v>0</v>
      </c>
      <c r="J82" s="5"/>
      <c r="K82" s="5"/>
      <c r="L82" s="5"/>
      <c r="M82" s="5"/>
      <c r="N82" s="5"/>
      <c r="O82" s="5"/>
      <c r="P82" s="5"/>
      <c r="Q82" s="5"/>
      <c r="R82" s="53"/>
      <c r="S82" s="53"/>
      <c r="T82" s="53"/>
      <c r="U82" s="53"/>
    </row>
    <row r="83" spans="1:21" ht="15.75" customHeight="1">
      <c r="A83" s="111" t="s">
        <v>196</v>
      </c>
      <c r="B83" s="112"/>
      <c r="C83" s="112"/>
      <c r="D83" s="112"/>
      <c r="E83" s="112"/>
      <c r="F83" s="112"/>
      <c r="G83" s="112"/>
      <c r="H83" s="112"/>
      <c r="I83" s="113"/>
    </row>
    <row r="84" spans="1:21" ht="15.75" customHeight="1">
      <c r="A84" s="29">
        <v>16</v>
      </c>
      <c r="B84" s="69" t="s">
        <v>145</v>
      </c>
      <c r="C84" s="16" t="s">
        <v>56</v>
      </c>
      <c r="D84" s="88" t="s">
        <v>57</v>
      </c>
      <c r="E84" s="13">
        <v>5816.5</v>
      </c>
      <c r="F84" s="13">
        <f>SUM(E84*12)</f>
        <v>69798</v>
      </c>
      <c r="G84" s="13">
        <v>2.54</v>
      </c>
      <c r="H84" s="66">
        <f>SUM(F84*G84/1000)</f>
        <v>177.28692000000001</v>
      </c>
      <c r="I84" s="13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53"/>
      <c r="S84" s="53"/>
      <c r="T84" s="53"/>
      <c r="U84" s="53"/>
    </row>
    <row r="85" spans="1:21" ht="31.5" customHeight="1">
      <c r="A85" s="29">
        <v>17</v>
      </c>
      <c r="B85" s="14" t="s">
        <v>81</v>
      </c>
      <c r="C85" s="16"/>
      <c r="D85" s="88" t="s">
        <v>57</v>
      </c>
      <c r="E85" s="71">
        <f>E84</f>
        <v>5816.5</v>
      </c>
      <c r="F85" s="13">
        <f>E85*12</f>
        <v>69798</v>
      </c>
      <c r="G85" s="13">
        <v>2.0499999999999998</v>
      </c>
      <c r="H85" s="66">
        <f>F85*G85/1000</f>
        <v>143.08589999999998</v>
      </c>
      <c r="I85" s="13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53"/>
      <c r="S85" s="53"/>
      <c r="T85" s="53"/>
      <c r="U85" s="53"/>
    </row>
    <row r="86" spans="1:21" ht="15.75" customHeight="1">
      <c r="A86" s="43"/>
      <c r="B86" s="34" t="s">
        <v>84</v>
      </c>
      <c r="C86" s="35"/>
      <c r="D86" s="15"/>
      <c r="E86" s="15"/>
      <c r="F86" s="15"/>
      <c r="G86" s="18"/>
      <c r="H86" s="18"/>
      <c r="I86" s="31">
        <f>I16+I17+I18+I20+I21+I27+I28+I31+I32+I34+I35+I64+I66+I74+I76+I84+I85</f>
        <v>88753.537634399996</v>
      </c>
    </row>
    <row r="87" spans="1:21" ht="15.75" customHeight="1">
      <c r="A87" s="125" t="s">
        <v>62</v>
      </c>
      <c r="B87" s="126"/>
      <c r="C87" s="126"/>
      <c r="D87" s="126"/>
      <c r="E87" s="126"/>
      <c r="F87" s="126"/>
      <c r="G87" s="126"/>
      <c r="H87" s="126"/>
      <c r="I87" s="127"/>
    </row>
    <row r="88" spans="1:21" ht="15.75" customHeight="1">
      <c r="A88" s="29">
        <v>18</v>
      </c>
      <c r="B88" s="46" t="s">
        <v>86</v>
      </c>
      <c r="C88" s="65" t="s">
        <v>136</v>
      </c>
      <c r="D88" s="42"/>
      <c r="E88" s="13"/>
      <c r="F88" s="13">
        <v>26</v>
      </c>
      <c r="G88" s="13">
        <v>189.88</v>
      </c>
      <c r="H88" s="66">
        <f t="shared" ref="H88" si="7">G88*F88/1000</f>
        <v>4.9368800000000004</v>
      </c>
      <c r="I88" s="13">
        <f>G88</f>
        <v>189.88</v>
      </c>
      <c r="J88" s="5"/>
      <c r="K88" s="5"/>
      <c r="L88" s="5"/>
      <c r="M88" s="5"/>
      <c r="N88" s="5"/>
      <c r="O88" s="5"/>
      <c r="P88" s="5"/>
      <c r="Q88" s="5"/>
      <c r="R88" s="53"/>
      <c r="S88" s="53"/>
      <c r="T88" s="53"/>
      <c r="U88" s="53"/>
    </row>
    <row r="89" spans="1:21" ht="15.75" customHeight="1">
      <c r="A89" s="29">
        <v>19</v>
      </c>
      <c r="B89" s="67" t="s">
        <v>212</v>
      </c>
      <c r="C89" s="68" t="s">
        <v>98</v>
      </c>
      <c r="D89" s="42"/>
      <c r="E89" s="13"/>
      <c r="F89" s="13">
        <f>92/3</f>
        <v>30.666666666666668</v>
      </c>
      <c r="G89" s="13">
        <v>1120.8900000000001</v>
      </c>
      <c r="H89" s="66">
        <f>G89*F89/1000</f>
        <v>34.373960000000004</v>
      </c>
      <c r="I89" s="13">
        <f>G89</f>
        <v>1120.8900000000001</v>
      </c>
      <c r="J89" s="5"/>
      <c r="K89" s="5"/>
      <c r="L89" s="5"/>
      <c r="M89" s="5"/>
      <c r="N89" s="5"/>
      <c r="O89" s="5"/>
      <c r="P89" s="5"/>
      <c r="Q89" s="5"/>
      <c r="R89" s="53"/>
      <c r="S89" s="53"/>
      <c r="T89" s="53"/>
      <c r="U89" s="53"/>
    </row>
    <row r="90" spans="1:21" ht="15.75" customHeight="1">
      <c r="A90" s="29">
        <v>20</v>
      </c>
      <c r="B90" s="46" t="s">
        <v>162</v>
      </c>
      <c r="C90" s="65" t="s">
        <v>88</v>
      </c>
      <c r="D90" s="42"/>
      <c r="E90" s="13"/>
      <c r="F90" s="13">
        <v>10</v>
      </c>
      <c r="G90" s="13">
        <v>195.85</v>
      </c>
      <c r="H90" s="66">
        <f>G90*F90/1000</f>
        <v>1.9584999999999999</v>
      </c>
      <c r="I90" s="13">
        <f>G90*3</f>
        <v>587.54999999999995</v>
      </c>
      <c r="J90" s="5"/>
      <c r="K90" s="5"/>
      <c r="L90" s="5"/>
      <c r="M90" s="5"/>
      <c r="N90" s="5"/>
      <c r="O90" s="5"/>
      <c r="P90" s="5"/>
      <c r="Q90" s="5"/>
      <c r="R90" s="53"/>
      <c r="S90" s="53"/>
      <c r="T90" s="53"/>
      <c r="U90" s="53"/>
    </row>
    <row r="91" spans="1:21" ht="31.5" customHeight="1">
      <c r="A91" s="29">
        <v>21</v>
      </c>
      <c r="B91" s="46" t="s">
        <v>216</v>
      </c>
      <c r="C91" s="65" t="s">
        <v>99</v>
      </c>
      <c r="D91" s="42"/>
      <c r="E91" s="13"/>
      <c r="F91" s="13">
        <v>54</v>
      </c>
      <c r="G91" s="13">
        <v>1046.06</v>
      </c>
      <c r="H91" s="66">
        <f t="shared" ref="H91:H93" si="8">G91*F91/1000</f>
        <v>56.48724</v>
      </c>
      <c r="I91" s="13">
        <f>G91</f>
        <v>1046.06</v>
      </c>
      <c r="J91" s="5"/>
      <c r="K91" s="5"/>
      <c r="L91" s="5"/>
      <c r="M91" s="5"/>
      <c r="N91" s="5"/>
      <c r="O91" s="5"/>
      <c r="P91" s="5"/>
      <c r="Q91" s="5"/>
      <c r="R91" s="53"/>
      <c r="S91" s="53"/>
      <c r="T91" s="53"/>
      <c r="U91" s="53"/>
    </row>
    <row r="92" spans="1:21" ht="15.75" customHeight="1">
      <c r="A92" s="29">
        <v>22</v>
      </c>
      <c r="B92" s="46" t="s">
        <v>218</v>
      </c>
      <c r="C92" s="65" t="s">
        <v>136</v>
      </c>
      <c r="D92" s="108"/>
      <c r="E92" s="17"/>
      <c r="F92" s="33">
        <v>15</v>
      </c>
      <c r="G92" s="33">
        <v>140</v>
      </c>
      <c r="H92" s="97">
        <f t="shared" si="8"/>
        <v>2.1</v>
      </c>
      <c r="I92" s="13">
        <f>G92</f>
        <v>140</v>
      </c>
      <c r="J92" s="5"/>
      <c r="K92" s="5"/>
      <c r="L92" s="5"/>
      <c r="M92" s="5"/>
      <c r="N92" s="5"/>
      <c r="O92" s="5"/>
      <c r="P92" s="5"/>
      <c r="Q92" s="5"/>
      <c r="R92" s="93"/>
      <c r="S92" s="93"/>
      <c r="T92" s="93"/>
      <c r="U92" s="93"/>
    </row>
    <row r="93" spans="1:21" ht="15.75" customHeight="1">
      <c r="A93" s="29">
        <v>23</v>
      </c>
      <c r="B93" s="46" t="s">
        <v>226</v>
      </c>
      <c r="C93" s="65" t="s">
        <v>136</v>
      </c>
      <c r="D93" s="108"/>
      <c r="E93" s="17"/>
      <c r="F93" s="33">
        <v>2</v>
      </c>
      <c r="G93" s="33">
        <v>70</v>
      </c>
      <c r="H93" s="97">
        <f t="shared" si="8"/>
        <v>0.14000000000000001</v>
      </c>
      <c r="I93" s="13">
        <f>G93</f>
        <v>70</v>
      </c>
      <c r="J93" s="5"/>
      <c r="K93" s="5"/>
      <c r="L93" s="5"/>
      <c r="M93" s="5"/>
      <c r="N93" s="5"/>
      <c r="O93" s="5"/>
      <c r="P93" s="5"/>
      <c r="Q93" s="5"/>
      <c r="R93" s="93"/>
      <c r="S93" s="93"/>
      <c r="T93" s="93"/>
      <c r="U93" s="93"/>
    </row>
    <row r="94" spans="1:21" ht="31.5" customHeight="1">
      <c r="A94" s="29">
        <v>24</v>
      </c>
      <c r="B94" s="46" t="s">
        <v>83</v>
      </c>
      <c r="C94" s="65" t="s">
        <v>136</v>
      </c>
      <c r="D94" s="42"/>
      <c r="E94" s="33"/>
      <c r="F94" s="33">
        <v>4</v>
      </c>
      <c r="G94" s="33">
        <v>83.36</v>
      </c>
      <c r="H94" s="97">
        <f>G94*F94/1000</f>
        <v>0.33344000000000001</v>
      </c>
      <c r="I94" s="13">
        <f>G94</f>
        <v>83.36</v>
      </c>
      <c r="J94" s="5"/>
      <c r="K94" s="5"/>
      <c r="L94" s="5"/>
      <c r="M94" s="5"/>
      <c r="N94" s="5"/>
      <c r="O94" s="5"/>
      <c r="P94" s="5"/>
      <c r="Q94" s="5"/>
      <c r="R94" s="93"/>
      <c r="S94" s="93"/>
      <c r="T94" s="93"/>
      <c r="U94" s="93"/>
    </row>
    <row r="95" spans="1:21" ht="31.5" customHeight="1">
      <c r="A95" s="29">
        <v>26</v>
      </c>
      <c r="B95" s="48" t="s">
        <v>263</v>
      </c>
      <c r="C95" s="106" t="s">
        <v>55</v>
      </c>
      <c r="D95" s="98"/>
      <c r="E95" s="33"/>
      <c r="F95" s="13">
        <v>5</v>
      </c>
      <c r="G95" s="33">
        <v>141.13</v>
      </c>
      <c r="H95" s="97">
        <f>G95*F95/1000</f>
        <v>0.70565</v>
      </c>
      <c r="I95" s="13">
        <f>G95*5</f>
        <v>705.65</v>
      </c>
      <c r="J95" s="5"/>
      <c r="K95" s="5"/>
      <c r="L95" s="5"/>
      <c r="M95" s="5"/>
      <c r="N95" s="5"/>
      <c r="O95" s="5"/>
      <c r="P95" s="5"/>
      <c r="Q95" s="5"/>
      <c r="R95" s="99"/>
      <c r="S95" s="99"/>
      <c r="T95" s="99"/>
      <c r="U95" s="99"/>
    </row>
    <row r="96" spans="1:21" ht="31.5" customHeight="1">
      <c r="A96" s="29">
        <v>27</v>
      </c>
      <c r="B96" s="46" t="s">
        <v>264</v>
      </c>
      <c r="C96" s="65" t="s">
        <v>265</v>
      </c>
      <c r="D96" s="98"/>
      <c r="E96" s="33"/>
      <c r="F96" s="13">
        <v>5</v>
      </c>
      <c r="G96" s="33">
        <v>91.45</v>
      </c>
      <c r="H96" s="97">
        <f>G96*F96/1000</f>
        <v>0.45724999999999999</v>
      </c>
      <c r="I96" s="13">
        <f>G96*5</f>
        <v>457.25</v>
      </c>
      <c r="J96" s="5"/>
      <c r="K96" s="5"/>
      <c r="L96" s="5"/>
      <c r="M96" s="5"/>
      <c r="N96" s="5"/>
      <c r="O96" s="5"/>
      <c r="P96" s="5"/>
      <c r="Q96" s="5"/>
      <c r="R96" s="99"/>
      <c r="S96" s="99"/>
      <c r="T96" s="99"/>
      <c r="U96" s="99"/>
    </row>
    <row r="97" spans="1:21" ht="15.75" customHeight="1">
      <c r="A97" s="29">
        <v>28</v>
      </c>
      <c r="B97" s="48" t="s">
        <v>245</v>
      </c>
      <c r="C97" s="106" t="s">
        <v>166</v>
      </c>
      <c r="D97" s="107"/>
      <c r="E97" s="33"/>
      <c r="F97" s="33">
        <f>1/10</f>
        <v>0.1</v>
      </c>
      <c r="G97" s="33">
        <v>976.72</v>
      </c>
      <c r="H97" s="97">
        <f t="shared" ref="H97" si="9">G97*F97/1000</f>
        <v>9.7672000000000009E-2</v>
      </c>
      <c r="I97" s="13">
        <f>G97*0.1</f>
        <v>97.672000000000011</v>
      </c>
      <c r="J97" s="5"/>
      <c r="K97" s="5"/>
      <c r="L97" s="5"/>
      <c r="M97" s="5"/>
      <c r="N97" s="5"/>
      <c r="O97" s="5"/>
      <c r="P97" s="5"/>
      <c r="Q97" s="5"/>
      <c r="R97" s="93"/>
      <c r="S97" s="93"/>
      <c r="T97" s="93"/>
      <c r="U97" s="93"/>
    </row>
    <row r="98" spans="1:21" ht="15.75" customHeight="1">
      <c r="A98" s="29">
        <v>29</v>
      </c>
      <c r="B98" s="67" t="s">
        <v>246</v>
      </c>
      <c r="C98" s="68" t="s">
        <v>98</v>
      </c>
      <c r="D98" s="42"/>
      <c r="E98" s="13"/>
      <c r="F98" s="13">
        <v>2</v>
      </c>
      <c r="G98" s="13">
        <v>1120.8900000000001</v>
      </c>
      <c r="H98" s="66">
        <f>G98*F98/1000</f>
        <v>2.2417800000000003</v>
      </c>
      <c r="I98" s="13">
        <f>G98*2</f>
        <v>2241.7800000000002</v>
      </c>
      <c r="J98" s="5"/>
      <c r="K98" s="5"/>
      <c r="L98" s="5"/>
      <c r="M98" s="5"/>
      <c r="N98" s="5"/>
      <c r="O98" s="5"/>
      <c r="P98" s="5"/>
      <c r="Q98" s="5"/>
      <c r="R98" s="93"/>
      <c r="S98" s="93"/>
      <c r="T98" s="93"/>
      <c r="U98" s="93"/>
    </row>
    <row r="99" spans="1:21" ht="15.75" customHeight="1">
      <c r="A99" s="29"/>
      <c r="B99" s="40" t="s">
        <v>52</v>
      </c>
      <c r="C99" s="36"/>
      <c r="D99" s="44"/>
      <c r="E99" s="36">
        <v>1</v>
      </c>
      <c r="F99" s="36"/>
      <c r="G99" s="36"/>
      <c r="H99" s="36"/>
      <c r="I99" s="31">
        <f>SUM(I88:I98)</f>
        <v>6740.0920000000006</v>
      </c>
    </row>
    <row r="100" spans="1:21" ht="15.75" customHeight="1">
      <c r="A100" s="29"/>
      <c r="B100" s="42" t="s">
        <v>82</v>
      </c>
      <c r="C100" s="15"/>
      <c r="D100" s="15"/>
      <c r="E100" s="37"/>
      <c r="F100" s="37"/>
      <c r="G100" s="38"/>
      <c r="H100" s="38"/>
      <c r="I100" s="17">
        <v>0</v>
      </c>
    </row>
    <row r="101" spans="1:21" ht="15.75" customHeight="1">
      <c r="A101" s="45"/>
      <c r="B101" s="41" t="s">
        <v>210</v>
      </c>
      <c r="C101" s="32"/>
      <c r="D101" s="32"/>
      <c r="E101" s="32"/>
      <c r="F101" s="32"/>
      <c r="G101" s="32"/>
      <c r="H101" s="32"/>
      <c r="I101" s="39">
        <f>I86+I99</f>
        <v>95493.6296344</v>
      </c>
    </row>
    <row r="102" spans="1:21" ht="15.75" customHeight="1">
      <c r="A102" s="128" t="s">
        <v>266</v>
      </c>
      <c r="B102" s="128"/>
      <c r="C102" s="128"/>
      <c r="D102" s="128"/>
      <c r="E102" s="128"/>
      <c r="F102" s="128"/>
      <c r="G102" s="128"/>
      <c r="H102" s="128"/>
      <c r="I102" s="128"/>
    </row>
    <row r="103" spans="1:21" ht="15.75" customHeight="1">
      <c r="A103" s="57"/>
      <c r="B103" s="129" t="s">
        <v>267</v>
      </c>
      <c r="C103" s="129"/>
      <c r="D103" s="129"/>
      <c r="E103" s="129"/>
      <c r="F103" s="129"/>
      <c r="G103" s="129"/>
      <c r="H103" s="63"/>
      <c r="I103" s="3"/>
    </row>
    <row r="104" spans="1:21" ht="15.75" customHeight="1">
      <c r="A104" s="53"/>
      <c r="B104" s="130" t="s">
        <v>6</v>
      </c>
      <c r="C104" s="130"/>
      <c r="D104" s="130"/>
      <c r="E104" s="130"/>
      <c r="F104" s="130"/>
      <c r="G104" s="130"/>
      <c r="H104" s="24"/>
      <c r="I104" s="5"/>
    </row>
    <row r="105" spans="1:21" ht="15.75" customHeight="1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21" ht="15.75" customHeight="1">
      <c r="A106" s="131" t="s">
        <v>7</v>
      </c>
      <c r="B106" s="131"/>
      <c r="C106" s="131"/>
      <c r="D106" s="131"/>
      <c r="E106" s="131"/>
      <c r="F106" s="131"/>
      <c r="G106" s="131"/>
      <c r="H106" s="131"/>
      <c r="I106" s="131"/>
    </row>
    <row r="107" spans="1:21" ht="15.75" customHeight="1">
      <c r="A107" s="131" t="s">
        <v>8</v>
      </c>
      <c r="B107" s="131"/>
      <c r="C107" s="131"/>
      <c r="D107" s="131"/>
      <c r="E107" s="131"/>
      <c r="F107" s="131"/>
      <c r="G107" s="131"/>
      <c r="H107" s="131"/>
      <c r="I107" s="131"/>
    </row>
    <row r="108" spans="1:21" ht="15.75" customHeight="1">
      <c r="A108" s="120" t="s">
        <v>63</v>
      </c>
      <c r="B108" s="120"/>
      <c r="C108" s="120"/>
      <c r="D108" s="120"/>
      <c r="E108" s="120"/>
      <c r="F108" s="120"/>
      <c r="G108" s="120"/>
      <c r="H108" s="120"/>
      <c r="I108" s="120"/>
    </row>
    <row r="109" spans="1:21" ht="15.75" customHeight="1">
      <c r="A109" s="11"/>
    </row>
    <row r="110" spans="1:21" ht="15.75" customHeight="1">
      <c r="A110" s="133" t="s">
        <v>9</v>
      </c>
      <c r="B110" s="133"/>
      <c r="C110" s="133"/>
      <c r="D110" s="133"/>
      <c r="E110" s="133"/>
      <c r="F110" s="133"/>
      <c r="G110" s="133"/>
      <c r="H110" s="133"/>
      <c r="I110" s="133"/>
    </row>
    <row r="111" spans="1:21" ht="15.75" customHeight="1">
      <c r="A111" s="4"/>
    </row>
    <row r="112" spans="1:21" ht="15.75" customHeight="1">
      <c r="B112" s="56" t="s">
        <v>10</v>
      </c>
      <c r="C112" s="134" t="s">
        <v>96</v>
      </c>
      <c r="D112" s="134"/>
      <c r="E112" s="134"/>
      <c r="F112" s="61"/>
      <c r="I112" s="52"/>
    </row>
    <row r="113" spans="1:9" ht="15.75" customHeight="1">
      <c r="A113" s="53"/>
      <c r="C113" s="130" t="s">
        <v>11</v>
      </c>
      <c r="D113" s="130"/>
      <c r="E113" s="130"/>
      <c r="F113" s="24"/>
      <c r="I113" s="51" t="s">
        <v>12</v>
      </c>
    </row>
    <row r="114" spans="1:9" ht="15.75" customHeight="1">
      <c r="A114" s="25"/>
      <c r="C114" s="12"/>
      <c r="D114" s="12"/>
      <c r="G114" s="12"/>
      <c r="H114" s="12"/>
    </row>
    <row r="115" spans="1:9" ht="15.75" customHeight="1">
      <c r="B115" s="56" t="s">
        <v>13</v>
      </c>
      <c r="C115" s="135"/>
      <c r="D115" s="135"/>
      <c r="E115" s="135"/>
      <c r="F115" s="62"/>
      <c r="I115" s="52"/>
    </row>
    <row r="116" spans="1:9" ht="15.75" customHeight="1">
      <c r="A116" s="53"/>
      <c r="C116" s="110" t="s">
        <v>11</v>
      </c>
      <c r="D116" s="110"/>
      <c r="E116" s="110"/>
      <c r="F116" s="53"/>
      <c r="I116" s="51" t="s">
        <v>12</v>
      </c>
    </row>
    <row r="117" spans="1:9" ht="15.75" customHeight="1">
      <c r="A117" s="4" t="s">
        <v>14</v>
      </c>
    </row>
    <row r="118" spans="1:9" ht="15.75" customHeight="1">
      <c r="A118" s="136" t="s">
        <v>15</v>
      </c>
      <c r="B118" s="136"/>
      <c r="C118" s="136"/>
      <c r="D118" s="136"/>
      <c r="E118" s="136"/>
      <c r="F118" s="136"/>
      <c r="G118" s="136"/>
      <c r="H118" s="136"/>
      <c r="I118" s="136"/>
    </row>
    <row r="119" spans="1:9" ht="45" customHeight="1">
      <c r="A119" s="132" t="s">
        <v>16</v>
      </c>
      <c r="B119" s="132"/>
      <c r="C119" s="132"/>
      <c r="D119" s="132"/>
      <c r="E119" s="132"/>
      <c r="F119" s="132"/>
      <c r="G119" s="132"/>
      <c r="H119" s="132"/>
      <c r="I119" s="132"/>
    </row>
    <row r="120" spans="1:9" ht="30" customHeight="1">
      <c r="A120" s="132" t="s">
        <v>17</v>
      </c>
      <c r="B120" s="132"/>
      <c r="C120" s="132"/>
      <c r="D120" s="132"/>
      <c r="E120" s="132"/>
      <c r="F120" s="132"/>
      <c r="G120" s="132"/>
      <c r="H120" s="132"/>
      <c r="I120" s="132"/>
    </row>
    <row r="121" spans="1:9" ht="30" customHeight="1">
      <c r="A121" s="132" t="s">
        <v>21</v>
      </c>
      <c r="B121" s="132"/>
      <c r="C121" s="132"/>
      <c r="D121" s="132"/>
      <c r="E121" s="132"/>
      <c r="F121" s="132"/>
      <c r="G121" s="132"/>
      <c r="H121" s="132"/>
      <c r="I121" s="132"/>
    </row>
    <row r="122" spans="1:9" ht="15" customHeight="1">
      <c r="A122" s="132" t="s">
        <v>20</v>
      </c>
      <c r="B122" s="132"/>
      <c r="C122" s="132"/>
      <c r="D122" s="132"/>
      <c r="E122" s="132"/>
      <c r="F122" s="132"/>
      <c r="G122" s="132"/>
      <c r="H122" s="132"/>
      <c r="I122" s="132"/>
    </row>
  </sheetData>
  <autoFilter ref="I12:I62"/>
  <mergeCells count="29">
    <mergeCell ref="A119:I119"/>
    <mergeCell ref="A120:I120"/>
    <mergeCell ref="A121:I121"/>
    <mergeCell ref="A122:I122"/>
    <mergeCell ref="A110:I110"/>
    <mergeCell ref="C112:E112"/>
    <mergeCell ref="C113:E113"/>
    <mergeCell ref="C115:E115"/>
    <mergeCell ref="C116:E116"/>
    <mergeCell ref="A118:I118"/>
    <mergeCell ref="A108:I108"/>
    <mergeCell ref="A15:I15"/>
    <mergeCell ref="A29:I29"/>
    <mergeCell ref="A47:I47"/>
    <mergeCell ref="A57:I57"/>
    <mergeCell ref="A102:I102"/>
    <mergeCell ref="B103:G103"/>
    <mergeCell ref="B104:G104"/>
    <mergeCell ref="A106:I106"/>
    <mergeCell ref="A107:I107"/>
    <mergeCell ref="A87:I87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92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14" t="s">
        <v>201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146</v>
      </c>
      <c r="B4" s="115"/>
      <c r="C4" s="115"/>
      <c r="D4" s="115"/>
      <c r="E4" s="115"/>
      <c r="F4" s="115"/>
      <c r="G4" s="115"/>
      <c r="H4" s="115"/>
      <c r="I4" s="115"/>
    </row>
    <row r="5" spans="1:13" ht="15.75" customHeight="1">
      <c r="A5" s="114" t="s">
        <v>247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 customHeight="1">
      <c r="A6" s="2"/>
      <c r="B6" s="55"/>
      <c r="C6" s="55"/>
      <c r="D6" s="55"/>
      <c r="E6" s="55"/>
      <c r="F6" s="55"/>
      <c r="G6" s="55"/>
      <c r="H6" s="55"/>
      <c r="I6" s="30">
        <v>42978</v>
      </c>
      <c r="J6" s="2"/>
      <c r="K6" s="2"/>
      <c r="L6" s="2"/>
      <c r="M6" s="2"/>
    </row>
    <row r="7" spans="1:13" ht="15.75" customHeight="1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7" t="s">
        <v>152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8" t="s">
        <v>209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19" t="s">
        <v>61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29">
        <v>1</v>
      </c>
      <c r="B16" s="69" t="s">
        <v>93</v>
      </c>
      <c r="C16" s="70" t="s">
        <v>115</v>
      </c>
      <c r="D16" s="69" t="s">
        <v>116</v>
      </c>
      <c r="E16" s="71">
        <v>176.24</v>
      </c>
      <c r="F16" s="72">
        <f>SUM(E16*156/100)</f>
        <v>274.93440000000004</v>
      </c>
      <c r="G16" s="72">
        <v>187.48</v>
      </c>
      <c r="H16" s="73">
        <f t="shared" ref="H16:H26" si="0">SUM(F16*G16/1000)</f>
        <v>51.544701312000008</v>
      </c>
      <c r="I16" s="13">
        <f>F16/12*G16</f>
        <v>4295.3917760000004</v>
      </c>
      <c r="J16" s="8"/>
      <c r="K16" s="8"/>
      <c r="L16" s="8"/>
      <c r="M16" s="8"/>
    </row>
    <row r="17" spans="1:13" ht="15.75" customHeight="1">
      <c r="A17" s="29">
        <v>2</v>
      </c>
      <c r="B17" s="69" t="s">
        <v>100</v>
      </c>
      <c r="C17" s="70" t="s">
        <v>115</v>
      </c>
      <c r="D17" s="69" t="s">
        <v>117</v>
      </c>
      <c r="E17" s="71">
        <v>704.96</v>
      </c>
      <c r="F17" s="72">
        <f>SUM(E17*104/100)</f>
        <v>733.15839999999992</v>
      </c>
      <c r="G17" s="72">
        <v>187.48</v>
      </c>
      <c r="H17" s="73">
        <v>137.453</v>
      </c>
      <c r="I17" s="13">
        <f>F17/12*G17</f>
        <v>11454.378069333332</v>
      </c>
      <c r="J17" s="22"/>
      <c r="K17" s="8"/>
      <c r="L17" s="8"/>
      <c r="M17" s="8"/>
    </row>
    <row r="18" spans="1:13" ht="15.75" customHeight="1">
      <c r="A18" s="29">
        <v>3</v>
      </c>
      <c r="B18" s="69" t="s">
        <v>101</v>
      </c>
      <c r="C18" s="70" t="s">
        <v>115</v>
      </c>
      <c r="D18" s="69" t="s">
        <v>118</v>
      </c>
      <c r="E18" s="71">
        <f>SUM(E16+E17)</f>
        <v>881.2</v>
      </c>
      <c r="F18" s="72">
        <f>SUM(E18*24/100)</f>
        <v>211.48800000000003</v>
      </c>
      <c r="G18" s="72">
        <v>539.30999999999995</v>
      </c>
      <c r="H18" s="73">
        <f t="shared" si="0"/>
        <v>114.05759328000001</v>
      </c>
      <c r="I18" s="13">
        <f>F18/12*G18</f>
        <v>9504.7994400000007</v>
      </c>
      <c r="J18" s="22"/>
      <c r="K18" s="8"/>
      <c r="L18" s="8"/>
      <c r="M18" s="8"/>
    </row>
    <row r="19" spans="1:13" ht="15.75" hidden="1" customHeight="1">
      <c r="A19" s="29">
        <v>4</v>
      </c>
      <c r="B19" s="69" t="s">
        <v>119</v>
      </c>
      <c r="C19" s="70" t="s">
        <v>120</v>
      </c>
      <c r="D19" s="69" t="s">
        <v>121</v>
      </c>
      <c r="E19" s="71">
        <v>28.8</v>
      </c>
      <c r="F19" s="72">
        <f>SUM(E19/10)</f>
        <v>2.88</v>
      </c>
      <c r="G19" s="72">
        <v>181.91</v>
      </c>
      <c r="H19" s="73">
        <f t="shared" si="0"/>
        <v>0.52390080000000006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69" t="s">
        <v>106</v>
      </c>
      <c r="C20" s="70" t="s">
        <v>115</v>
      </c>
      <c r="D20" s="69" t="s">
        <v>30</v>
      </c>
      <c r="E20" s="71">
        <v>17.5</v>
      </c>
      <c r="F20" s="72">
        <f>SUM(E20*12/100)</f>
        <v>2.1</v>
      </c>
      <c r="G20" s="72">
        <v>232.92</v>
      </c>
      <c r="H20" s="73">
        <f t="shared" si="0"/>
        <v>0.48913200000000001</v>
      </c>
      <c r="I20" s="13">
        <f>F20/12*G20</f>
        <v>40.761000000000003</v>
      </c>
      <c r="J20" s="22"/>
      <c r="K20" s="8"/>
      <c r="L20" s="8"/>
      <c r="M20" s="8"/>
    </row>
    <row r="21" spans="1:13" ht="15.75" hidden="1" customHeight="1">
      <c r="A21" s="29">
        <v>5</v>
      </c>
      <c r="B21" s="69" t="s">
        <v>107</v>
      </c>
      <c r="C21" s="70" t="s">
        <v>115</v>
      </c>
      <c r="D21" s="69" t="s">
        <v>114</v>
      </c>
      <c r="E21" s="71">
        <v>5.94</v>
      </c>
      <c r="F21" s="72">
        <f>SUM(E21*6/100)</f>
        <v>0.35639999999999999</v>
      </c>
      <c r="G21" s="72">
        <v>231.03</v>
      </c>
      <c r="H21" s="73">
        <f t="shared" si="0"/>
        <v>8.2339091999999989E-2</v>
      </c>
      <c r="I21" s="13">
        <f>F21/6*G21</f>
        <v>13.723182</v>
      </c>
      <c r="J21" s="22"/>
      <c r="K21" s="8"/>
      <c r="L21" s="8"/>
      <c r="M21" s="8"/>
    </row>
    <row r="22" spans="1:13" ht="15.75" hidden="1" customHeight="1">
      <c r="A22" s="29">
        <v>7</v>
      </c>
      <c r="B22" s="69" t="s">
        <v>122</v>
      </c>
      <c r="C22" s="70" t="s">
        <v>53</v>
      </c>
      <c r="D22" s="69" t="s">
        <v>121</v>
      </c>
      <c r="E22" s="71">
        <v>376</v>
      </c>
      <c r="F22" s="72">
        <f>SUM(E22/100)</f>
        <v>3.76</v>
      </c>
      <c r="G22" s="72">
        <v>287.83999999999997</v>
      </c>
      <c r="H22" s="73">
        <f t="shared" si="0"/>
        <v>1.0822783999999999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9" t="s">
        <v>123</v>
      </c>
      <c r="C23" s="70" t="s">
        <v>53</v>
      </c>
      <c r="D23" s="69" t="s">
        <v>121</v>
      </c>
      <c r="E23" s="74">
        <v>60.4</v>
      </c>
      <c r="F23" s="72">
        <f>SUM(E23/100)</f>
        <v>0.60399999999999998</v>
      </c>
      <c r="G23" s="72">
        <v>47.34</v>
      </c>
      <c r="H23" s="73">
        <f t="shared" si="0"/>
        <v>2.8593360000000002E-2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9" t="s">
        <v>110</v>
      </c>
      <c r="C24" s="70" t="s">
        <v>53</v>
      </c>
      <c r="D24" s="69" t="s">
        <v>54</v>
      </c>
      <c r="E24" s="18">
        <v>25</v>
      </c>
      <c r="F24" s="75">
        <f>E24/100</f>
        <v>0.25</v>
      </c>
      <c r="G24" s="72">
        <v>416.62</v>
      </c>
      <c r="H24" s="73">
        <f>F24*G24/1000</f>
        <v>0.104155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9" t="s">
        <v>124</v>
      </c>
      <c r="C25" s="70" t="s">
        <v>53</v>
      </c>
      <c r="D25" s="69" t="s">
        <v>121</v>
      </c>
      <c r="E25" s="74">
        <v>23.75</v>
      </c>
      <c r="F25" s="72">
        <f>E25/100</f>
        <v>0.23749999999999999</v>
      </c>
      <c r="G25" s="72">
        <v>231.03</v>
      </c>
      <c r="H25" s="73">
        <f>F25*G25/1000</f>
        <v>5.4869624999999998E-2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11</v>
      </c>
      <c r="B26" s="69" t="s">
        <v>111</v>
      </c>
      <c r="C26" s="70" t="s">
        <v>53</v>
      </c>
      <c r="D26" s="69" t="s">
        <v>121</v>
      </c>
      <c r="E26" s="71">
        <v>10.63</v>
      </c>
      <c r="F26" s="72">
        <f>SUM(E26/100)</f>
        <v>0.10630000000000001</v>
      </c>
      <c r="G26" s="72">
        <v>556.74</v>
      </c>
      <c r="H26" s="73">
        <f t="shared" si="0"/>
        <v>5.9181462000000004E-2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5</v>
      </c>
      <c r="B27" s="69" t="s">
        <v>66</v>
      </c>
      <c r="C27" s="70" t="s">
        <v>34</v>
      </c>
      <c r="D27" s="69" t="s">
        <v>91</v>
      </c>
      <c r="E27" s="71">
        <v>0.1</v>
      </c>
      <c r="F27" s="72">
        <f>SUM(E27*365)</f>
        <v>36.5</v>
      </c>
      <c r="G27" s="72">
        <v>157.18</v>
      </c>
      <c r="H27" s="73">
        <f>SUM(F27*G27/1000)</f>
        <v>5.737070000000001</v>
      </c>
      <c r="I27" s="13">
        <f>F27/12*G27</f>
        <v>478.08916666666664</v>
      </c>
      <c r="J27" s="23"/>
    </row>
    <row r="28" spans="1:13" ht="15.75" customHeight="1">
      <c r="A28" s="29">
        <v>6</v>
      </c>
      <c r="B28" s="77" t="s">
        <v>23</v>
      </c>
      <c r="C28" s="70" t="s">
        <v>24</v>
      </c>
      <c r="D28" s="69" t="s">
        <v>91</v>
      </c>
      <c r="E28" s="71">
        <v>5816.5</v>
      </c>
      <c r="F28" s="72">
        <f>SUM(E28*12)</f>
        <v>69798</v>
      </c>
      <c r="G28" s="72">
        <v>4.72</v>
      </c>
      <c r="H28" s="73">
        <f>SUM(F28*G28/1000)</f>
        <v>329.44655999999998</v>
      </c>
      <c r="I28" s="13">
        <f>F28/12*G28</f>
        <v>27453.879999999997</v>
      </c>
      <c r="J28" s="23"/>
    </row>
    <row r="29" spans="1:13" ht="15.75" customHeight="1">
      <c r="A29" s="121" t="s">
        <v>90</v>
      </c>
      <c r="B29" s="121"/>
      <c r="C29" s="121"/>
      <c r="D29" s="121"/>
      <c r="E29" s="121"/>
      <c r="F29" s="121"/>
      <c r="G29" s="121"/>
      <c r="H29" s="121"/>
      <c r="I29" s="121"/>
      <c r="J29" s="22"/>
      <c r="K29" s="8"/>
      <c r="L29" s="8"/>
      <c r="M29" s="8"/>
    </row>
    <row r="30" spans="1:13" ht="15.75" customHeight="1">
      <c r="A30" s="29"/>
      <c r="B30" s="90" t="s">
        <v>28</v>
      </c>
      <c r="C30" s="70"/>
      <c r="D30" s="69"/>
      <c r="E30" s="71"/>
      <c r="F30" s="72"/>
      <c r="G30" s="72"/>
      <c r="H30" s="73"/>
      <c r="I30" s="13"/>
      <c r="J30" s="22"/>
      <c r="K30" s="8"/>
      <c r="L30" s="8"/>
      <c r="M30" s="8"/>
    </row>
    <row r="31" spans="1:13" ht="15.75" customHeight="1">
      <c r="A31" s="29">
        <v>7</v>
      </c>
      <c r="B31" s="69" t="s">
        <v>125</v>
      </c>
      <c r="C31" s="70" t="s">
        <v>126</v>
      </c>
      <c r="D31" s="69" t="s">
        <v>127</v>
      </c>
      <c r="E31" s="72">
        <v>357.22</v>
      </c>
      <c r="F31" s="72">
        <f>SUM(E31*52/1000)</f>
        <v>18.575440000000004</v>
      </c>
      <c r="G31" s="72">
        <v>166.65</v>
      </c>
      <c r="H31" s="73">
        <f t="shared" ref="H31:H38" si="1">SUM(F31*G31/1000)</f>
        <v>3.0955970760000011</v>
      </c>
      <c r="I31" s="13">
        <f>F31/6*G31</f>
        <v>515.93284600000015</v>
      </c>
      <c r="J31" s="22"/>
      <c r="K31" s="8"/>
      <c r="L31" s="8"/>
      <c r="M31" s="8"/>
    </row>
    <row r="32" spans="1:13" ht="31.5" customHeight="1">
      <c r="A32" s="29">
        <v>8</v>
      </c>
      <c r="B32" s="69" t="s">
        <v>191</v>
      </c>
      <c r="C32" s="70" t="s">
        <v>126</v>
      </c>
      <c r="D32" s="69" t="s">
        <v>128</v>
      </c>
      <c r="E32" s="72">
        <v>475.06</v>
      </c>
      <c r="F32" s="72">
        <f>SUM(E32*78/1000)</f>
        <v>37.054679999999998</v>
      </c>
      <c r="G32" s="72">
        <v>276.48</v>
      </c>
      <c r="H32" s="73">
        <f t="shared" si="1"/>
        <v>10.244877926400001</v>
      </c>
      <c r="I32" s="13">
        <f t="shared" ref="I32:I35" si="2">F32/6*G32</f>
        <v>1707.4796544000001</v>
      </c>
      <c r="J32" s="22"/>
      <c r="K32" s="8"/>
      <c r="L32" s="8"/>
      <c r="M32" s="8"/>
    </row>
    <row r="33" spans="1:14" ht="15.75" hidden="1" customHeight="1">
      <c r="A33" s="29">
        <v>16</v>
      </c>
      <c r="B33" s="69" t="s">
        <v>27</v>
      </c>
      <c r="C33" s="70" t="s">
        <v>126</v>
      </c>
      <c r="D33" s="69" t="s">
        <v>54</v>
      </c>
      <c r="E33" s="72">
        <v>357.22</v>
      </c>
      <c r="F33" s="72">
        <f>SUM(E33/1000)</f>
        <v>0.35722000000000004</v>
      </c>
      <c r="G33" s="72">
        <v>3228.73</v>
      </c>
      <c r="H33" s="73">
        <f t="shared" si="1"/>
        <v>1.1533669306000001</v>
      </c>
      <c r="I33" s="13">
        <f>F33*G33</f>
        <v>1153.3669306000002</v>
      </c>
      <c r="J33" s="22"/>
      <c r="K33" s="8"/>
      <c r="L33" s="8"/>
      <c r="M33" s="8"/>
    </row>
    <row r="34" spans="1:14" ht="15.75" customHeight="1">
      <c r="A34" s="29">
        <v>9</v>
      </c>
      <c r="B34" s="69" t="s">
        <v>157</v>
      </c>
      <c r="C34" s="70" t="s">
        <v>40</v>
      </c>
      <c r="D34" s="69" t="s">
        <v>158</v>
      </c>
      <c r="E34" s="72">
        <v>5</v>
      </c>
      <c r="F34" s="72">
        <f>E34*155/100</f>
        <v>7.75</v>
      </c>
      <c r="G34" s="72">
        <v>1391.86</v>
      </c>
      <c r="H34" s="73">
        <f>G34*F34/1000</f>
        <v>10.786914999999999</v>
      </c>
      <c r="I34" s="13">
        <f t="shared" si="2"/>
        <v>1797.8191666666667</v>
      </c>
      <c r="J34" s="22"/>
      <c r="K34" s="8"/>
      <c r="L34" s="8"/>
      <c r="M34" s="8"/>
    </row>
    <row r="35" spans="1:14" ht="15.75" customHeight="1">
      <c r="A35" s="29">
        <v>10</v>
      </c>
      <c r="B35" s="69" t="s">
        <v>129</v>
      </c>
      <c r="C35" s="70" t="s">
        <v>31</v>
      </c>
      <c r="D35" s="69" t="s">
        <v>65</v>
      </c>
      <c r="E35" s="76">
        <v>0.33333333333333331</v>
      </c>
      <c r="F35" s="72">
        <f>155/3</f>
        <v>51.666666666666664</v>
      </c>
      <c r="G35" s="72">
        <v>60.6</v>
      </c>
      <c r="H35" s="73">
        <f>SUM(G35*155/3/1000)</f>
        <v>3.1309999999999998</v>
      </c>
      <c r="I35" s="13">
        <f t="shared" si="2"/>
        <v>521.83333333333337</v>
      </c>
      <c r="J35" s="22"/>
      <c r="K35" s="8"/>
    </row>
    <row r="36" spans="1:14" ht="15.75" hidden="1" customHeight="1">
      <c r="A36" s="29"/>
      <c r="B36" s="69" t="s">
        <v>67</v>
      </c>
      <c r="C36" s="70" t="s">
        <v>34</v>
      </c>
      <c r="D36" s="69" t="s">
        <v>69</v>
      </c>
      <c r="E36" s="71"/>
      <c r="F36" s="72">
        <v>3</v>
      </c>
      <c r="G36" s="72">
        <v>204.52</v>
      </c>
      <c r="H36" s="73">
        <f t="shared" si="1"/>
        <v>0.61356000000000011</v>
      </c>
      <c r="I36" s="13">
        <v>0</v>
      </c>
      <c r="J36" s="23"/>
    </row>
    <row r="37" spans="1:14" ht="15.75" hidden="1" customHeight="1">
      <c r="A37" s="29"/>
      <c r="B37" s="69" t="s">
        <v>68</v>
      </c>
      <c r="C37" s="70" t="s">
        <v>33</v>
      </c>
      <c r="D37" s="69" t="s">
        <v>69</v>
      </c>
      <c r="E37" s="71"/>
      <c r="F37" s="72">
        <v>2</v>
      </c>
      <c r="G37" s="72">
        <v>1214.74</v>
      </c>
      <c r="H37" s="73">
        <f t="shared" si="1"/>
        <v>2.4294799999999999</v>
      </c>
      <c r="I37" s="13">
        <v>0</v>
      </c>
      <c r="J37" s="23"/>
    </row>
    <row r="38" spans="1:14" ht="15.75" hidden="1" customHeight="1">
      <c r="A38" s="29"/>
      <c r="B38" s="46" t="s">
        <v>159</v>
      </c>
      <c r="C38" s="65" t="s">
        <v>29</v>
      </c>
      <c r="D38" s="69"/>
      <c r="E38" s="71">
        <v>360.36</v>
      </c>
      <c r="F38" s="72">
        <f>E38*36/1000</f>
        <v>12.97296</v>
      </c>
      <c r="G38" s="72">
        <v>3228.73</v>
      </c>
      <c r="H38" s="73">
        <f t="shared" si="1"/>
        <v>41.886185140800002</v>
      </c>
      <c r="I38" s="13">
        <v>0</v>
      </c>
      <c r="J38" s="23"/>
    </row>
    <row r="39" spans="1:14" ht="15.75" hidden="1" customHeight="1">
      <c r="A39" s="29"/>
      <c r="B39" s="90" t="s">
        <v>5</v>
      </c>
      <c r="C39" s="70"/>
      <c r="D39" s="69"/>
      <c r="E39" s="71"/>
      <c r="F39" s="72"/>
      <c r="G39" s="72"/>
      <c r="H39" s="73" t="s">
        <v>143</v>
      </c>
      <c r="I39" s="13"/>
      <c r="J39" s="23"/>
    </row>
    <row r="40" spans="1:14" ht="15.75" hidden="1" customHeight="1">
      <c r="A40" s="29">
        <v>8</v>
      </c>
      <c r="B40" s="69" t="s">
        <v>26</v>
      </c>
      <c r="C40" s="70" t="s">
        <v>33</v>
      </c>
      <c r="D40" s="69"/>
      <c r="E40" s="71"/>
      <c r="F40" s="72">
        <v>10</v>
      </c>
      <c r="G40" s="72">
        <v>1632.6</v>
      </c>
      <c r="H40" s="73">
        <f t="shared" ref="H40:H46" si="3">SUM(F40*G40/1000)</f>
        <v>16.326000000000001</v>
      </c>
      <c r="I40" s="13">
        <f>F40/6*G40</f>
        <v>2721</v>
      </c>
      <c r="J40" s="23"/>
      <c r="L40" s="19"/>
      <c r="M40" s="20"/>
      <c r="N40" s="21"/>
    </row>
    <row r="41" spans="1:14" ht="15.75" hidden="1" customHeight="1">
      <c r="A41" s="29">
        <v>9</v>
      </c>
      <c r="B41" s="69" t="s">
        <v>70</v>
      </c>
      <c r="C41" s="70" t="s">
        <v>29</v>
      </c>
      <c r="D41" s="69" t="s">
        <v>130</v>
      </c>
      <c r="E41" s="72">
        <v>469.73</v>
      </c>
      <c r="F41" s="72">
        <f>SUM(E41*30/1000)</f>
        <v>14.091900000000001</v>
      </c>
      <c r="G41" s="72">
        <v>2247.8000000000002</v>
      </c>
      <c r="H41" s="73">
        <f t="shared" si="3"/>
        <v>31.675772820000006</v>
      </c>
      <c r="I41" s="13">
        <f>F41/6*G41</f>
        <v>5279.2954700000009</v>
      </c>
      <c r="J41" s="23"/>
      <c r="L41" s="19"/>
      <c r="M41" s="20"/>
      <c r="N41" s="21"/>
    </row>
    <row r="42" spans="1:14" ht="15.75" hidden="1" customHeight="1">
      <c r="A42" s="29"/>
      <c r="B42" s="69" t="s">
        <v>102</v>
      </c>
      <c r="C42" s="70" t="s">
        <v>147</v>
      </c>
      <c r="D42" s="69" t="s">
        <v>69</v>
      </c>
      <c r="E42" s="71"/>
      <c r="F42" s="72">
        <v>120</v>
      </c>
      <c r="G42" s="72">
        <v>213.2</v>
      </c>
      <c r="H42" s="73">
        <f t="shared" si="3"/>
        <v>25.584</v>
      </c>
      <c r="I42" s="13">
        <v>0</v>
      </c>
      <c r="J42" s="23"/>
      <c r="L42" s="19"/>
      <c r="M42" s="20"/>
      <c r="N42" s="21"/>
    </row>
    <row r="43" spans="1:14" ht="15.75" hidden="1" customHeight="1">
      <c r="A43" s="29">
        <v>10</v>
      </c>
      <c r="B43" s="69" t="s">
        <v>71</v>
      </c>
      <c r="C43" s="70" t="s">
        <v>29</v>
      </c>
      <c r="D43" s="69" t="s">
        <v>131</v>
      </c>
      <c r="E43" s="72">
        <v>475.06</v>
      </c>
      <c r="F43" s="72">
        <f>SUM(E43*155/1000)</f>
        <v>73.634299999999996</v>
      </c>
      <c r="G43" s="72">
        <v>374.95</v>
      </c>
      <c r="H43" s="73">
        <f t="shared" si="3"/>
        <v>27.609180784999996</v>
      </c>
      <c r="I43" s="13">
        <f>F43/6*G43</f>
        <v>4601.5301308333328</v>
      </c>
      <c r="J43" s="23"/>
      <c r="L43" s="19"/>
      <c r="M43" s="20"/>
      <c r="N43" s="21"/>
    </row>
    <row r="44" spans="1:14" ht="47.25" hidden="1" customHeight="1">
      <c r="A44" s="29">
        <v>11</v>
      </c>
      <c r="B44" s="69" t="s">
        <v>87</v>
      </c>
      <c r="C44" s="70" t="s">
        <v>126</v>
      </c>
      <c r="D44" s="69" t="s">
        <v>148</v>
      </c>
      <c r="E44" s="72">
        <v>40.6</v>
      </c>
      <c r="F44" s="72">
        <f>SUM(E44*35/1000)</f>
        <v>1.421</v>
      </c>
      <c r="G44" s="72">
        <v>6203.7</v>
      </c>
      <c r="H44" s="73">
        <f t="shared" si="3"/>
        <v>8.8154577000000014</v>
      </c>
      <c r="I44" s="13">
        <f>F44/6*G44</f>
        <v>1469.2429500000001</v>
      </c>
      <c r="J44" s="23"/>
      <c r="L44" s="19"/>
      <c r="M44" s="20"/>
      <c r="N44" s="21"/>
    </row>
    <row r="45" spans="1:14" ht="15.75" hidden="1" customHeight="1">
      <c r="A45" s="29">
        <v>12</v>
      </c>
      <c r="B45" s="69" t="s">
        <v>132</v>
      </c>
      <c r="C45" s="70" t="s">
        <v>126</v>
      </c>
      <c r="D45" s="69" t="s">
        <v>72</v>
      </c>
      <c r="E45" s="72">
        <v>167.03</v>
      </c>
      <c r="F45" s="72">
        <f>SUM(E45*45/1000)</f>
        <v>7.5163500000000001</v>
      </c>
      <c r="G45" s="72">
        <v>458.28</v>
      </c>
      <c r="H45" s="73">
        <f t="shared" si="3"/>
        <v>3.4445928779999999</v>
      </c>
      <c r="I45" s="13">
        <f>F45/6*G45</f>
        <v>574.09881299999995</v>
      </c>
      <c r="J45" s="23"/>
      <c r="L45" s="19"/>
      <c r="M45" s="20"/>
      <c r="N45" s="21"/>
    </row>
    <row r="46" spans="1:14" ht="15.75" hidden="1" customHeight="1">
      <c r="A46" s="29">
        <v>13</v>
      </c>
      <c r="B46" s="69" t="s">
        <v>73</v>
      </c>
      <c r="C46" s="70" t="s">
        <v>34</v>
      </c>
      <c r="D46" s="69"/>
      <c r="E46" s="71"/>
      <c r="F46" s="72">
        <v>1.2</v>
      </c>
      <c r="G46" s="72">
        <v>853.06</v>
      </c>
      <c r="H46" s="73">
        <f t="shared" si="3"/>
        <v>1.0236719999999999</v>
      </c>
      <c r="I46" s="13">
        <f>F46/6*G46</f>
        <v>170.61199999999997</v>
      </c>
      <c r="J46" s="23"/>
      <c r="L46" s="19"/>
      <c r="M46" s="20"/>
      <c r="N46" s="21"/>
    </row>
    <row r="47" spans="1:14" ht="15.75" hidden="1" customHeight="1">
      <c r="A47" s="122" t="s">
        <v>153</v>
      </c>
      <c r="B47" s="123"/>
      <c r="C47" s="123"/>
      <c r="D47" s="123"/>
      <c r="E47" s="123"/>
      <c r="F47" s="123"/>
      <c r="G47" s="123"/>
      <c r="H47" s="123"/>
      <c r="I47" s="124"/>
      <c r="J47" s="23"/>
      <c r="L47" s="19"/>
      <c r="M47" s="20"/>
      <c r="N47" s="21"/>
    </row>
    <row r="48" spans="1:14" ht="15.75" hidden="1" customHeight="1">
      <c r="A48" s="29"/>
      <c r="B48" s="69" t="s">
        <v>133</v>
      </c>
      <c r="C48" s="70" t="s">
        <v>126</v>
      </c>
      <c r="D48" s="69" t="s">
        <v>42</v>
      </c>
      <c r="E48" s="71">
        <v>1603.6</v>
      </c>
      <c r="F48" s="72">
        <f>SUM(E48*2/1000)</f>
        <v>3.2071999999999998</v>
      </c>
      <c r="G48" s="13">
        <v>908.11</v>
      </c>
      <c r="H48" s="73">
        <f t="shared" ref="H48:H56" si="4">SUM(F48*G48/1000)</f>
        <v>2.9124903919999996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9" t="s">
        <v>35</v>
      </c>
      <c r="C49" s="70" t="s">
        <v>126</v>
      </c>
      <c r="D49" s="69" t="s">
        <v>42</v>
      </c>
      <c r="E49" s="71">
        <v>65</v>
      </c>
      <c r="F49" s="72">
        <f>SUM(E49*2/1000)</f>
        <v>0.13</v>
      </c>
      <c r="G49" s="13">
        <v>619.46</v>
      </c>
      <c r="H49" s="73">
        <f t="shared" si="4"/>
        <v>8.0529800000000012E-2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9" t="s">
        <v>36</v>
      </c>
      <c r="C50" s="70" t="s">
        <v>126</v>
      </c>
      <c r="D50" s="69" t="s">
        <v>42</v>
      </c>
      <c r="E50" s="71">
        <v>1825.8</v>
      </c>
      <c r="F50" s="72">
        <f>SUM(E50*2/1000)</f>
        <v>3.6515999999999997</v>
      </c>
      <c r="G50" s="13">
        <v>619.46</v>
      </c>
      <c r="H50" s="73">
        <f t="shared" si="4"/>
        <v>2.2620201360000003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69" t="s">
        <v>37</v>
      </c>
      <c r="C51" s="70" t="s">
        <v>126</v>
      </c>
      <c r="D51" s="69" t="s">
        <v>42</v>
      </c>
      <c r="E51" s="71">
        <v>3163.96</v>
      </c>
      <c r="F51" s="72">
        <f>SUM(E51*2/1000)</f>
        <v>6.3279199999999998</v>
      </c>
      <c r="G51" s="13">
        <v>648.64</v>
      </c>
      <c r="H51" s="73">
        <f t="shared" si="4"/>
        <v>4.1045420287999992</v>
      </c>
      <c r="I51" s="13">
        <v>0</v>
      </c>
      <c r="J51" s="23"/>
      <c r="L51" s="19"/>
      <c r="M51" s="20"/>
      <c r="N51" s="21"/>
    </row>
    <row r="52" spans="1:22" ht="15.75" hidden="1" customHeight="1">
      <c r="A52" s="29">
        <v>14</v>
      </c>
      <c r="B52" s="69" t="s">
        <v>58</v>
      </c>
      <c r="C52" s="70" t="s">
        <v>126</v>
      </c>
      <c r="D52" s="69" t="s">
        <v>192</v>
      </c>
      <c r="E52" s="71">
        <v>1583</v>
      </c>
      <c r="F52" s="72">
        <f>SUM(E52*5/1000)</f>
        <v>7.915</v>
      </c>
      <c r="G52" s="13">
        <v>1297.28</v>
      </c>
      <c r="H52" s="73">
        <f t="shared" si="4"/>
        <v>10.2679712</v>
      </c>
      <c r="I52" s="13">
        <f>F52/5*G52</f>
        <v>2053.5942399999999</v>
      </c>
      <c r="J52" s="23"/>
      <c r="L52" s="19"/>
      <c r="M52" s="20"/>
      <c r="N52" s="21"/>
    </row>
    <row r="53" spans="1:22" ht="31.5" hidden="1" customHeight="1">
      <c r="A53" s="29"/>
      <c r="B53" s="69" t="s">
        <v>134</v>
      </c>
      <c r="C53" s="70" t="s">
        <v>126</v>
      </c>
      <c r="D53" s="69" t="s">
        <v>42</v>
      </c>
      <c r="E53" s="71">
        <v>1583</v>
      </c>
      <c r="F53" s="72">
        <f>SUM(E53*2/1000)</f>
        <v>3.1659999999999999</v>
      </c>
      <c r="G53" s="13">
        <v>1297.28</v>
      </c>
      <c r="H53" s="73">
        <f t="shared" si="4"/>
        <v>4.1071884799999996</v>
      </c>
      <c r="I53" s="13">
        <v>0</v>
      </c>
      <c r="J53" s="23"/>
      <c r="L53" s="19"/>
      <c r="M53" s="20"/>
      <c r="N53" s="21"/>
    </row>
    <row r="54" spans="1:22" ht="31.5" hidden="1" customHeight="1">
      <c r="A54" s="29"/>
      <c r="B54" s="69" t="s">
        <v>135</v>
      </c>
      <c r="C54" s="70" t="s">
        <v>38</v>
      </c>
      <c r="D54" s="69" t="s">
        <v>42</v>
      </c>
      <c r="E54" s="71">
        <v>25</v>
      </c>
      <c r="F54" s="72">
        <f>SUM(E54*2/100)</f>
        <v>0.5</v>
      </c>
      <c r="G54" s="13">
        <v>2918.89</v>
      </c>
      <c r="H54" s="73">
        <f t="shared" si="4"/>
        <v>1.4594449999999999</v>
      </c>
      <c r="I54" s="13">
        <v>0</v>
      </c>
      <c r="J54" s="23"/>
      <c r="L54" s="19"/>
      <c r="M54" s="20"/>
      <c r="N54" s="21"/>
    </row>
    <row r="55" spans="1:22" ht="15.75" hidden="1" customHeight="1">
      <c r="A55" s="29"/>
      <c r="B55" s="69" t="s">
        <v>39</v>
      </c>
      <c r="C55" s="70" t="s">
        <v>40</v>
      </c>
      <c r="D55" s="69" t="s">
        <v>42</v>
      </c>
      <c r="E55" s="71">
        <v>1</v>
      </c>
      <c r="F55" s="72">
        <v>0.02</v>
      </c>
      <c r="G55" s="13">
        <v>6042.12</v>
      </c>
      <c r="H55" s="73">
        <f t="shared" si="4"/>
        <v>0.1208424</v>
      </c>
      <c r="I55" s="13">
        <v>0</v>
      </c>
      <c r="J55" s="23"/>
      <c r="L55" s="19"/>
      <c r="M55" s="20"/>
      <c r="N55" s="21"/>
    </row>
    <row r="56" spans="1:22" ht="15.75" hidden="1" customHeight="1">
      <c r="A56" s="29">
        <v>11</v>
      </c>
      <c r="B56" s="69" t="s">
        <v>41</v>
      </c>
      <c r="C56" s="70" t="s">
        <v>31</v>
      </c>
      <c r="D56" s="69" t="s">
        <v>74</v>
      </c>
      <c r="E56" s="71">
        <v>36</v>
      </c>
      <c r="F56" s="72">
        <f>SUM(E56)*3</f>
        <v>108</v>
      </c>
      <c r="G56" s="13">
        <v>70.209999999999994</v>
      </c>
      <c r="H56" s="73">
        <f t="shared" si="4"/>
        <v>7.582679999999999</v>
      </c>
      <c r="I56" s="13">
        <f>E56*G56</f>
        <v>2527.56</v>
      </c>
      <c r="J56" s="23"/>
      <c r="L56" s="19"/>
      <c r="M56" s="20"/>
      <c r="N56" s="21"/>
    </row>
    <row r="57" spans="1:22" ht="15.75" customHeight="1">
      <c r="A57" s="122" t="s">
        <v>195</v>
      </c>
      <c r="B57" s="123"/>
      <c r="C57" s="123"/>
      <c r="D57" s="123"/>
      <c r="E57" s="123"/>
      <c r="F57" s="123"/>
      <c r="G57" s="123"/>
      <c r="H57" s="123"/>
      <c r="I57" s="124"/>
      <c r="J57" s="23"/>
      <c r="L57" s="19"/>
      <c r="M57" s="20"/>
      <c r="N57" s="21"/>
    </row>
    <row r="58" spans="1:22" ht="15.75" hidden="1" customHeight="1">
      <c r="A58" s="29"/>
      <c r="B58" s="90" t="s">
        <v>43</v>
      </c>
      <c r="C58" s="70"/>
      <c r="D58" s="69"/>
      <c r="E58" s="71"/>
      <c r="F58" s="72"/>
      <c r="G58" s="72"/>
      <c r="H58" s="73"/>
      <c r="I58" s="13"/>
      <c r="J58" s="23"/>
      <c r="L58" s="19"/>
      <c r="M58" s="20"/>
      <c r="N58" s="21"/>
    </row>
    <row r="59" spans="1:22" ht="31.5" hidden="1" customHeight="1">
      <c r="A59" s="29">
        <v>16</v>
      </c>
      <c r="B59" s="69" t="s">
        <v>149</v>
      </c>
      <c r="C59" s="70" t="s">
        <v>115</v>
      </c>
      <c r="D59" s="69" t="s">
        <v>75</v>
      </c>
      <c r="E59" s="78">
        <v>3.78</v>
      </c>
      <c r="F59" s="13">
        <f>E59*6/100</f>
        <v>0.2268</v>
      </c>
      <c r="G59" s="72">
        <v>1654.04</v>
      </c>
      <c r="H59" s="73">
        <f>SUM(F59*G59/1000)</f>
        <v>0.37513627199999999</v>
      </c>
      <c r="I59" s="13">
        <f>F59/6*G59</f>
        <v>62.522711999999999</v>
      </c>
      <c r="J59" s="23"/>
      <c r="L59" s="19"/>
      <c r="M59" s="20"/>
      <c r="N59" s="21"/>
    </row>
    <row r="60" spans="1:22" ht="31.5" hidden="1" customHeight="1">
      <c r="A60" s="29">
        <v>17</v>
      </c>
      <c r="B60" s="69" t="s">
        <v>137</v>
      </c>
      <c r="C60" s="70" t="s">
        <v>115</v>
      </c>
      <c r="D60" s="69" t="s">
        <v>75</v>
      </c>
      <c r="E60" s="71">
        <v>185.36</v>
      </c>
      <c r="F60" s="72">
        <f>E60*6/100</f>
        <v>11.121600000000001</v>
      </c>
      <c r="G60" s="79">
        <v>1654.04</v>
      </c>
      <c r="H60" s="73">
        <f>F60*G60/1000</f>
        <v>18.395571264000001</v>
      </c>
      <c r="I60" s="13">
        <f>F60/6*G60</f>
        <v>3065.9285440000003</v>
      </c>
      <c r="J60" s="23"/>
      <c r="L60" s="19"/>
    </row>
    <row r="61" spans="1:22" ht="15.75" hidden="1" customHeight="1">
      <c r="A61" s="29"/>
      <c r="B61" s="80" t="s">
        <v>108</v>
      </c>
      <c r="C61" s="70" t="s">
        <v>109</v>
      </c>
      <c r="D61" s="80" t="s">
        <v>42</v>
      </c>
      <c r="E61" s="81">
        <v>5</v>
      </c>
      <c r="F61" s="82">
        <v>10</v>
      </c>
      <c r="G61" s="79">
        <v>198.25</v>
      </c>
      <c r="H61" s="83">
        <v>0.99099999999999999</v>
      </c>
      <c r="I61" s="13">
        <v>0</v>
      </c>
      <c r="J61" s="23"/>
      <c r="L61" s="19"/>
    </row>
    <row r="62" spans="1:22" ht="15.75" customHeight="1">
      <c r="A62" s="29"/>
      <c r="B62" s="91" t="s">
        <v>44</v>
      </c>
      <c r="C62" s="84"/>
      <c r="D62" s="80"/>
      <c r="E62" s="81"/>
      <c r="F62" s="82"/>
      <c r="G62" s="85"/>
      <c r="H62" s="83"/>
      <c r="I62" s="13"/>
    </row>
    <row r="63" spans="1:22" ht="15.75" hidden="1" customHeight="1">
      <c r="A63" s="29"/>
      <c r="B63" s="80" t="s">
        <v>45</v>
      </c>
      <c r="C63" s="84" t="s">
        <v>53</v>
      </c>
      <c r="D63" s="80" t="s">
        <v>54</v>
      </c>
      <c r="E63" s="81">
        <v>1752</v>
      </c>
      <c r="F63" s="82">
        <f>E63/100</f>
        <v>17.52</v>
      </c>
      <c r="G63" s="72">
        <v>848.37</v>
      </c>
      <c r="H63" s="83">
        <f>G63*F63/1000</f>
        <v>14.8634424</v>
      </c>
      <c r="I63" s="13">
        <v>0</v>
      </c>
    </row>
    <row r="64" spans="1:22" ht="15.75" customHeight="1">
      <c r="A64" s="29">
        <v>11</v>
      </c>
      <c r="B64" s="80" t="s">
        <v>103</v>
      </c>
      <c r="C64" s="84" t="s">
        <v>25</v>
      </c>
      <c r="D64" s="80" t="s">
        <v>160</v>
      </c>
      <c r="E64" s="81">
        <v>352</v>
      </c>
      <c r="F64" s="82">
        <f>E64*12</f>
        <v>4224</v>
      </c>
      <c r="G64" s="72">
        <v>2.6</v>
      </c>
      <c r="H64" s="83">
        <f>G64*F64/1000</f>
        <v>10.9824</v>
      </c>
      <c r="I64" s="13">
        <f>F64/12*G64</f>
        <v>915.2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29"/>
      <c r="B65" s="91" t="s">
        <v>46</v>
      </c>
      <c r="C65" s="84"/>
      <c r="D65" s="80"/>
      <c r="E65" s="81"/>
      <c r="F65" s="82"/>
      <c r="G65" s="92"/>
      <c r="H65" s="83" t="s">
        <v>143</v>
      </c>
      <c r="I65" s="13"/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29">
        <v>12</v>
      </c>
      <c r="B66" s="14" t="s">
        <v>47</v>
      </c>
      <c r="C66" s="16" t="s">
        <v>136</v>
      </c>
      <c r="D66" s="14" t="s">
        <v>69</v>
      </c>
      <c r="E66" s="18">
        <v>10</v>
      </c>
      <c r="F66" s="72">
        <v>10</v>
      </c>
      <c r="G66" s="13">
        <v>237.74</v>
      </c>
      <c r="H66" s="66">
        <f t="shared" ref="H66:H80" si="5">SUM(F66*G66/1000)</f>
        <v>2.3774000000000002</v>
      </c>
      <c r="I66" s="13">
        <f>G66*2</f>
        <v>475.48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48</v>
      </c>
      <c r="C67" s="16" t="s">
        <v>136</v>
      </c>
      <c r="D67" s="14" t="s">
        <v>69</v>
      </c>
      <c r="E67" s="18">
        <v>5</v>
      </c>
      <c r="F67" s="72">
        <v>5</v>
      </c>
      <c r="G67" s="13">
        <v>81.510000000000005</v>
      </c>
      <c r="H67" s="66">
        <f t="shared" si="5"/>
        <v>0.40755000000000002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10"/>
      <c r="S67" s="110"/>
      <c r="T67" s="110"/>
      <c r="U67" s="110"/>
    </row>
    <row r="68" spans="1:21" ht="15.75" hidden="1" customHeight="1">
      <c r="A68" s="29"/>
      <c r="B68" s="14" t="s">
        <v>49</v>
      </c>
      <c r="C68" s="16" t="s">
        <v>138</v>
      </c>
      <c r="D68" s="14" t="s">
        <v>54</v>
      </c>
      <c r="E68" s="71">
        <v>23808</v>
      </c>
      <c r="F68" s="13">
        <f>SUM(E68/100)</f>
        <v>238.08</v>
      </c>
      <c r="G68" s="13">
        <v>226.79</v>
      </c>
      <c r="H68" s="66">
        <f t="shared" si="5"/>
        <v>53.994163200000003</v>
      </c>
      <c r="I68" s="13">
        <f>F68*G68</f>
        <v>53994.163200000003</v>
      </c>
    </row>
    <row r="69" spans="1:21" ht="15.75" hidden="1" customHeight="1">
      <c r="A69" s="29"/>
      <c r="B69" s="14" t="s">
        <v>50</v>
      </c>
      <c r="C69" s="16" t="s">
        <v>139</v>
      </c>
      <c r="D69" s="14"/>
      <c r="E69" s="71">
        <v>23808</v>
      </c>
      <c r="F69" s="13">
        <f>SUM(E69/1000)</f>
        <v>23.808</v>
      </c>
      <c r="G69" s="13">
        <v>176.61</v>
      </c>
      <c r="H69" s="66">
        <f t="shared" si="5"/>
        <v>4.2047308800000005</v>
      </c>
      <c r="I69" s="13">
        <f t="shared" ref="I69:I73" si="6">F69*G69</f>
        <v>4204.7308800000001</v>
      </c>
    </row>
    <row r="70" spans="1:21" ht="15.75" hidden="1" customHeight="1">
      <c r="A70" s="29"/>
      <c r="B70" s="14" t="s">
        <v>51</v>
      </c>
      <c r="C70" s="16" t="s">
        <v>80</v>
      </c>
      <c r="D70" s="14" t="s">
        <v>54</v>
      </c>
      <c r="E70" s="71">
        <v>3810</v>
      </c>
      <c r="F70" s="13">
        <f>SUM(E70/100)</f>
        <v>38.1</v>
      </c>
      <c r="G70" s="13">
        <v>2217.7800000000002</v>
      </c>
      <c r="H70" s="66">
        <f t="shared" si="5"/>
        <v>84.49741800000001</v>
      </c>
      <c r="I70" s="13">
        <f t="shared" si="6"/>
        <v>84497.418000000005</v>
      </c>
    </row>
    <row r="71" spans="1:21" ht="15.75" hidden="1" customHeight="1">
      <c r="A71" s="29"/>
      <c r="B71" s="86" t="s">
        <v>140</v>
      </c>
      <c r="C71" s="16" t="s">
        <v>34</v>
      </c>
      <c r="D71" s="14"/>
      <c r="E71" s="71">
        <v>23.4</v>
      </c>
      <c r="F71" s="13">
        <f>SUM(E71)</f>
        <v>23.4</v>
      </c>
      <c r="G71" s="13">
        <v>42.67</v>
      </c>
      <c r="H71" s="66">
        <f t="shared" si="5"/>
        <v>0.99847799999999998</v>
      </c>
      <c r="I71" s="13">
        <f t="shared" si="6"/>
        <v>998.47799999999995</v>
      </c>
    </row>
    <row r="72" spans="1:21" ht="15.75" hidden="1" customHeight="1">
      <c r="A72" s="29"/>
      <c r="B72" s="86" t="s">
        <v>150</v>
      </c>
      <c r="C72" s="16" t="s">
        <v>34</v>
      </c>
      <c r="D72" s="14"/>
      <c r="E72" s="71">
        <v>23.4</v>
      </c>
      <c r="F72" s="13">
        <f>SUM(E72)</f>
        <v>23.4</v>
      </c>
      <c r="G72" s="13">
        <v>39.81</v>
      </c>
      <c r="H72" s="66">
        <f t="shared" si="5"/>
        <v>0.93155399999999999</v>
      </c>
      <c r="I72" s="13">
        <f t="shared" si="6"/>
        <v>931.55399999999997</v>
      </c>
    </row>
    <row r="73" spans="1:21" ht="15.75" hidden="1" customHeight="1">
      <c r="A73" s="29"/>
      <c r="B73" s="14" t="s">
        <v>59</v>
      </c>
      <c r="C73" s="16" t="s">
        <v>60</v>
      </c>
      <c r="D73" s="14" t="s">
        <v>54</v>
      </c>
      <c r="E73" s="18">
        <v>5</v>
      </c>
      <c r="F73" s="72">
        <f>SUM(E73)</f>
        <v>5</v>
      </c>
      <c r="G73" s="13">
        <v>53.32</v>
      </c>
      <c r="H73" s="66">
        <f t="shared" si="5"/>
        <v>0.2666</v>
      </c>
      <c r="I73" s="13">
        <f t="shared" si="6"/>
        <v>266.60000000000002</v>
      </c>
    </row>
    <row r="74" spans="1:21" ht="15.75" customHeight="1">
      <c r="A74" s="29">
        <v>13</v>
      </c>
      <c r="B74" s="14" t="s">
        <v>151</v>
      </c>
      <c r="C74" s="16" t="s">
        <v>60</v>
      </c>
      <c r="D74" s="14" t="s">
        <v>30</v>
      </c>
      <c r="E74" s="18">
        <v>1</v>
      </c>
      <c r="F74" s="59">
        <v>12</v>
      </c>
      <c r="G74" s="13">
        <v>711</v>
      </c>
      <c r="H74" s="66">
        <v>8.5310000000000006</v>
      </c>
      <c r="I74" s="13">
        <f>F74/12*G74</f>
        <v>711</v>
      </c>
    </row>
    <row r="75" spans="1:21" ht="15.75" hidden="1" customHeight="1">
      <c r="A75" s="29"/>
      <c r="B75" s="54" t="s">
        <v>76</v>
      </c>
      <c r="C75" s="16"/>
      <c r="D75" s="14"/>
      <c r="E75" s="18"/>
      <c r="F75" s="13"/>
      <c r="G75" s="13"/>
      <c r="H75" s="66" t="s">
        <v>143</v>
      </c>
      <c r="I75" s="13"/>
    </row>
    <row r="76" spans="1:21" ht="15.75" hidden="1" customHeight="1">
      <c r="A76" s="29">
        <v>15</v>
      </c>
      <c r="B76" s="14" t="s">
        <v>77</v>
      </c>
      <c r="C76" s="16" t="s">
        <v>32</v>
      </c>
      <c r="D76" s="14" t="s">
        <v>69</v>
      </c>
      <c r="E76" s="18">
        <v>2</v>
      </c>
      <c r="F76" s="59">
        <v>0.2</v>
      </c>
      <c r="G76" s="13">
        <v>536.23</v>
      </c>
      <c r="H76" s="66">
        <v>0.107</v>
      </c>
      <c r="I76" s="13">
        <f>G76*0.1</f>
        <v>53.623000000000005</v>
      </c>
    </row>
    <row r="77" spans="1:21" ht="15.75" hidden="1" customHeight="1">
      <c r="A77" s="29"/>
      <c r="B77" s="14" t="s">
        <v>94</v>
      </c>
      <c r="C77" s="16" t="s">
        <v>31</v>
      </c>
      <c r="D77" s="14"/>
      <c r="E77" s="18">
        <v>1</v>
      </c>
      <c r="F77" s="72">
        <f>SUM(E77)</f>
        <v>1</v>
      </c>
      <c r="G77" s="13">
        <v>383.25</v>
      </c>
      <c r="H77" s="66">
        <f t="shared" si="5"/>
        <v>0.38324999999999998</v>
      </c>
      <c r="I77" s="13">
        <v>0</v>
      </c>
    </row>
    <row r="78" spans="1:21" ht="15.75" hidden="1" customHeight="1">
      <c r="A78" s="29"/>
      <c r="B78" s="14" t="s">
        <v>78</v>
      </c>
      <c r="C78" s="16" t="s">
        <v>31</v>
      </c>
      <c r="D78" s="14"/>
      <c r="E78" s="18">
        <v>1</v>
      </c>
      <c r="F78" s="13">
        <v>1</v>
      </c>
      <c r="G78" s="13">
        <v>911.85</v>
      </c>
      <c r="H78" s="66">
        <f>F78*G78/1000</f>
        <v>0.91185000000000005</v>
      </c>
      <c r="I78" s="13">
        <v>0</v>
      </c>
    </row>
    <row r="79" spans="1:21" ht="15.75" hidden="1" customHeight="1">
      <c r="A79" s="29"/>
      <c r="B79" s="87" t="s">
        <v>79</v>
      </c>
      <c r="C79" s="16"/>
      <c r="D79" s="14"/>
      <c r="E79" s="18"/>
      <c r="F79" s="13"/>
      <c r="G79" s="13" t="s">
        <v>143</v>
      </c>
      <c r="H79" s="66" t="s">
        <v>143</v>
      </c>
      <c r="I79" s="13"/>
    </row>
    <row r="80" spans="1:21" ht="15.75" hidden="1" customHeight="1">
      <c r="A80" s="29"/>
      <c r="B80" s="42" t="s">
        <v>144</v>
      </c>
      <c r="C80" s="16" t="s">
        <v>80</v>
      </c>
      <c r="D80" s="14"/>
      <c r="E80" s="18"/>
      <c r="F80" s="13">
        <v>0.6</v>
      </c>
      <c r="G80" s="13">
        <v>2949.85</v>
      </c>
      <c r="H80" s="66">
        <f t="shared" si="5"/>
        <v>1.7699099999999999</v>
      </c>
      <c r="I80" s="13">
        <v>0</v>
      </c>
      <c r="J80" s="5"/>
      <c r="K80" s="5"/>
      <c r="L80" s="5"/>
      <c r="M80" s="5"/>
      <c r="N80" s="5"/>
      <c r="O80" s="5"/>
      <c r="P80" s="5"/>
      <c r="Q80" s="5"/>
      <c r="R80" s="53"/>
      <c r="S80" s="53"/>
      <c r="T80" s="53"/>
      <c r="U80" s="53"/>
    </row>
    <row r="81" spans="1:21" ht="15.75" hidden="1" customHeight="1">
      <c r="A81" s="43"/>
      <c r="B81" s="54" t="s">
        <v>141</v>
      </c>
      <c r="C81" s="54"/>
      <c r="D81" s="54"/>
      <c r="E81" s="54"/>
      <c r="F81" s="54"/>
      <c r="G81" s="54"/>
      <c r="H81" s="54"/>
      <c r="I81" s="18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29"/>
      <c r="B82" s="69" t="s">
        <v>142</v>
      </c>
      <c r="C82" s="16"/>
      <c r="D82" s="14"/>
      <c r="E82" s="60"/>
      <c r="F82" s="13">
        <v>1</v>
      </c>
      <c r="G82" s="13">
        <v>21062.799999999999</v>
      </c>
      <c r="H82" s="66">
        <f>G82*F82/1000</f>
        <v>21.062799999999999</v>
      </c>
      <c r="I82" s="13">
        <v>0</v>
      </c>
      <c r="J82" s="5"/>
      <c r="K82" s="5"/>
      <c r="L82" s="5"/>
      <c r="M82" s="5"/>
      <c r="N82" s="5"/>
      <c r="O82" s="5"/>
      <c r="P82" s="5"/>
      <c r="Q82" s="5"/>
      <c r="R82" s="53"/>
      <c r="S82" s="53"/>
      <c r="T82" s="53"/>
      <c r="U82" s="53"/>
    </row>
    <row r="83" spans="1:21" ht="15.75" customHeight="1">
      <c r="A83" s="111" t="s">
        <v>196</v>
      </c>
      <c r="B83" s="112"/>
      <c r="C83" s="112"/>
      <c r="D83" s="112"/>
      <c r="E83" s="112"/>
      <c r="F83" s="112"/>
      <c r="G83" s="112"/>
      <c r="H83" s="112"/>
      <c r="I83" s="113"/>
    </row>
    <row r="84" spans="1:21" ht="15.75" customHeight="1">
      <c r="A84" s="29">
        <v>14</v>
      </c>
      <c r="B84" s="69" t="s">
        <v>145</v>
      </c>
      <c r="C84" s="16" t="s">
        <v>56</v>
      </c>
      <c r="D84" s="88" t="s">
        <v>57</v>
      </c>
      <c r="E84" s="13">
        <v>5816.5</v>
      </c>
      <c r="F84" s="13">
        <f>SUM(E84*12)</f>
        <v>69798</v>
      </c>
      <c r="G84" s="13">
        <v>2.54</v>
      </c>
      <c r="H84" s="66">
        <f>SUM(F84*G84/1000)</f>
        <v>177.28692000000001</v>
      </c>
      <c r="I84" s="13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53"/>
      <c r="S84" s="53"/>
      <c r="T84" s="53"/>
      <c r="U84" s="53"/>
    </row>
    <row r="85" spans="1:21" ht="31.5" customHeight="1">
      <c r="A85" s="29">
        <v>15</v>
      </c>
      <c r="B85" s="14" t="s">
        <v>81</v>
      </c>
      <c r="C85" s="16"/>
      <c r="D85" s="88" t="s">
        <v>57</v>
      </c>
      <c r="E85" s="71">
        <f>E84</f>
        <v>5816.5</v>
      </c>
      <c r="F85" s="13">
        <f>E85*12</f>
        <v>69798</v>
      </c>
      <c r="G85" s="13">
        <v>2.0499999999999998</v>
      </c>
      <c r="H85" s="66">
        <f>F85*G85/1000</f>
        <v>143.08589999999998</v>
      </c>
      <c r="I85" s="13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53"/>
      <c r="S85" s="53"/>
      <c r="T85" s="53"/>
      <c r="U85" s="53"/>
    </row>
    <row r="86" spans="1:21" ht="15.75" customHeight="1">
      <c r="A86" s="43"/>
      <c r="B86" s="34" t="s">
        <v>84</v>
      </c>
      <c r="C86" s="35"/>
      <c r="D86" s="15"/>
      <c r="E86" s="15"/>
      <c r="F86" s="15"/>
      <c r="G86" s="18"/>
      <c r="H86" s="18"/>
      <c r="I86" s="31">
        <f>I16+I17+I18+I20+I27+I28+I31+I32+I34+I35+I64+I66+I74+I84+I85</f>
        <v>86569.779452399991</v>
      </c>
    </row>
    <row r="87" spans="1:21" ht="15.75" customHeight="1">
      <c r="A87" s="125" t="s">
        <v>62</v>
      </c>
      <c r="B87" s="126"/>
      <c r="C87" s="126"/>
      <c r="D87" s="126"/>
      <c r="E87" s="126"/>
      <c r="F87" s="126"/>
      <c r="G87" s="126"/>
      <c r="H87" s="126"/>
      <c r="I87" s="127"/>
    </row>
    <row r="88" spans="1:21" ht="15.75" hidden="1" customHeight="1">
      <c r="A88" s="94"/>
      <c r="B88" s="95"/>
      <c r="C88" s="95"/>
      <c r="D88" s="95"/>
      <c r="E88" s="95"/>
      <c r="F88" s="95"/>
      <c r="G88" s="95"/>
      <c r="H88" s="95"/>
      <c r="I88" s="96"/>
    </row>
    <row r="89" spans="1:21" ht="15.75" customHeight="1">
      <c r="A89" s="29">
        <v>16</v>
      </c>
      <c r="B89" s="46" t="s">
        <v>86</v>
      </c>
      <c r="C89" s="65" t="s">
        <v>136</v>
      </c>
      <c r="D89" s="42"/>
      <c r="E89" s="13"/>
      <c r="F89" s="13">
        <v>26</v>
      </c>
      <c r="G89" s="13">
        <v>189.88</v>
      </c>
      <c r="H89" s="66">
        <f t="shared" ref="H89" si="7">G89*F89/1000</f>
        <v>4.9368800000000004</v>
      </c>
      <c r="I89" s="13">
        <f>G89*2</f>
        <v>379.76</v>
      </c>
    </row>
    <row r="90" spans="1:21" ht="15.75" customHeight="1">
      <c r="A90" s="29">
        <v>17</v>
      </c>
      <c r="B90" s="67" t="s">
        <v>212</v>
      </c>
      <c r="C90" s="68" t="s">
        <v>98</v>
      </c>
      <c r="D90" s="42"/>
      <c r="E90" s="13"/>
      <c r="F90" s="13">
        <f>92/3</f>
        <v>30.666666666666668</v>
      </c>
      <c r="G90" s="13">
        <v>1120.8900000000001</v>
      </c>
      <c r="H90" s="66">
        <f>G90*F90/1000</f>
        <v>34.373960000000004</v>
      </c>
      <c r="I90" s="13">
        <f>G90</f>
        <v>1120.8900000000001</v>
      </c>
    </row>
    <row r="91" spans="1:21" ht="15.75" customHeight="1">
      <c r="A91" s="29">
        <v>18</v>
      </c>
      <c r="B91" s="46" t="s">
        <v>162</v>
      </c>
      <c r="C91" s="65" t="s">
        <v>88</v>
      </c>
      <c r="D91" s="42"/>
      <c r="E91" s="13"/>
      <c r="F91" s="13">
        <v>10</v>
      </c>
      <c r="G91" s="13">
        <v>195.85</v>
      </c>
      <c r="H91" s="66">
        <f>G91*F91/1000</f>
        <v>1.9584999999999999</v>
      </c>
      <c r="I91" s="13">
        <f>G91</f>
        <v>195.85</v>
      </c>
      <c r="J91" s="5"/>
      <c r="K91" s="5"/>
      <c r="L91" s="5"/>
      <c r="M91" s="5"/>
      <c r="N91" s="5"/>
      <c r="O91" s="5"/>
      <c r="P91" s="5"/>
      <c r="Q91" s="5"/>
      <c r="R91" s="53"/>
      <c r="S91" s="53"/>
      <c r="T91" s="53"/>
      <c r="U91" s="53"/>
    </row>
    <row r="92" spans="1:21" ht="31.5" customHeight="1">
      <c r="A92" s="29">
        <v>19</v>
      </c>
      <c r="B92" s="48" t="s">
        <v>216</v>
      </c>
      <c r="C92" s="106" t="s">
        <v>99</v>
      </c>
      <c r="D92" s="107"/>
      <c r="E92" s="33"/>
      <c r="F92" s="33">
        <v>54</v>
      </c>
      <c r="G92" s="33">
        <v>1046.06</v>
      </c>
      <c r="H92" s="97">
        <f t="shared" ref="H92:H97" si="8">G92*F92/1000</f>
        <v>56.48724</v>
      </c>
      <c r="I92" s="13">
        <f>G92*5</f>
        <v>5230.2999999999993</v>
      </c>
      <c r="J92" s="5"/>
      <c r="K92" s="5"/>
      <c r="L92" s="5"/>
      <c r="M92" s="5"/>
      <c r="N92" s="5"/>
      <c r="O92" s="5"/>
      <c r="P92" s="5"/>
      <c r="Q92" s="5"/>
      <c r="R92" s="53"/>
      <c r="S92" s="53"/>
      <c r="T92" s="53"/>
      <c r="U92" s="53"/>
    </row>
    <row r="93" spans="1:21" ht="15.75" customHeight="1">
      <c r="A93" s="29">
        <v>20</v>
      </c>
      <c r="B93" s="46" t="s">
        <v>179</v>
      </c>
      <c r="C93" s="65" t="s">
        <v>136</v>
      </c>
      <c r="D93" s="107"/>
      <c r="E93" s="33"/>
      <c r="F93" s="33">
        <v>3</v>
      </c>
      <c r="G93" s="33">
        <v>118</v>
      </c>
      <c r="H93" s="97">
        <f t="shared" si="8"/>
        <v>0.35399999999999998</v>
      </c>
      <c r="I93" s="13">
        <f>G93</f>
        <v>118</v>
      </c>
      <c r="J93" s="5"/>
      <c r="K93" s="5"/>
      <c r="L93" s="5"/>
      <c r="M93" s="5"/>
      <c r="N93" s="5"/>
      <c r="O93" s="5"/>
      <c r="P93" s="5"/>
      <c r="Q93" s="5"/>
      <c r="R93" s="53"/>
      <c r="S93" s="53"/>
      <c r="T93" s="53"/>
      <c r="U93" s="53"/>
    </row>
    <row r="94" spans="1:21" ht="15.75" customHeight="1">
      <c r="A94" s="29">
        <v>21</v>
      </c>
      <c r="B94" s="46" t="s">
        <v>218</v>
      </c>
      <c r="C94" s="65" t="s">
        <v>136</v>
      </c>
      <c r="D94" s="108"/>
      <c r="E94" s="17"/>
      <c r="F94" s="33">
        <v>15</v>
      </c>
      <c r="G94" s="33">
        <v>140</v>
      </c>
      <c r="H94" s="97">
        <f t="shared" si="8"/>
        <v>2.1</v>
      </c>
      <c r="I94" s="13">
        <f>G94*2</f>
        <v>280</v>
      </c>
      <c r="J94" s="5"/>
      <c r="K94" s="5"/>
      <c r="L94" s="5"/>
      <c r="M94" s="5"/>
      <c r="N94" s="5"/>
      <c r="O94" s="5"/>
      <c r="P94" s="5"/>
      <c r="Q94" s="5"/>
      <c r="R94" s="53"/>
      <c r="S94" s="53"/>
      <c r="T94" s="53"/>
      <c r="U94" s="53"/>
    </row>
    <row r="95" spans="1:21" ht="15.75" customHeight="1">
      <c r="A95" s="29">
        <v>22</v>
      </c>
      <c r="B95" s="46" t="s">
        <v>219</v>
      </c>
      <c r="C95" s="65" t="s">
        <v>136</v>
      </c>
      <c r="D95" s="107"/>
      <c r="E95" s="33"/>
      <c r="F95" s="33">
        <v>6</v>
      </c>
      <c r="G95" s="33">
        <v>63</v>
      </c>
      <c r="H95" s="97">
        <f t="shared" si="8"/>
        <v>0.378</v>
      </c>
      <c r="I95" s="13">
        <f>G95</f>
        <v>63</v>
      </c>
      <c r="J95" s="5"/>
      <c r="K95" s="5"/>
      <c r="L95" s="5"/>
      <c r="M95" s="5"/>
      <c r="N95" s="5"/>
      <c r="O95" s="5"/>
      <c r="P95" s="5"/>
      <c r="Q95" s="5"/>
      <c r="R95" s="53"/>
      <c r="S95" s="53"/>
      <c r="T95" s="53"/>
      <c r="U95" s="53"/>
    </row>
    <row r="96" spans="1:21" ht="15.75" customHeight="1">
      <c r="A96" s="29">
        <v>23</v>
      </c>
      <c r="B96" s="46" t="s">
        <v>224</v>
      </c>
      <c r="C96" s="65" t="s">
        <v>136</v>
      </c>
      <c r="D96" s="107"/>
      <c r="E96" s="33"/>
      <c r="F96" s="33">
        <v>5</v>
      </c>
      <c r="G96" s="33">
        <v>40</v>
      </c>
      <c r="H96" s="97">
        <f t="shared" si="8"/>
        <v>0.2</v>
      </c>
      <c r="I96" s="13">
        <f>G96*2</f>
        <v>80</v>
      </c>
      <c r="J96" s="5"/>
      <c r="K96" s="5"/>
      <c r="L96" s="5"/>
      <c r="M96" s="5"/>
      <c r="N96" s="5"/>
      <c r="O96" s="5"/>
      <c r="P96" s="5"/>
      <c r="Q96" s="5"/>
      <c r="R96" s="53"/>
      <c r="S96" s="53"/>
      <c r="T96" s="53"/>
      <c r="U96" s="53"/>
    </row>
    <row r="97" spans="1:21" ht="15.75" customHeight="1">
      <c r="A97" s="29">
        <v>24</v>
      </c>
      <c r="B97" s="46" t="s">
        <v>225</v>
      </c>
      <c r="C97" s="65" t="s">
        <v>136</v>
      </c>
      <c r="D97" s="107"/>
      <c r="E97" s="33"/>
      <c r="F97" s="33">
        <v>7</v>
      </c>
      <c r="G97" s="33">
        <v>112</v>
      </c>
      <c r="H97" s="97">
        <f t="shared" si="8"/>
        <v>0.78400000000000003</v>
      </c>
      <c r="I97" s="13">
        <f>G97*2</f>
        <v>224</v>
      </c>
      <c r="J97" s="5"/>
      <c r="K97" s="5"/>
      <c r="L97" s="5"/>
      <c r="M97" s="5"/>
      <c r="N97" s="5"/>
      <c r="O97" s="5"/>
      <c r="P97" s="5"/>
      <c r="Q97" s="5"/>
      <c r="R97" s="53"/>
      <c r="S97" s="53"/>
      <c r="T97" s="53"/>
      <c r="U97" s="53"/>
    </row>
    <row r="98" spans="1:21" ht="31.5" customHeight="1">
      <c r="A98" s="29">
        <v>25</v>
      </c>
      <c r="B98" s="46" t="s">
        <v>167</v>
      </c>
      <c r="C98" s="65" t="s">
        <v>38</v>
      </c>
      <c r="D98" s="98"/>
      <c r="E98" s="33"/>
      <c r="F98" s="33">
        <v>7.0000000000000007E-2</v>
      </c>
      <c r="G98" s="33">
        <v>3581.13</v>
      </c>
      <c r="H98" s="97">
        <f>G98*F98/1000</f>
        <v>0.25067910000000004</v>
      </c>
      <c r="I98" s="13">
        <f>G98*0.02</f>
        <v>71.622600000000006</v>
      </c>
      <c r="J98" s="5"/>
      <c r="K98" s="5"/>
      <c r="L98" s="5"/>
      <c r="M98" s="5"/>
      <c r="N98" s="5"/>
      <c r="O98" s="5"/>
      <c r="P98" s="5"/>
      <c r="Q98" s="5"/>
      <c r="R98" s="53"/>
      <c r="S98" s="53"/>
      <c r="T98" s="53"/>
      <c r="U98" s="53"/>
    </row>
    <row r="99" spans="1:21" ht="31.5" customHeight="1">
      <c r="A99" s="29">
        <v>26</v>
      </c>
      <c r="B99" s="48" t="s">
        <v>177</v>
      </c>
      <c r="C99" s="106" t="s">
        <v>99</v>
      </c>
      <c r="D99" s="107"/>
      <c r="E99" s="33"/>
      <c r="F99" s="33">
        <v>1</v>
      </c>
      <c r="G99" s="33">
        <v>832.06</v>
      </c>
      <c r="H99" s="97">
        <f t="shared" ref="H99" si="9">G99*F99/1000</f>
        <v>0.83205999999999991</v>
      </c>
      <c r="I99" s="13">
        <f>G99</f>
        <v>832.06</v>
      </c>
      <c r="J99" s="5"/>
      <c r="K99" s="5"/>
      <c r="L99" s="5"/>
      <c r="M99" s="5"/>
      <c r="N99" s="5"/>
      <c r="O99" s="5"/>
      <c r="P99" s="5"/>
      <c r="Q99" s="5"/>
      <c r="R99" s="53"/>
      <c r="S99" s="53"/>
      <c r="T99" s="53"/>
      <c r="U99" s="53"/>
    </row>
    <row r="100" spans="1:21" ht="15.75" customHeight="1">
      <c r="A100" s="29">
        <v>27</v>
      </c>
      <c r="B100" s="48" t="s">
        <v>249</v>
      </c>
      <c r="C100" s="106" t="s">
        <v>136</v>
      </c>
      <c r="D100" s="42"/>
      <c r="E100" s="33"/>
      <c r="F100" s="33">
        <v>1</v>
      </c>
      <c r="G100" s="33">
        <v>108</v>
      </c>
      <c r="H100" s="97">
        <f>G100*F100/1000</f>
        <v>0.108</v>
      </c>
      <c r="I100" s="13">
        <f>G100</f>
        <v>108</v>
      </c>
      <c r="J100" s="5"/>
      <c r="K100" s="5"/>
      <c r="L100" s="5"/>
      <c r="M100" s="5"/>
      <c r="N100" s="5"/>
      <c r="O100" s="5"/>
      <c r="P100" s="5"/>
      <c r="Q100" s="5"/>
      <c r="R100" s="53"/>
      <c r="S100" s="53"/>
      <c r="T100" s="53"/>
      <c r="U100" s="53"/>
    </row>
    <row r="101" spans="1:21" ht="31.5" customHeight="1">
      <c r="A101" s="29">
        <v>28</v>
      </c>
      <c r="B101" s="46" t="s">
        <v>250</v>
      </c>
      <c r="C101" s="65" t="s">
        <v>105</v>
      </c>
      <c r="D101" s="42"/>
      <c r="E101" s="13"/>
      <c r="F101" s="13">
        <f>20/10</f>
        <v>2</v>
      </c>
      <c r="G101" s="13">
        <v>2064.25</v>
      </c>
      <c r="H101" s="66">
        <f t="shared" ref="H101:H102" si="10">G101*F101/1000</f>
        <v>4.1284999999999998</v>
      </c>
      <c r="I101" s="13">
        <f>G101*2</f>
        <v>4128.5</v>
      </c>
      <c r="J101" s="5"/>
      <c r="K101" s="5"/>
      <c r="L101" s="5"/>
      <c r="M101" s="5"/>
      <c r="N101" s="5"/>
      <c r="O101" s="5"/>
      <c r="P101" s="5"/>
      <c r="Q101" s="5"/>
      <c r="R101" s="93"/>
      <c r="S101" s="93"/>
      <c r="T101" s="93"/>
      <c r="U101" s="93"/>
    </row>
    <row r="102" spans="1:21" ht="15.75" customHeight="1">
      <c r="A102" s="29">
        <v>29</v>
      </c>
      <c r="B102" s="46" t="s">
        <v>251</v>
      </c>
      <c r="C102" s="65" t="s">
        <v>136</v>
      </c>
      <c r="D102" s="42"/>
      <c r="E102" s="13"/>
      <c r="F102" s="13">
        <v>1</v>
      </c>
      <c r="G102" s="13">
        <v>3575.4</v>
      </c>
      <c r="H102" s="66">
        <f t="shared" si="10"/>
        <v>3.5754000000000001</v>
      </c>
      <c r="I102" s="13">
        <f>G102</f>
        <v>3575.4</v>
      </c>
      <c r="J102" s="5"/>
      <c r="K102" s="5"/>
      <c r="L102" s="5"/>
      <c r="M102" s="5"/>
      <c r="N102" s="5"/>
      <c r="O102" s="5"/>
      <c r="P102" s="5"/>
      <c r="Q102" s="5"/>
      <c r="R102" s="93"/>
      <c r="S102" s="93"/>
      <c r="T102" s="93"/>
      <c r="U102" s="93"/>
    </row>
    <row r="103" spans="1:21" ht="15.75" customHeight="1">
      <c r="A103" s="29"/>
      <c r="B103" s="40" t="s">
        <v>52</v>
      </c>
      <c r="C103" s="36"/>
      <c r="D103" s="44"/>
      <c r="E103" s="36">
        <v>1</v>
      </c>
      <c r="F103" s="36"/>
      <c r="G103" s="36"/>
      <c r="H103" s="36"/>
      <c r="I103" s="31">
        <f>SUM(I89:I102)</f>
        <v>16407.382600000001</v>
      </c>
    </row>
    <row r="104" spans="1:21" ht="15.75" customHeight="1">
      <c r="A104" s="29"/>
      <c r="B104" s="42" t="s">
        <v>82</v>
      </c>
      <c r="C104" s="15"/>
      <c r="D104" s="15"/>
      <c r="E104" s="37"/>
      <c r="F104" s="37"/>
      <c r="G104" s="38"/>
      <c r="H104" s="38"/>
      <c r="I104" s="17">
        <v>0</v>
      </c>
    </row>
    <row r="105" spans="1:21" ht="15.75" customHeight="1">
      <c r="A105" s="45"/>
      <c r="B105" s="41" t="s">
        <v>210</v>
      </c>
      <c r="C105" s="32"/>
      <c r="D105" s="32"/>
      <c r="E105" s="32"/>
      <c r="F105" s="32"/>
      <c r="G105" s="32"/>
      <c r="H105" s="32"/>
      <c r="I105" s="39">
        <f>I86+I103</f>
        <v>102977.16205239999</v>
      </c>
    </row>
    <row r="106" spans="1:21" ht="15.75" customHeight="1">
      <c r="A106" s="128" t="s">
        <v>252</v>
      </c>
      <c r="B106" s="128"/>
      <c r="C106" s="128"/>
      <c r="D106" s="128"/>
      <c r="E106" s="128"/>
      <c r="F106" s="128"/>
      <c r="G106" s="128"/>
      <c r="H106" s="128"/>
      <c r="I106" s="128"/>
    </row>
    <row r="107" spans="1:21" ht="15.75" customHeight="1">
      <c r="A107" s="57"/>
      <c r="B107" s="129" t="s">
        <v>253</v>
      </c>
      <c r="C107" s="129"/>
      <c r="D107" s="129"/>
      <c r="E107" s="129"/>
      <c r="F107" s="129"/>
      <c r="G107" s="129"/>
      <c r="H107" s="63"/>
      <c r="I107" s="3"/>
    </row>
    <row r="108" spans="1:21" ht="15.75" customHeight="1">
      <c r="A108" s="53"/>
      <c r="B108" s="130" t="s">
        <v>6</v>
      </c>
      <c r="C108" s="130"/>
      <c r="D108" s="130"/>
      <c r="E108" s="130"/>
      <c r="F108" s="130"/>
      <c r="G108" s="130"/>
      <c r="H108" s="24"/>
      <c r="I108" s="5"/>
    </row>
    <row r="109" spans="1:21" ht="15.75" customHeight="1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21" ht="15.75" customHeight="1">
      <c r="A110" s="131" t="s">
        <v>7</v>
      </c>
      <c r="B110" s="131"/>
      <c r="C110" s="131"/>
      <c r="D110" s="131"/>
      <c r="E110" s="131"/>
      <c r="F110" s="131"/>
      <c r="G110" s="131"/>
      <c r="H110" s="131"/>
      <c r="I110" s="131"/>
    </row>
    <row r="111" spans="1:21" ht="15.75" customHeight="1">
      <c r="A111" s="131" t="s">
        <v>8</v>
      </c>
      <c r="B111" s="131"/>
      <c r="C111" s="131"/>
      <c r="D111" s="131"/>
      <c r="E111" s="131"/>
      <c r="F111" s="131"/>
      <c r="G111" s="131"/>
      <c r="H111" s="131"/>
      <c r="I111" s="131"/>
    </row>
    <row r="112" spans="1:21" ht="15.75" customHeight="1">
      <c r="A112" s="120" t="s">
        <v>63</v>
      </c>
      <c r="B112" s="120"/>
      <c r="C112" s="120"/>
      <c r="D112" s="120"/>
      <c r="E112" s="120"/>
      <c r="F112" s="120"/>
      <c r="G112" s="120"/>
      <c r="H112" s="120"/>
      <c r="I112" s="120"/>
    </row>
    <row r="113" spans="1:9" ht="15.75" customHeight="1">
      <c r="A113" s="11"/>
    </row>
    <row r="114" spans="1:9" ht="15.75" customHeight="1">
      <c r="A114" s="133" t="s">
        <v>9</v>
      </c>
      <c r="B114" s="133"/>
      <c r="C114" s="133"/>
      <c r="D114" s="133"/>
      <c r="E114" s="133"/>
      <c r="F114" s="133"/>
      <c r="G114" s="133"/>
      <c r="H114" s="133"/>
      <c r="I114" s="133"/>
    </row>
    <row r="115" spans="1:9" ht="15.75" customHeight="1">
      <c r="A115" s="4"/>
    </row>
    <row r="116" spans="1:9" ht="15.75" customHeight="1">
      <c r="B116" s="56" t="s">
        <v>10</v>
      </c>
      <c r="C116" s="134" t="s">
        <v>96</v>
      </c>
      <c r="D116" s="134"/>
      <c r="E116" s="134"/>
      <c r="F116" s="61"/>
      <c r="I116" s="52"/>
    </row>
    <row r="117" spans="1:9" ht="15.75" customHeight="1">
      <c r="A117" s="53"/>
      <c r="C117" s="130" t="s">
        <v>11</v>
      </c>
      <c r="D117" s="130"/>
      <c r="E117" s="130"/>
      <c r="F117" s="24"/>
      <c r="I117" s="51" t="s">
        <v>12</v>
      </c>
    </row>
    <row r="118" spans="1:9" ht="15.75" customHeight="1">
      <c r="A118" s="25"/>
      <c r="C118" s="12"/>
      <c r="D118" s="12"/>
      <c r="G118" s="12"/>
      <c r="H118" s="12"/>
    </row>
    <row r="119" spans="1:9" ht="15.75" customHeight="1">
      <c r="B119" s="56" t="s">
        <v>13</v>
      </c>
      <c r="C119" s="135"/>
      <c r="D119" s="135"/>
      <c r="E119" s="135"/>
      <c r="F119" s="62"/>
      <c r="I119" s="52"/>
    </row>
    <row r="120" spans="1:9" ht="15.75" customHeight="1">
      <c r="A120" s="53"/>
      <c r="C120" s="110" t="s">
        <v>11</v>
      </c>
      <c r="D120" s="110"/>
      <c r="E120" s="110"/>
      <c r="F120" s="53"/>
      <c r="I120" s="51" t="s">
        <v>12</v>
      </c>
    </row>
    <row r="121" spans="1:9" ht="15.75" customHeight="1">
      <c r="A121" s="4" t="s">
        <v>14</v>
      </c>
    </row>
    <row r="122" spans="1:9" ht="15.75" customHeight="1">
      <c r="A122" s="136" t="s">
        <v>15</v>
      </c>
      <c r="B122" s="136"/>
      <c r="C122" s="136"/>
      <c r="D122" s="136"/>
      <c r="E122" s="136"/>
      <c r="F122" s="136"/>
      <c r="G122" s="136"/>
      <c r="H122" s="136"/>
      <c r="I122" s="136"/>
    </row>
    <row r="123" spans="1:9" ht="45" customHeight="1">
      <c r="A123" s="132" t="s">
        <v>16</v>
      </c>
      <c r="B123" s="132"/>
      <c r="C123" s="132"/>
      <c r="D123" s="132"/>
      <c r="E123" s="132"/>
      <c r="F123" s="132"/>
      <c r="G123" s="132"/>
      <c r="H123" s="132"/>
      <c r="I123" s="132"/>
    </row>
    <row r="124" spans="1:9" ht="30" customHeight="1">
      <c r="A124" s="132" t="s">
        <v>17</v>
      </c>
      <c r="B124" s="132"/>
      <c r="C124" s="132"/>
      <c r="D124" s="132"/>
      <c r="E124" s="132"/>
      <c r="F124" s="132"/>
      <c r="G124" s="132"/>
      <c r="H124" s="132"/>
      <c r="I124" s="132"/>
    </row>
    <row r="125" spans="1:9" ht="30" customHeight="1">
      <c r="A125" s="132" t="s">
        <v>21</v>
      </c>
      <c r="B125" s="132"/>
      <c r="C125" s="132"/>
      <c r="D125" s="132"/>
      <c r="E125" s="132"/>
      <c r="F125" s="132"/>
      <c r="G125" s="132"/>
      <c r="H125" s="132"/>
      <c r="I125" s="132"/>
    </row>
    <row r="126" spans="1:9" ht="15" customHeight="1">
      <c r="A126" s="132" t="s">
        <v>20</v>
      </c>
      <c r="B126" s="132"/>
      <c r="C126" s="132"/>
      <c r="D126" s="132"/>
      <c r="E126" s="132"/>
      <c r="F126" s="132"/>
      <c r="G126" s="132"/>
      <c r="H126" s="132"/>
      <c r="I126" s="132"/>
    </row>
  </sheetData>
  <autoFilter ref="I12:I62"/>
  <mergeCells count="29">
    <mergeCell ref="A123:I123"/>
    <mergeCell ref="A124:I124"/>
    <mergeCell ref="A125:I125"/>
    <mergeCell ref="A126:I126"/>
    <mergeCell ref="A114:I114"/>
    <mergeCell ref="C116:E116"/>
    <mergeCell ref="C117:E117"/>
    <mergeCell ref="C119:E119"/>
    <mergeCell ref="C120:E120"/>
    <mergeCell ref="A122:I122"/>
    <mergeCell ref="A112:I112"/>
    <mergeCell ref="A15:I15"/>
    <mergeCell ref="A29:I29"/>
    <mergeCell ref="A47:I47"/>
    <mergeCell ref="A57:I57"/>
    <mergeCell ref="A106:I106"/>
    <mergeCell ref="B107:G107"/>
    <mergeCell ref="B108:G108"/>
    <mergeCell ref="A110:I110"/>
    <mergeCell ref="A111:I111"/>
    <mergeCell ref="A87:I87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92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14" t="s">
        <v>202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146</v>
      </c>
      <c r="B4" s="115"/>
      <c r="C4" s="115"/>
      <c r="D4" s="115"/>
      <c r="E4" s="115"/>
      <c r="F4" s="115"/>
      <c r="G4" s="115"/>
      <c r="H4" s="115"/>
      <c r="I4" s="115"/>
    </row>
    <row r="5" spans="1:13" ht="15.75" customHeight="1">
      <c r="A5" s="114" t="s">
        <v>254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 customHeight="1">
      <c r="A6" s="2"/>
      <c r="B6" s="55"/>
      <c r="C6" s="55"/>
      <c r="D6" s="55"/>
      <c r="E6" s="55"/>
      <c r="F6" s="55"/>
      <c r="G6" s="55"/>
      <c r="H6" s="55"/>
      <c r="I6" s="30">
        <v>43008</v>
      </c>
      <c r="J6" s="2"/>
      <c r="K6" s="2"/>
      <c r="L6" s="2"/>
      <c r="M6" s="2"/>
    </row>
    <row r="7" spans="1:13" ht="15.75" customHeight="1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17" t="s">
        <v>152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8" t="s">
        <v>209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19" t="s">
        <v>61</v>
      </c>
      <c r="B14" s="119"/>
      <c r="C14" s="119"/>
      <c r="D14" s="119"/>
      <c r="E14" s="119"/>
      <c r="F14" s="119"/>
      <c r="G14" s="119"/>
      <c r="H14" s="119"/>
      <c r="I14" s="119"/>
      <c r="J14" s="8"/>
      <c r="K14" s="8"/>
      <c r="L14" s="8"/>
      <c r="M14" s="8"/>
    </row>
    <row r="15" spans="1:13" ht="15.75" customHeight="1">
      <c r="A15" s="121" t="s">
        <v>4</v>
      </c>
      <c r="B15" s="121"/>
      <c r="C15" s="121"/>
      <c r="D15" s="121"/>
      <c r="E15" s="121"/>
      <c r="F15" s="121"/>
      <c r="G15" s="121"/>
      <c r="H15" s="121"/>
      <c r="I15" s="121"/>
      <c r="J15" s="8"/>
      <c r="K15" s="8"/>
      <c r="L15" s="8"/>
      <c r="M15" s="8"/>
    </row>
    <row r="16" spans="1:13" ht="15.75" customHeight="1">
      <c r="A16" s="29">
        <v>1</v>
      </c>
      <c r="B16" s="69" t="s">
        <v>93</v>
      </c>
      <c r="C16" s="70" t="s">
        <v>115</v>
      </c>
      <c r="D16" s="69" t="s">
        <v>116</v>
      </c>
      <c r="E16" s="71">
        <v>176.24</v>
      </c>
      <c r="F16" s="72">
        <f>SUM(E16*156/100)</f>
        <v>274.93440000000004</v>
      </c>
      <c r="G16" s="72">
        <v>187.48</v>
      </c>
      <c r="H16" s="73">
        <f t="shared" ref="H16:H26" si="0">SUM(F16*G16/1000)</f>
        <v>51.544701312000008</v>
      </c>
      <c r="I16" s="13">
        <f>F16/12*G16</f>
        <v>4295.3917760000004</v>
      </c>
      <c r="J16" s="8"/>
      <c r="K16" s="8"/>
      <c r="L16" s="8"/>
      <c r="M16" s="8"/>
    </row>
    <row r="17" spans="1:13" ht="15.75" customHeight="1">
      <c r="A17" s="29">
        <v>2</v>
      </c>
      <c r="B17" s="69" t="s">
        <v>100</v>
      </c>
      <c r="C17" s="70" t="s">
        <v>115</v>
      </c>
      <c r="D17" s="69" t="s">
        <v>117</v>
      </c>
      <c r="E17" s="71">
        <v>704.96</v>
      </c>
      <c r="F17" s="72">
        <f>SUM(E17*104/100)</f>
        <v>733.15839999999992</v>
      </c>
      <c r="G17" s="72">
        <v>187.48</v>
      </c>
      <c r="H17" s="73">
        <v>137.453</v>
      </c>
      <c r="I17" s="13">
        <f>F17/12*G17</f>
        <v>11454.378069333332</v>
      </c>
      <c r="J17" s="22"/>
      <c r="K17" s="8"/>
      <c r="L17" s="8"/>
      <c r="M17" s="8"/>
    </row>
    <row r="18" spans="1:13" ht="15.75" customHeight="1">
      <c r="A18" s="29">
        <v>3</v>
      </c>
      <c r="B18" s="69" t="s">
        <v>101</v>
      </c>
      <c r="C18" s="70" t="s">
        <v>115</v>
      </c>
      <c r="D18" s="69" t="s">
        <v>118</v>
      </c>
      <c r="E18" s="71">
        <f>SUM(E16+E17)</f>
        <v>881.2</v>
      </c>
      <c r="F18" s="72">
        <f>SUM(E18*24/100)</f>
        <v>211.48800000000003</v>
      </c>
      <c r="G18" s="72">
        <v>539.30999999999995</v>
      </c>
      <c r="H18" s="73">
        <f t="shared" si="0"/>
        <v>114.05759328000001</v>
      </c>
      <c r="I18" s="13">
        <f>F18/12*G18</f>
        <v>9504.7994400000007</v>
      </c>
      <c r="J18" s="22"/>
      <c r="K18" s="8"/>
      <c r="L18" s="8"/>
      <c r="M18" s="8"/>
    </row>
    <row r="19" spans="1:13" ht="15.75" hidden="1" customHeight="1">
      <c r="A19" s="29">
        <v>4</v>
      </c>
      <c r="B19" s="69" t="s">
        <v>119</v>
      </c>
      <c r="C19" s="70" t="s">
        <v>120</v>
      </c>
      <c r="D19" s="69" t="s">
        <v>121</v>
      </c>
      <c r="E19" s="71">
        <v>28.8</v>
      </c>
      <c r="F19" s="72">
        <f>SUM(E19/10)</f>
        <v>2.88</v>
      </c>
      <c r="G19" s="72">
        <v>181.91</v>
      </c>
      <c r="H19" s="73">
        <f t="shared" si="0"/>
        <v>0.52390080000000006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69" t="s">
        <v>106</v>
      </c>
      <c r="C20" s="70" t="s">
        <v>115</v>
      </c>
      <c r="D20" s="69" t="s">
        <v>30</v>
      </c>
      <c r="E20" s="71">
        <v>17.5</v>
      </c>
      <c r="F20" s="72">
        <f>SUM(E20*12/100)</f>
        <v>2.1</v>
      </c>
      <c r="G20" s="72">
        <v>232.92</v>
      </c>
      <c r="H20" s="73">
        <f t="shared" si="0"/>
        <v>0.48913200000000001</v>
      </c>
      <c r="I20" s="13">
        <f>F20/12*G20</f>
        <v>40.761000000000003</v>
      </c>
      <c r="J20" s="22"/>
      <c r="K20" s="8"/>
      <c r="L20" s="8"/>
      <c r="M20" s="8"/>
    </row>
    <row r="21" spans="1:13" ht="15.75" customHeight="1">
      <c r="A21" s="29">
        <v>5</v>
      </c>
      <c r="B21" s="69" t="s">
        <v>107</v>
      </c>
      <c r="C21" s="70" t="s">
        <v>115</v>
      </c>
      <c r="D21" s="69" t="s">
        <v>114</v>
      </c>
      <c r="E21" s="71">
        <v>5.94</v>
      </c>
      <c r="F21" s="72">
        <f>SUM(E21*6/100)</f>
        <v>0.35639999999999999</v>
      </c>
      <c r="G21" s="72">
        <v>231.03</v>
      </c>
      <c r="H21" s="73">
        <f t="shared" si="0"/>
        <v>8.2339091999999989E-2</v>
      </c>
      <c r="I21" s="13">
        <f>F21/6*G21</f>
        <v>13.723182</v>
      </c>
      <c r="J21" s="22"/>
      <c r="K21" s="8"/>
      <c r="L21" s="8"/>
      <c r="M21" s="8"/>
    </row>
    <row r="22" spans="1:13" ht="15.75" hidden="1" customHeight="1">
      <c r="A22" s="29">
        <v>7</v>
      </c>
      <c r="B22" s="69" t="s">
        <v>122</v>
      </c>
      <c r="C22" s="70" t="s">
        <v>53</v>
      </c>
      <c r="D22" s="69" t="s">
        <v>121</v>
      </c>
      <c r="E22" s="71">
        <v>376</v>
      </c>
      <c r="F22" s="72">
        <f>SUM(E22/100)</f>
        <v>3.76</v>
      </c>
      <c r="G22" s="72">
        <v>287.83999999999997</v>
      </c>
      <c r="H22" s="73">
        <f t="shared" si="0"/>
        <v>1.0822783999999999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9" t="s">
        <v>123</v>
      </c>
      <c r="C23" s="70" t="s">
        <v>53</v>
      </c>
      <c r="D23" s="69" t="s">
        <v>121</v>
      </c>
      <c r="E23" s="74">
        <v>60.4</v>
      </c>
      <c r="F23" s="72">
        <f>SUM(E23/100)</f>
        <v>0.60399999999999998</v>
      </c>
      <c r="G23" s="72">
        <v>47.34</v>
      </c>
      <c r="H23" s="73">
        <f t="shared" si="0"/>
        <v>2.8593360000000002E-2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9" t="s">
        <v>110</v>
      </c>
      <c r="C24" s="70" t="s">
        <v>53</v>
      </c>
      <c r="D24" s="69" t="s">
        <v>54</v>
      </c>
      <c r="E24" s="18">
        <v>25</v>
      </c>
      <c r="F24" s="75">
        <f>E24/100</f>
        <v>0.25</v>
      </c>
      <c r="G24" s="72">
        <v>416.62</v>
      </c>
      <c r="H24" s="73">
        <f>F24*G24/1000</f>
        <v>0.104155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9" t="s">
        <v>124</v>
      </c>
      <c r="C25" s="70" t="s">
        <v>53</v>
      </c>
      <c r="D25" s="69" t="s">
        <v>121</v>
      </c>
      <c r="E25" s="74">
        <v>23.75</v>
      </c>
      <c r="F25" s="72">
        <f>E25/100</f>
        <v>0.23749999999999999</v>
      </c>
      <c r="G25" s="72">
        <v>231.03</v>
      </c>
      <c r="H25" s="73">
        <f>F25*G25/1000</f>
        <v>5.4869624999999998E-2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11</v>
      </c>
      <c r="B26" s="69" t="s">
        <v>111</v>
      </c>
      <c r="C26" s="70" t="s">
        <v>53</v>
      </c>
      <c r="D26" s="69" t="s">
        <v>121</v>
      </c>
      <c r="E26" s="71">
        <v>10.63</v>
      </c>
      <c r="F26" s="72">
        <f>SUM(E26/100)</f>
        <v>0.10630000000000001</v>
      </c>
      <c r="G26" s="72">
        <v>556.74</v>
      </c>
      <c r="H26" s="73">
        <f t="shared" si="0"/>
        <v>5.9181462000000004E-2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6</v>
      </c>
      <c r="B27" s="69" t="s">
        <v>66</v>
      </c>
      <c r="C27" s="70" t="s">
        <v>34</v>
      </c>
      <c r="D27" s="69" t="s">
        <v>91</v>
      </c>
      <c r="E27" s="71">
        <v>0.1</v>
      </c>
      <c r="F27" s="72">
        <f>SUM(E27*365)</f>
        <v>36.5</v>
      </c>
      <c r="G27" s="72">
        <v>157.18</v>
      </c>
      <c r="H27" s="73">
        <f>SUM(F27*G27/1000)</f>
        <v>5.737070000000001</v>
      </c>
      <c r="I27" s="13">
        <f>F27/12*G27</f>
        <v>478.08916666666664</v>
      </c>
      <c r="J27" s="23"/>
    </row>
    <row r="28" spans="1:13" ht="15.75" customHeight="1">
      <c r="A28" s="29">
        <v>7</v>
      </c>
      <c r="B28" s="77" t="s">
        <v>23</v>
      </c>
      <c r="C28" s="70" t="s">
        <v>24</v>
      </c>
      <c r="D28" s="69" t="s">
        <v>91</v>
      </c>
      <c r="E28" s="71">
        <v>5816.5</v>
      </c>
      <c r="F28" s="72">
        <f>SUM(E28*12)</f>
        <v>69798</v>
      </c>
      <c r="G28" s="72">
        <v>4.72</v>
      </c>
      <c r="H28" s="73">
        <f>SUM(F28*G28/1000)</f>
        <v>329.44655999999998</v>
      </c>
      <c r="I28" s="13">
        <f>F28/12*G28</f>
        <v>27453.879999999997</v>
      </c>
      <c r="J28" s="23"/>
    </row>
    <row r="29" spans="1:13" ht="15.75" customHeight="1">
      <c r="A29" s="121" t="s">
        <v>90</v>
      </c>
      <c r="B29" s="121"/>
      <c r="C29" s="121"/>
      <c r="D29" s="121"/>
      <c r="E29" s="121"/>
      <c r="F29" s="121"/>
      <c r="G29" s="121"/>
      <c r="H29" s="121"/>
      <c r="I29" s="121"/>
      <c r="J29" s="22"/>
      <c r="K29" s="8"/>
      <c r="L29" s="8"/>
      <c r="M29" s="8"/>
    </row>
    <row r="30" spans="1:13" ht="15.75" customHeight="1">
      <c r="A30" s="29"/>
      <c r="B30" s="90" t="s">
        <v>28</v>
      </c>
      <c r="C30" s="70"/>
      <c r="D30" s="69"/>
      <c r="E30" s="71"/>
      <c r="F30" s="72"/>
      <c r="G30" s="72"/>
      <c r="H30" s="73"/>
      <c r="I30" s="13"/>
      <c r="J30" s="22"/>
      <c r="K30" s="8"/>
      <c r="L30" s="8"/>
      <c r="M30" s="8"/>
    </row>
    <row r="31" spans="1:13" ht="15.75" customHeight="1">
      <c r="A31" s="29">
        <v>8</v>
      </c>
      <c r="B31" s="69" t="s">
        <v>125</v>
      </c>
      <c r="C31" s="70" t="s">
        <v>126</v>
      </c>
      <c r="D31" s="69" t="s">
        <v>127</v>
      </c>
      <c r="E31" s="72">
        <v>357.22</v>
      </c>
      <c r="F31" s="72">
        <f>SUM(E31*52/1000)</f>
        <v>18.575440000000004</v>
      </c>
      <c r="G31" s="72">
        <v>166.65</v>
      </c>
      <c r="H31" s="73">
        <f t="shared" ref="H31:H38" si="1">SUM(F31*G31/1000)</f>
        <v>3.0955970760000011</v>
      </c>
      <c r="I31" s="13">
        <f>F31/6*G31</f>
        <v>515.93284600000015</v>
      </c>
      <c r="J31" s="22"/>
      <c r="K31" s="8"/>
      <c r="L31" s="8"/>
      <c r="M31" s="8"/>
    </row>
    <row r="32" spans="1:13" ht="31.5" customHeight="1">
      <c r="A32" s="29">
        <v>9</v>
      </c>
      <c r="B32" s="69" t="s">
        <v>191</v>
      </c>
      <c r="C32" s="70" t="s">
        <v>126</v>
      </c>
      <c r="D32" s="69" t="s">
        <v>128</v>
      </c>
      <c r="E32" s="72">
        <v>475.06</v>
      </c>
      <c r="F32" s="72">
        <f>SUM(E32*78/1000)</f>
        <v>37.054679999999998</v>
      </c>
      <c r="G32" s="72">
        <v>276.48</v>
      </c>
      <c r="H32" s="73">
        <f t="shared" si="1"/>
        <v>10.244877926400001</v>
      </c>
      <c r="I32" s="13">
        <f t="shared" ref="I32:I35" si="2">F32/6*G32</f>
        <v>1707.4796544000001</v>
      </c>
      <c r="J32" s="22"/>
      <c r="K32" s="8"/>
      <c r="L32" s="8"/>
      <c r="M32" s="8"/>
    </row>
    <row r="33" spans="1:14" ht="15.75" hidden="1" customHeight="1">
      <c r="A33" s="29">
        <v>16</v>
      </c>
      <c r="B33" s="69" t="s">
        <v>27</v>
      </c>
      <c r="C33" s="70" t="s">
        <v>126</v>
      </c>
      <c r="D33" s="69" t="s">
        <v>54</v>
      </c>
      <c r="E33" s="72">
        <v>357.22</v>
      </c>
      <c r="F33" s="72">
        <f>SUM(E33/1000)</f>
        <v>0.35722000000000004</v>
      </c>
      <c r="G33" s="72">
        <v>3228.73</v>
      </c>
      <c r="H33" s="73">
        <f t="shared" si="1"/>
        <v>1.1533669306000001</v>
      </c>
      <c r="I33" s="13">
        <f>F33*G33</f>
        <v>1153.3669306000002</v>
      </c>
      <c r="J33" s="22"/>
      <c r="K33" s="8"/>
      <c r="L33" s="8"/>
      <c r="M33" s="8"/>
    </row>
    <row r="34" spans="1:14" ht="15.75" customHeight="1">
      <c r="A34" s="29">
        <v>10</v>
      </c>
      <c r="B34" s="69" t="s">
        <v>157</v>
      </c>
      <c r="C34" s="70" t="s">
        <v>40</v>
      </c>
      <c r="D34" s="69" t="s">
        <v>158</v>
      </c>
      <c r="E34" s="72">
        <v>5</v>
      </c>
      <c r="F34" s="72">
        <f>E34*155/100</f>
        <v>7.75</v>
      </c>
      <c r="G34" s="72">
        <v>1391.86</v>
      </c>
      <c r="H34" s="73">
        <f>G34*F34/1000</f>
        <v>10.786914999999999</v>
      </c>
      <c r="I34" s="13">
        <f t="shared" si="2"/>
        <v>1797.8191666666667</v>
      </c>
      <c r="J34" s="22"/>
      <c r="K34" s="8"/>
      <c r="L34" s="8"/>
      <c r="M34" s="8"/>
    </row>
    <row r="35" spans="1:14" ht="15.75" customHeight="1">
      <c r="A35" s="29">
        <v>11</v>
      </c>
      <c r="B35" s="69" t="s">
        <v>129</v>
      </c>
      <c r="C35" s="70" t="s">
        <v>31</v>
      </c>
      <c r="D35" s="69" t="s">
        <v>65</v>
      </c>
      <c r="E35" s="76">
        <v>0.33333333333333331</v>
      </c>
      <c r="F35" s="72">
        <f>155/3</f>
        <v>51.666666666666664</v>
      </c>
      <c r="G35" s="72">
        <v>60.6</v>
      </c>
      <c r="H35" s="73">
        <f>SUM(G35*155/3/1000)</f>
        <v>3.1309999999999998</v>
      </c>
      <c r="I35" s="13">
        <f t="shared" si="2"/>
        <v>521.83333333333337</v>
      </c>
      <c r="J35" s="22"/>
      <c r="K35" s="8"/>
    </row>
    <row r="36" spans="1:14" ht="15.75" hidden="1" customHeight="1">
      <c r="A36" s="29"/>
      <c r="B36" s="69" t="s">
        <v>67</v>
      </c>
      <c r="C36" s="70" t="s">
        <v>34</v>
      </c>
      <c r="D36" s="69" t="s">
        <v>69</v>
      </c>
      <c r="E36" s="71"/>
      <c r="F36" s="72">
        <v>3</v>
      </c>
      <c r="G36" s="72">
        <v>204.52</v>
      </c>
      <c r="H36" s="73">
        <f t="shared" si="1"/>
        <v>0.61356000000000011</v>
      </c>
      <c r="I36" s="13">
        <v>0</v>
      </c>
      <c r="J36" s="23"/>
    </row>
    <row r="37" spans="1:14" ht="15.75" hidden="1" customHeight="1">
      <c r="A37" s="29"/>
      <c r="B37" s="69" t="s">
        <v>68</v>
      </c>
      <c r="C37" s="70" t="s">
        <v>33</v>
      </c>
      <c r="D37" s="69" t="s">
        <v>69</v>
      </c>
      <c r="E37" s="71"/>
      <c r="F37" s="72">
        <v>2</v>
      </c>
      <c r="G37" s="72">
        <v>1214.74</v>
      </c>
      <c r="H37" s="73">
        <f t="shared" si="1"/>
        <v>2.4294799999999999</v>
      </c>
      <c r="I37" s="13">
        <v>0</v>
      </c>
      <c r="J37" s="23"/>
    </row>
    <row r="38" spans="1:14" ht="15.75" hidden="1" customHeight="1">
      <c r="A38" s="29"/>
      <c r="B38" s="46" t="s">
        <v>159</v>
      </c>
      <c r="C38" s="65" t="s">
        <v>29</v>
      </c>
      <c r="D38" s="69"/>
      <c r="E38" s="71">
        <v>360.36</v>
      </c>
      <c r="F38" s="72">
        <f>E38*36/1000</f>
        <v>12.97296</v>
      </c>
      <c r="G38" s="72">
        <v>3228.73</v>
      </c>
      <c r="H38" s="73">
        <f t="shared" si="1"/>
        <v>41.886185140800002</v>
      </c>
      <c r="I38" s="13">
        <v>0</v>
      </c>
      <c r="J38" s="23"/>
    </row>
    <row r="39" spans="1:14" ht="15.75" hidden="1" customHeight="1">
      <c r="A39" s="29"/>
      <c r="B39" s="90" t="s">
        <v>5</v>
      </c>
      <c r="C39" s="70"/>
      <c r="D39" s="69"/>
      <c r="E39" s="71"/>
      <c r="F39" s="72"/>
      <c r="G39" s="72"/>
      <c r="H39" s="73" t="s">
        <v>143</v>
      </c>
      <c r="I39" s="13"/>
      <c r="J39" s="23"/>
    </row>
    <row r="40" spans="1:14" ht="15.75" hidden="1" customHeight="1">
      <c r="A40" s="29">
        <v>8</v>
      </c>
      <c r="B40" s="69" t="s">
        <v>26</v>
      </c>
      <c r="C40" s="70" t="s">
        <v>33</v>
      </c>
      <c r="D40" s="69"/>
      <c r="E40" s="71"/>
      <c r="F40" s="72">
        <v>10</v>
      </c>
      <c r="G40" s="72">
        <v>1632.6</v>
      </c>
      <c r="H40" s="73">
        <f t="shared" ref="H40:H46" si="3">SUM(F40*G40/1000)</f>
        <v>16.326000000000001</v>
      </c>
      <c r="I40" s="13">
        <f>F40/6*G40</f>
        <v>2721</v>
      </c>
      <c r="J40" s="23"/>
      <c r="L40" s="19"/>
      <c r="M40" s="20"/>
      <c r="N40" s="21"/>
    </row>
    <row r="41" spans="1:14" ht="15.75" hidden="1" customHeight="1">
      <c r="A41" s="29">
        <v>9</v>
      </c>
      <c r="B41" s="69" t="s">
        <v>70</v>
      </c>
      <c r="C41" s="70" t="s">
        <v>29</v>
      </c>
      <c r="D41" s="69" t="s">
        <v>130</v>
      </c>
      <c r="E41" s="72">
        <v>469.73</v>
      </c>
      <c r="F41" s="72">
        <f>SUM(E41*30/1000)</f>
        <v>14.091900000000001</v>
      </c>
      <c r="G41" s="72">
        <v>2247.8000000000002</v>
      </c>
      <c r="H41" s="73">
        <f t="shared" si="3"/>
        <v>31.675772820000006</v>
      </c>
      <c r="I41" s="13">
        <f>F41/6*G41</f>
        <v>5279.2954700000009</v>
      </c>
      <c r="J41" s="23"/>
      <c r="L41" s="19"/>
      <c r="M41" s="20"/>
      <c r="N41" s="21"/>
    </row>
    <row r="42" spans="1:14" ht="15.75" hidden="1" customHeight="1">
      <c r="A42" s="29"/>
      <c r="B42" s="69" t="s">
        <v>102</v>
      </c>
      <c r="C42" s="70" t="s">
        <v>147</v>
      </c>
      <c r="D42" s="69" t="s">
        <v>69</v>
      </c>
      <c r="E42" s="71"/>
      <c r="F42" s="72">
        <v>120</v>
      </c>
      <c r="G42" s="72">
        <v>213.2</v>
      </c>
      <c r="H42" s="73">
        <f t="shared" si="3"/>
        <v>25.584</v>
      </c>
      <c r="I42" s="13">
        <v>0</v>
      </c>
      <c r="J42" s="23"/>
      <c r="L42" s="19"/>
      <c r="M42" s="20"/>
      <c r="N42" s="21"/>
    </row>
    <row r="43" spans="1:14" ht="15.75" hidden="1" customHeight="1">
      <c r="A43" s="29">
        <v>10</v>
      </c>
      <c r="B43" s="69" t="s">
        <v>71</v>
      </c>
      <c r="C43" s="70" t="s">
        <v>29</v>
      </c>
      <c r="D43" s="69" t="s">
        <v>131</v>
      </c>
      <c r="E43" s="72">
        <v>475.06</v>
      </c>
      <c r="F43" s="72">
        <f>SUM(E43*155/1000)</f>
        <v>73.634299999999996</v>
      </c>
      <c r="G43" s="72">
        <v>374.95</v>
      </c>
      <c r="H43" s="73">
        <f t="shared" si="3"/>
        <v>27.609180784999996</v>
      </c>
      <c r="I43" s="13">
        <f>F43/6*G43</f>
        <v>4601.5301308333328</v>
      </c>
      <c r="J43" s="23"/>
      <c r="L43" s="19"/>
      <c r="M43" s="20"/>
      <c r="N43" s="21"/>
    </row>
    <row r="44" spans="1:14" ht="47.25" hidden="1" customHeight="1">
      <c r="A44" s="29">
        <v>11</v>
      </c>
      <c r="B44" s="69" t="s">
        <v>87</v>
      </c>
      <c r="C44" s="70" t="s">
        <v>126</v>
      </c>
      <c r="D44" s="69" t="s">
        <v>148</v>
      </c>
      <c r="E44" s="72">
        <v>40.6</v>
      </c>
      <c r="F44" s="72">
        <f>SUM(E44*35/1000)</f>
        <v>1.421</v>
      </c>
      <c r="G44" s="72">
        <v>6203.7</v>
      </c>
      <c r="H44" s="73">
        <f t="shared" si="3"/>
        <v>8.8154577000000014</v>
      </c>
      <c r="I44" s="13">
        <f>F44/6*G44</f>
        <v>1469.2429500000001</v>
      </c>
      <c r="J44" s="23"/>
      <c r="L44" s="19"/>
      <c r="M44" s="20"/>
      <c r="N44" s="21"/>
    </row>
    <row r="45" spans="1:14" ht="15.75" hidden="1" customHeight="1">
      <c r="A45" s="29">
        <v>12</v>
      </c>
      <c r="B45" s="69" t="s">
        <v>132</v>
      </c>
      <c r="C45" s="70" t="s">
        <v>126</v>
      </c>
      <c r="D45" s="69" t="s">
        <v>72</v>
      </c>
      <c r="E45" s="72">
        <v>167.03</v>
      </c>
      <c r="F45" s="72">
        <f>SUM(E45*45/1000)</f>
        <v>7.5163500000000001</v>
      </c>
      <c r="G45" s="72">
        <v>458.28</v>
      </c>
      <c r="H45" s="73">
        <f t="shared" si="3"/>
        <v>3.4445928779999999</v>
      </c>
      <c r="I45" s="13">
        <f>F45/6*G45</f>
        <v>574.09881299999995</v>
      </c>
      <c r="J45" s="23"/>
      <c r="L45" s="19"/>
      <c r="M45" s="20"/>
      <c r="N45" s="21"/>
    </row>
    <row r="46" spans="1:14" ht="15.75" hidden="1" customHeight="1">
      <c r="A46" s="29">
        <v>13</v>
      </c>
      <c r="B46" s="69" t="s">
        <v>73</v>
      </c>
      <c r="C46" s="70" t="s">
        <v>34</v>
      </c>
      <c r="D46" s="69"/>
      <c r="E46" s="71"/>
      <c r="F46" s="72">
        <v>1.2</v>
      </c>
      <c r="G46" s="72">
        <v>853.06</v>
      </c>
      <c r="H46" s="73">
        <f t="shared" si="3"/>
        <v>1.0236719999999999</v>
      </c>
      <c r="I46" s="13">
        <f>F46/6*G46</f>
        <v>170.61199999999997</v>
      </c>
      <c r="J46" s="23"/>
      <c r="L46" s="19"/>
      <c r="M46" s="20"/>
      <c r="N46" s="21"/>
    </row>
    <row r="47" spans="1:14" ht="15.75" customHeight="1">
      <c r="A47" s="122" t="s">
        <v>153</v>
      </c>
      <c r="B47" s="123"/>
      <c r="C47" s="123"/>
      <c r="D47" s="123"/>
      <c r="E47" s="123"/>
      <c r="F47" s="123"/>
      <c r="G47" s="123"/>
      <c r="H47" s="123"/>
      <c r="I47" s="124"/>
      <c r="J47" s="23"/>
      <c r="L47" s="19"/>
      <c r="M47" s="20"/>
      <c r="N47" s="21"/>
    </row>
    <row r="48" spans="1:14" ht="15.75" customHeight="1">
      <c r="A48" s="29">
        <v>12</v>
      </c>
      <c r="B48" s="69" t="s">
        <v>133</v>
      </c>
      <c r="C48" s="70" t="s">
        <v>126</v>
      </c>
      <c r="D48" s="69" t="s">
        <v>42</v>
      </c>
      <c r="E48" s="71">
        <v>1603.6</v>
      </c>
      <c r="F48" s="72">
        <f>SUM(E48*2/1000)</f>
        <v>3.2071999999999998</v>
      </c>
      <c r="G48" s="13">
        <v>908.11</v>
      </c>
      <c r="H48" s="73">
        <f t="shared" ref="H48:H56" si="4">SUM(F48*G48/1000)</f>
        <v>2.9124903919999996</v>
      </c>
      <c r="I48" s="13">
        <f t="shared" ref="I48:I50" si="5">F48/2*G48</f>
        <v>1456.2451959999999</v>
      </c>
      <c r="J48" s="23"/>
      <c r="L48" s="19"/>
      <c r="M48" s="20"/>
      <c r="N48" s="21"/>
    </row>
    <row r="49" spans="1:22" ht="15.75" customHeight="1">
      <c r="A49" s="29">
        <v>13</v>
      </c>
      <c r="B49" s="69" t="s">
        <v>35</v>
      </c>
      <c r="C49" s="70" t="s">
        <v>126</v>
      </c>
      <c r="D49" s="69" t="s">
        <v>42</v>
      </c>
      <c r="E49" s="71">
        <v>65</v>
      </c>
      <c r="F49" s="72">
        <f>SUM(E49*2/1000)</f>
        <v>0.13</v>
      </c>
      <c r="G49" s="13">
        <v>619.46</v>
      </c>
      <c r="H49" s="73">
        <f t="shared" si="4"/>
        <v>8.0529800000000012E-2</v>
      </c>
      <c r="I49" s="13">
        <f t="shared" si="5"/>
        <v>40.264900000000004</v>
      </c>
      <c r="J49" s="23"/>
      <c r="L49" s="19"/>
      <c r="M49" s="20"/>
      <c r="N49" s="21"/>
    </row>
    <row r="50" spans="1:22" ht="15.75" customHeight="1">
      <c r="A50" s="29">
        <v>14</v>
      </c>
      <c r="B50" s="69" t="s">
        <v>36</v>
      </c>
      <c r="C50" s="70" t="s">
        <v>126</v>
      </c>
      <c r="D50" s="69" t="s">
        <v>42</v>
      </c>
      <c r="E50" s="71">
        <v>1825.8</v>
      </c>
      <c r="F50" s="72">
        <f>SUM(E50*2/1000)</f>
        <v>3.6515999999999997</v>
      </c>
      <c r="G50" s="13">
        <v>619.46</v>
      </c>
      <c r="H50" s="73">
        <f t="shared" si="4"/>
        <v>2.2620201360000003</v>
      </c>
      <c r="I50" s="13">
        <f t="shared" si="5"/>
        <v>1131.010068</v>
      </c>
      <c r="J50" s="23"/>
      <c r="L50" s="19"/>
      <c r="M50" s="20"/>
      <c r="N50" s="21"/>
    </row>
    <row r="51" spans="1:22" ht="15.75" customHeight="1">
      <c r="A51" s="29">
        <v>15</v>
      </c>
      <c r="B51" s="69" t="s">
        <v>37</v>
      </c>
      <c r="C51" s="70" t="s">
        <v>126</v>
      </c>
      <c r="D51" s="69" t="s">
        <v>42</v>
      </c>
      <c r="E51" s="71">
        <v>3163.96</v>
      </c>
      <c r="F51" s="72">
        <f>SUM(E51*2/1000)</f>
        <v>6.3279199999999998</v>
      </c>
      <c r="G51" s="13">
        <v>648.64</v>
      </c>
      <c r="H51" s="73">
        <f t="shared" si="4"/>
        <v>4.1045420287999992</v>
      </c>
      <c r="I51" s="13">
        <f>F51/2*G51</f>
        <v>2052.2710143999998</v>
      </c>
      <c r="J51" s="23"/>
      <c r="L51" s="19"/>
      <c r="M51" s="20"/>
      <c r="N51" s="21"/>
    </row>
    <row r="52" spans="1:22" ht="15.75" customHeight="1">
      <c r="A52" s="29">
        <v>16</v>
      </c>
      <c r="B52" s="69" t="s">
        <v>58</v>
      </c>
      <c r="C52" s="70" t="s">
        <v>126</v>
      </c>
      <c r="D52" s="69" t="s">
        <v>192</v>
      </c>
      <c r="E52" s="71">
        <v>1583</v>
      </c>
      <c r="F52" s="72">
        <f>SUM(E52*5/1000)</f>
        <v>7.915</v>
      </c>
      <c r="G52" s="13">
        <v>1297.28</v>
      </c>
      <c r="H52" s="73">
        <f t="shared" si="4"/>
        <v>10.2679712</v>
      </c>
      <c r="I52" s="13">
        <f>F52/5*G52</f>
        <v>2053.5942399999999</v>
      </c>
      <c r="J52" s="23"/>
      <c r="L52" s="19"/>
      <c r="M52" s="20"/>
      <c r="N52" s="21"/>
    </row>
    <row r="53" spans="1:22" ht="31.5" hidden="1" customHeight="1">
      <c r="A53" s="29"/>
      <c r="B53" s="69" t="s">
        <v>134</v>
      </c>
      <c r="C53" s="70" t="s">
        <v>126</v>
      </c>
      <c r="D53" s="69" t="s">
        <v>42</v>
      </c>
      <c r="E53" s="71">
        <v>1583</v>
      </c>
      <c r="F53" s="72">
        <f>SUM(E53*2/1000)</f>
        <v>3.1659999999999999</v>
      </c>
      <c r="G53" s="13">
        <v>1297.28</v>
      </c>
      <c r="H53" s="73">
        <f t="shared" si="4"/>
        <v>4.1071884799999996</v>
      </c>
      <c r="I53" s="13">
        <v>0</v>
      </c>
      <c r="J53" s="23"/>
      <c r="L53" s="19"/>
      <c r="M53" s="20"/>
      <c r="N53" s="21"/>
    </row>
    <row r="54" spans="1:22" ht="31.5" hidden="1" customHeight="1">
      <c r="A54" s="29"/>
      <c r="B54" s="69" t="s">
        <v>135</v>
      </c>
      <c r="C54" s="70" t="s">
        <v>38</v>
      </c>
      <c r="D54" s="69" t="s">
        <v>42</v>
      </c>
      <c r="E54" s="71">
        <v>25</v>
      </c>
      <c r="F54" s="72">
        <f>SUM(E54*2/100)</f>
        <v>0.5</v>
      </c>
      <c r="G54" s="13">
        <v>2918.89</v>
      </c>
      <c r="H54" s="73">
        <f t="shared" si="4"/>
        <v>1.4594449999999999</v>
      </c>
      <c r="I54" s="13">
        <v>0</v>
      </c>
      <c r="J54" s="23"/>
      <c r="L54" s="19"/>
      <c r="M54" s="20"/>
      <c r="N54" s="21"/>
    </row>
    <row r="55" spans="1:22" ht="15.75" hidden="1" customHeight="1">
      <c r="A55" s="29"/>
      <c r="B55" s="69" t="s">
        <v>39</v>
      </c>
      <c r="C55" s="70" t="s">
        <v>40</v>
      </c>
      <c r="D55" s="69" t="s">
        <v>42</v>
      </c>
      <c r="E55" s="71">
        <v>1</v>
      </c>
      <c r="F55" s="72">
        <v>0.02</v>
      </c>
      <c r="G55" s="13">
        <v>6042.12</v>
      </c>
      <c r="H55" s="73">
        <f t="shared" si="4"/>
        <v>0.1208424</v>
      </c>
      <c r="I55" s="13">
        <v>0</v>
      </c>
      <c r="J55" s="23"/>
      <c r="L55" s="19"/>
      <c r="M55" s="20"/>
      <c r="N55" s="21"/>
    </row>
    <row r="56" spans="1:22" ht="15.75" hidden="1" customHeight="1">
      <c r="A56" s="29">
        <v>15</v>
      </c>
      <c r="B56" s="69" t="s">
        <v>41</v>
      </c>
      <c r="C56" s="70" t="s">
        <v>31</v>
      </c>
      <c r="D56" s="69" t="s">
        <v>74</v>
      </c>
      <c r="E56" s="71">
        <v>36</v>
      </c>
      <c r="F56" s="72">
        <f>SUM(E56)*3</f>
        <v>108</v>
      </c>
      <c r="G56" s="13">
        <v>70.209999999999994</v>
      </c>
      <c r="H56" s="73">
        <f t="shared" si="4"/>
        <v>7.582679999999999</v>
      </c>
      <c r="I56" s="13">
        <f>E56*G56</f>
        <v>2527.56</v>
      </c>
      <c r="J56" s="23"/>
      <c r="L56" s="19"/>
      <c r="M56" s="20"/>
      <c r="N56" s="21"/>
    </row>
    <row r="57" spans="1:22" ht="15.75" customHeight="1">
      <c r="A57" s="122" t="s">
        <v>154</v>
      </c>
      <c r="B57" s="123"/>
      <c r="C57" s="123"/>
      <c r="D57" s="123"/>
      <c r="E57" s="123"/>
      <c r="F57" s="123"/>
      <c r="G57" s="123"/>
      <c r="H57" s="123"/>
      <c r="I57" s="124"/>
      <c r="J57" s="23"/>
      <c r="L57" s="19"/>
      <c r="M57" s="20"/>
      <c r="N57" s="21"/>
    </row>
    <row r="58" spans="1:22" ht="15.75" hidden="1" customHeight="1">
      <c r="A58" s="29"/>
      <c r="B58" s="90" t="s">
        <v>43</v>
      </c>
      <c r="C58" s="70"/>
      <c r="D58" s="69"/>
      <c r="E58" s="71"/>
      <c r="F58" s="72"/>
      <c r="G58" s="72"/>
      <c r="H58" s="73"/>
      <c r="I58" s="13"/>
      <c r="J58" s="23"/>
      <c r="L58" s="19"/>
      <c r="M58" s="20"/>
      <c r="N58" s="21"/>
    </row>
    <row r="59" spans="1:22" ht="31.5" hidden="1" customHeight="1">
      <c r="A59" s="29">
        <v>16</v>
      </c>
      <c r="B59" s="69" t="s">
        <v>149</v>
      </c>
      <c r="C59" s="70" t="s">
        <v>115</v>
      </c>
      <c r="D59" s="69" t="s">
        <v>75</v>
      </c>
      <c r="E59" s="78">
        <v>3.78</v>
      </c>
      <c r="F59" s="13">
        <f>E59*6/100</f>
        <v>0.2268</v>
      </c>
      <c r="G59" s="72">
        <v>1654.04</v>
      </c>
      <c r="H59" s="73">
        <f>SUM(F59*G59/1000)</f>
        <v>0.37513627199999999</v>
      </c>
      <c r="I59" s="13">
        <f>F59/6*G59</f>
        <v>62.522711999999999</v>
      </c>
      <c r="J59" s="23"/>
      <c r="L59" s="19"/>
      <c r="M59" s="20"/>
      <c r="N59" s="21"/>
    </row>
    <row r="60" spans="1:22" ht="31.5" hidden="1" customHeight="1">
      <c r="A60" s="29">
        <v>17</v>
      </c>
      <c r="B60" s="69" t="s">
        <v>137</v>
      </c>
      <c r="C60" s="70" t="s">
        <v>115</v>
      </c>
      <c r="D60" s="69" t="s">
        <v>75</v>
      </c>
      <c r="E60" s="71">
        <v>185.36</v>
      </c>
      <c r="F60" s="72">
        <f>E60*6/100</f>
        <v>11.121600000000001</v>
      </c>
      <c r="G60" s="79">
        <v>1654.04</v>
      </c>
      <c r="H60" s="73">
        <f>F60*G60/1000</f>
        <v>18.395571264000001</v>
      </c>
      <c r="I60" s="13">
        <f>F60/6*G60</f>
        <v>3065.9285440000003</v>
      </c>
      <c r="J60" s="23"/>
      <c r="L60" s="19"/>
    </row>
    <row r="61" spans="1:22" ht="15.75" hidden="1" customHeight="1">
      <c r="A61" s="29"/>
      <c r="B61" s="80" t="s">
        <v>108</v>
      </c>
      <c r="C61" s="70" t="s">
        <v>109</v>
      </c>
      <c r="D61" s="80" t="s">
        <v>42</v>
      </c>
      <c r="E61" s="81">
        <v>5</v>
      </c>
      <c r="F61" s="82">
        <v>10</v>
      </c>
      <c r="G61" s="79">
        <v>198.25</v>
      </c>
      <c r="H61" s="83">
        <v>0.99099999999999999</v>
      </c>
      <c r="I61" s="13">
        <v>0</v>
      </c>
      <c r="J61" s="23"/>
      <c r="L61" s="19"/>
    </row>
    <row r="62" spans="1:22" ht="15.75" customHeight="1">
      <c r="A62" s="29"/>
      <c r="B62" s="91" t="s">
        <v>44</v>
      </c>
      <c r="C62" s="84"/>
      <c r="D62" s="80"/>
      <c r="E62" s="81"/>
      <c r="F62" s="82"/>
      <c r="G62" s="85"/>
      <c r="H62" s="83"/>
      <c r="I62" s="13"/>
    </row>
    <row r="63" spans="1:22" ht="15.75" hidden="1" customHeight="1">
      <c r="A63" s="29"/>
      <c r="B63" s="80" t="s">
        <v>45</v>
      </c>
      <c r="C63" s="84" t="s">
        <v>53</v>
      </c>
      <c r="D63" s="80" t="s">
        <v>54</v>
      </c>
      <c r="E63" s="81">
        <v>1752</v>
      </c>
      <c r="F63" s="82">
        <f>E63/100</f>
        <v>17.52</v>
      </c>
      <c r="G63" s="72">
        <v>848.37</v>
      </c>
      <c r="H63" s="83">
        <f>G63*F63/1000</f>
        <v>14.8634424</v>
      </c>
      <c r="I63" s="13">
        <v>0</v>
      </c>
    </row>
    <row r="64" spans="1:22" ht="15.75" customHeight="1">
      <c r="A64" s="29">
        <v>17</v>
      </c>
      <c r="B64" s="80" t="s">
        <v>103</v>
      </c>
      <c r="C64" s="84" t="s">
        <v>25</v>
      </c>
      <c r="D64" s="80" t="s">
        <v>160</v>
      </c>
      <c r="E64" s="81">
        <v>352</v>
      </c>
      <c r="F64" s="82">
        <f>E64*12</f>
        <v>4224</v>
      </c>
      <c r="G64" s="72">
        <v>2.6</v>
      </c>
      <c r="H64" s="83">
        <f>G64*F64/1000</f>
        <v>10.9824</v>
      </c>
      <c r="I64" s="13">
        <f>F64/12*G64</f>
        <v>915.2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29"/>
      <c r="B65" s="91" t="s">
        <v>46</v>
      </c>
      <c r="C65" s="84"/>
      <c r="D65" s="80"/>
      <c r="E65" s="81"/>
      <c r="F65" s="82"/>
      <c r="G65" s="92"/>
      <c r="H65" s="83" t="s">
        <v>143</v>
      </c>
      <c r="I65" s="13"/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29">
        <v>18</v>
      </c>
      <c r="B66" s="14" t="s">
        <v>47</v>
      </c>
      <c r="C66" s="16" t="s">
        <v>136</v>
      </c>
      <c r="D66" s="14" t="s">
        <v>69</v>
      </c>
      <c r="E66" s="18">
        <v>10</v>
      </c>
      <c r="F66" s="72">
        <v>10</v>
      </c>
      <c r="G66" s="13">
        <v>237.74</v>
      </c>
      <c r="H66" s="66">
        <f t="shared" ref="H66:H80" si="6">SUM(F66*G66/1000)</f>
        <v>2.3774000000000002</v>
      </c>
      <c r="I66" s="13">
        <f>G66*14</f>
        <v>3328.36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48</v>
      </c>
      <c r="C67" s="16" t="s">
        <v>136</v>
      </c>
      <c r="D67" s="14" t="s">
        <v>69</v>
      </c>
      <c r="E67" s="18">
        <v>5</v>
      </c>
      <c r="F67" s="72">
        <v>5</v>
      </c>
      <c r="G67" s="13">
        <v>81.510000000000005</v>
      </c>
      <c r="H67" s="66">
        <f t="shared" si="6"/>
        <v>0.40755000000000002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10"/>
      <c r="S67" s="110"/>
      <c r="T67" s="110"/>
      <c r="U67" s="110"/>
    </row>
    <row r="68" spans="1:21" ht="15.75" hidden="1" customHeight="1">
      <c r="A68" s="29"/>
      <c r="B68" s="14" t="s">
        <v>49</v>
      </c>
      <c r="C68" s="16" t="s">
        <v>138</v>
      </c>
      <c r="D68" s="14" t="s">
        <v>54</v>
      </c>
      <c r="E68" s="71">
        <v>23808</v>
      </c>
      <c r="F68" s="13">
        <f>SUM(E68/100)</f>
        <v>238.08</v>
      </c>
      <c r="G68" s="13">
        <v>226.79</v>
      </c>
      <c r="H68" s="66">
        <f t="shared" si="6"/>
        <v>53.994163200000003</v>
      </c>
      <c r="I68" s="13">
        <f>F68*G68</f>
        <v>53994.163200000003</v>
      </c>
    </row>
    <row r="69" spans="1:21" ht="15.75" hidden="1" customHeight="1">
      <c r="A69" s="29"/>
      <c r="B69" s="14" t="s">
        <v>50</v>
      </c>
      <c r="C69" s="16" t="s">
        <v>139</v>
      </c>
      <c r="D69" s="14"/>
      <c r="E69" s="71">
        <v>23808</v>
      </c>
      <c r="F69" s="13">
        <f>SUM(E69/1000)</f>
        <v>23.808</v>
      </c>
      <c r="G69" s="13">
        <v>176.61</v>
      </c>
      <c r="H69" s="66">
        <f t="shared" si="6"/>
        <v>4.2047308800000005</v>
      </c>
      <c r="I69" s="13">
        <f t="shared" ref="I69:I73" si="7">F69*G69</f>
        <v>4204.7308800000001</v>
      </c>
    </row>
    <row r="70" spans="1:21" ht="15.75" hidden="1" customHeight="1">
      <c r="A70" s="29"/>
      <c r="B70" s="14" t="s">
        <v>51</v>
      </c>
      <c r="C70" s="16" t="s">
        <v>80</v>
      </c>
      <c r="D70" s="14" t="s">
        <v>54</v>
      </c>
      <c r="E70" s="71">
        <v>3810</v>
      </c>
      <c r="F70" s="13">
        <f>SUM(E70/100)</f>
        <v>38.1</v>
      </c>
      <c r="G70" s="13">
        <v>2217.7800000000002</v>
      </c>
      <c r="H70" s="66">
        <f t="shared" si="6"/>
        <v>84.49741800000001</v>
      </c>
      <c r="I70" s="13">
        <f t="shared" si="7"/>
        <v>84497.418000000005</v>
      </c>
    </row>
    <row r="71" spans="1:21" ht="15.75" hidden="1" customHeight="1">
      <c r="A71" s="29"/>
      <c r="B71" s="86" t="s">
        <v>140</v>
      </c>
      <c r="C71" s="16" t="s">
        <v>34</v>
      </c>
      <c r="D71" s="14"/>
      <c r="E71" s="71">
        <v>23.4</v>
      </c>
      <c r="F71" s="13">
        <f>SUM(E71)</f>
        <v>23.4</v>
      </c>
      <c r="G71" s="13">
        <v>42.67</v>
      </c>
      <c r="H71" s="66">
        <f t="shared" si="6"/>
        <v>0.99847799999999998</v>
      </c>
      <c r="I71" s="13">
        <f t="shared" si="7"/>
        <v>998.47799999999995</v>
      </c>
    </row>
    <row r="72" spans="1:21" ht="15.75" hidden="1" customHeight="1">
      <c r="A72" s="29"/>
      <c r="B72" s="86" t="s">
        <v>150</v>
      </c>
      <c r="C72" s="16" t="s">
        <v>34</v>
      </c>
      <c r="D72" s="14"/>
      <c r="E72" s="71">
        <v>23.4</v>
      </c>
      <c r="F72" s="13">
        <f>SUM(E72)</f>
        <v>23.4</v>
      </c>
      <c r="G72" s="13">
        <v>39.81</v>
      </c>
      <c r="H72" s="66">
        <f t="shared" si="6"/>
        <v>0.93155399999999999</v>
      </c>
      <c r="I72" s="13">
        <f t="shared" si="7"/>
        <v>931.55399999999997</v>
      </c>
    </row>
    <row r="73" spans="1:21" ht="15.75" customHeight="1">
      <c r="A73" s="29">
        <v>19</v>
      </c>
      <c r="B73" s="14" t="s">
        <v>59</v>
      </c>
      <c r="C73" s="16" t="s">
        <v>60</v>
      </c>
      <c r="D73" s="14" t="s">
        <v>54</v>
      </c>
      <c r="E73" s="18">
        <v>5</v>
      </c>
      <c r="F73" s="72">
        <f>SUM(E73)</f>
        <v>5</v>
      </c>
      <c r="G73" s="13">
        <v>53.32</v>
      </c>
      <c r="H73" s="66">
        <f t="shared" si="6"/>
        <v>0.2666</v>
      </c>
      <c r="I73" s="13">
        <f t="shared" si="7"/>
        <v>266.60000000000002</v>
      </c>
    </row>
    <row r="74" spans="1:21" ht="15.75" customHeight="1">
      <c r="A74" s="29">
        <v>20</v>
      </c>
      <c r="B74" s="14" t="s">
        <v>151</v>
      </c>
      <c r="C74" s="16" t="s">
        <v>60</v>
      </c>
      <c r="D74" s="14" t="s">
        <v>30</v>
      </c>
      <c r="E74" s="18">
        <v>1</v>
      </c>
      <c r="F74" s="59">
        <v>12</v>
      </c>
      <c r="G74" s="13">
        <v>711</v>
      </c>
      <c r="H74" s="66">
        <v>8.5310000000000006</v>
      </c>
      <c r="I74" s="13">
        <f>F74/12*G74</f>
        <v>711</v>
      </c>
    </row>
    <row r="75" spans="1:21" ht="15.75" hidden="1" customHeight="1">
      <c r="A75" s="29"/>
      <c r="B75" s="54" t="s">
        <v>76</v>
      </c>
      <c r="C75" s="16"/>
      <c r="D75" s="14"/>
      <c r="E75" s="18"/>
      <c r="F75" s="13"/>
      <c r="G75" s="13"/>
      <c r="H75" s="66" t="s">
        <v>143</v>
      </c>
      <c r="I75" s="13"/>
    </row>
    <row r="76" spans="1:21" ht="15.75" hidden="1" customHeight="1">
      <c r="A76" s="29"/>
      <c r="B76" s="14" t="s">
        <v>77</v>
      </c>
      <c r="C76" s="16" t="s">
        <v>32</v>
      </c>
      <c r="D76" s="14" t="s">
        <v>69</v>
      </c>
      <c r="E76" s="18">
        <v>2</v>
      </c>
      <c r="F76" s="59">
        <v>0.2</v>
      </c>
      <c r="G76" s="13">
        <v>536.23</v>
      </c>
      <c r="H76" s="66">
        <v>0.107</v>
      </c>
      <c r="I76" s="13">
        <v>0</v>
      </c>
    </row>
    <row r="77" spans="1:21" ht="15.75" hidden="1" customHeight="1">
      <c r="A77" s="29"/>
      <c r="B77" s="14" t="s">
        <v>94</v>
      </c>
      <c r="C77" s="16" t="s">
        <v>31</v>
      </c>
      <c r="D77" s="14"/>
      <c r="E77" s="18">
        <v>1</v>
      </c>
      <c r="F77" s="72">
        <f>SUM(E77)</f>
        <v>1</v>
      </c>
      <c r="G77" s="13">
        <v>383.25</v>
      </c>
      <c r="H77" s="66">
        <f t="shared" si="6"/>
        <v>0.38324999999999998</v>
      </c>
      <c r="I77" s="13">
        <v>0</v>
      </c>
    </row>
    <row r="78" spans="1:21" ht="15.75" hidden="1" customHeight="1">
      <c r="A78" s="29"/>
      <c r="B78" s="14" t="s">
        <v>78</v>
      </c>
      <c r="C78" s="16" t="s">
        <v>31</v>
      </c>
      <c r="D78" s="14"/>
      <c r="E78" s="18">
        <v>1</v>
      </c>
      <c r="F78" s="13">
        <v>1</v>
      </c>
      <c r="G78" s="13">
        <v>911.85</v>
      </c>
      <c r="H78" s="66">
        <f>F78*G78/1000</f>
        <v>0.91185000000000005</v>
      </c>
      <c r="I78" s="13">
        <v>0</v>
      </c>
    </row>
    <row r="79" spans="1:21" ht="15.75" hidden="1" customHeight="1">
      <c r="A79" s="29"/>
      <c r="B79" s="87" t="s">
        <v>79</v>
      </c>
      <c r="C79" s="16"/>
      <c r="D79" s="14"/>
      <c r="E79" s="18"/>
      <c r="F79" s="13"/>
      <c r="G79" s="13" t="s">
        <v>143</v>
      </c>
      <c r="H79" s="66" t="s">
        <v>143</v>
      </c>
      <c r="I79" s="13"/>
    </row>
    <row r="80" spans="1:21" ht="15.75" hidden="1" customHeight="1">
      <c r="A80" s="29"/>
      <c r="B80" s="42" t="s">
        <v>144</v>
      </c>
      <c r="C80" s="16" t="s">
        <v>80</v>
      </c>
      <c r="D80" s="14"/>
      <c r="E80" s="18"/>
      <c r="F80" s="13">
        <v>0.6</v>
      </c>
      <c r="G80" s="13">
        <v>2949.85</v>
      </c>
      <c r="H80" s="66">
        <f t="shared" si="6"/>
        <v>1.7699099999999999</v>
      </c>
      <c r="I80" s="13">
        <v>0</v>
      </c>
      <c r="J80" s="5"/>
      <c r="K80" s="5"/>
      <c r="L80" s="5"/>
      <c r="M80" s="5"/>
      <c r="N80" s="5"/>
      <c r="O80" s="5"/>
      <c r="P80" s="5"/>
      <c r="Q80" s="5"/>
      <c r="R80" s="53"/>
      <c r="S80" s="53"/>
      <c r="T80" s="53"/>
      <c r="U80" s="53"/>
    </row>
    <row r="81" spans="1:21" ht="15.75" hidden="1" customHeight="1">
      <c r="A81" s="43"/>
      <c r="B81" s="54" t="s">
        <v>141</v>
      </c>
      <c r="C81" s="54"/>
      <c r="D81" s="54"/>
      <c r="E81" s="54"/>
      <c r="F81" s="54"/>
      <c r="G81" s="54"/>
      <c r="H81" s="54"/>
      <c r="I81" s="18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29"/>
      <c r="B82" s="69" t="s">
        <v>142</v>
      </c>
      <c r="C82" s="16"/>
      <c r="D82" s="14"/>
      <c r="E82" s="60"/>
      <c r="F82" s="13">
        <v>1</v>
      </c>
      <c r="G82" s="13">
        <v>21062.799999999999</v>
      </c>
      <c r="H82" s="66">
        <f>G82*F82/1000</f>
        <v>21.062799999999999</v>
      </c>
      <c r="I82" s="13">
        <v>0</v>
      </c>
      <c r="J82" s="5"/>
      <c r="K82" s="5"/>
      <c r="L82" s="5"/>
      <c r="M82" s="5"/>
      <c r="N82" s="5"/>
      <c r="O82" s="5"/>
      <c r="P82" s="5"/>
      <c r="Q82" s="5"/>
      <c r="R82" s="53"/>
      <c r="S82" s="53"/>
      <c r="T82" s="53"/>
      <c r="U82" s="53"/>
    </row>
    <row r="83" spans="1:21" ht="15.75" customHeight="1">
      <c r="A83" s="111" t="s">
        <v>155</v>
      </c>
      <c r="B83" s="112"/>
      <c r="C83" s="112"/>
      <c r="D83" s="112"/>
      <c r="E83" s="112"/>
      <c r="F83" s="112"/>
      <c r="G83" s="112"/>
      <c r="H83" s="112"/>
      <c r="I83" s="113"/>
    </row>
    <row r="84" spans="1:21" ht="15.75" customHeight="1">
      <c r="A84" s="29">
        <v>21</v>
      </c>
      <c r="B84" s="69" t="s">
        <v>145</v>
      </c>
      <c r="C84" s="16" t="s">
        <v>56</v>
      </c>
      <c r="D84" s="88" t="s">
        <v>57</v>
      </c>
      <c r="E84" s="13">
        <v>5816.5</v>
      </c>
      <c r="F84" s="13">
        <f>SUM(E84*12)</f>
        <v>69798</v>
      </c>
      <c r="G84" s="13">
        <v>2.54</v>
      </c>
      <c r="H84" s="66">
        <f>SUM(F84*G84/1000)</f>
        <v>177.28692000000001</v>
      </c>
      <c r="I84" s="13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53"/>
      <c r="S84" s="53"/>
      <c r="T84" s="53"/>
      <c r="U84" s="53"/>
    </row>
    <row r="85" spans="1:21" ht="31.5" customHeight="1">
      <c r="A85" s="29">
        <v>22</v>
      </c>
      <c r="B85" s="14" t="s">
        <v>81</v>
      </c>
      <c r="C85" s="16"/>
      <c r="D85" s="88" t="s">
        <v>57</v>
      </c>
      <c r="E85" s="71">
        <f>E84</f>
        <v>5816.5</v>
      </c>
      <c r="F85" s="13">
        <f>E85*12</f>
        <v>69798</v>
      </c>
      <c r="G85" s="13">
        <v>2.0499999999999998</v>
      </c>
      <c r="H85" s="66">
        <f>F85*G85/1000</f>
        <v>143.08589999999998</v>
      </c>
      <c r="I85" s="13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53"/>
      <c r="S85" s="53"/>
      <c r="T85" s="53"/>
      <c r="U85" s="53"/>
    </row>
    <row r="86" spans="1:21" ht="15.75" customHeight="1">
      <c r="A86" s="43"/>
      <c r="B86" s="34" t="s">
        <v>84</v>
      </c>
      <c r="C86" s="35"/>
      <c r="D86" s="15"/>
      <c r="E86" s="15"/>
      <c r="F86" s="15"/>
      <c r="G86" s="18"/>
      <c r="H86" s="18"/>
      <c r="I86" s="31">
        <f>I16+I17+I18+I20+I21+I27+I28+I31+I32+I34+I35+I48+I49+I50+I51+I52+I64+I66+I73+I74+I84+I85</f>
        <v>96436.368052800011</v>
      </c>
    </row>
    <row r="87" spans="1:21" ht="15.75" customHeight="1">
      <c r="A87" s="125" t="s">
        <v>62</v>
      </c>
      <c r="B87" s="126"/>
      <c r="C87" s="126"/>
      <c r="D87" s="126"/>
      <c r="E87" s="126"/>
      <c r="F87" s="126"/>
      <c r="G87" s="126"/>
      <c r="H87" s="126"/>
      <c r="I87" s="127"/>
    </row>
    <row r="88" spans="1:21" ht="15.75" customHeight="1">
      <c r="A88" s="29">
        <v>23</v>
      </c>
      <c r="B88" s="46" t="s">
        <v>86</v>
      </c>
      <c r="C88" s="65" t="s">
        <v>136</v>
      </c>
      <c r="D88" s="42"/>
      <c r="E88" s="13"/>
      <c r="F88" s="13">
        <v>26</v>
      </c>
      <c r="G88" s="13">
        <v>189.88</v>
      </c>
      <c r="H88" s="66">
        <f t="shared" ref="H88" si="8">G88*F88/1000</f>
        <v>4.9368800000000004</v>
      </c>
      <c r="I88" s="13">
        <f>G88*3</f>
        <v>569.64</v>
      </c>
      <c r="J88" s="5"/>
      <c r="K88" s="5"/>
      <c r="L88" s="5"/>
      <c r="M88" s="5"/>
      <c r="N88" s="5"/>
      <c r="O88" s="5"/>
      <c r="P88" s="5"/>
      <c r="Q88" s="5"/>
      <c r="R88" s="53"/>
      <c r="S88" s="53"/>
      <c r="T88" s="53"/>
      <c r="U88" s="53"/>
    </row>
    <row r="89" spans="1:21" ht="15.75" customHeight="1">
      <c r="A89" s="29">
        <v>24</v>
      </c>
      <c r="B89" s="46" t="s">
        <v>162</v>
      </c>
      <c r="C89" s="65" t="s">
        <v>88</v>
      </c>
      <c r="D89" s="42"/>
      <c r="E89" s="33"/>
      <c r="F89" s="33">
        <v>10</v>
      </c>
      <c r="G89" s="33">
        <v>195.85</v>
      </c>
      <c r="H89" s="97">
        <f>G89*F89/1000</f>
        <v>1.9584999999999999</v>
      </c>
      <c r="I89" s="13">
        <f>G89*5</f>
        <v>979.25</v>
      </c>
      <c r="J89" s="5"/>
      <c r="K89" s="5"/>
      <c r="L89" s="5"/>
      <c r="M89" s="5"/>
      <c r="N89" s="5"/>
      <c r="O89" s="5"/>
      <c r="P89" s="5"/>
      <c r="Q89" s="5"/>
      <c r="R89" s="53"/>
      <c r="S89" s="53"/>
      <c r="T89" s="53"/>
      <c r="U89" s="53"/>
    </row>
    <row r="90" spans="1:21" ht="31.5" customHeight="1">
      <c r="A90" s="29">
        <v>25</v>
      </c>
      <c r="B90" s="46" t="s">
        <v>83</v>
      </c>
      <c r="C90" s="65" t="s">
        <v>136</v>
      </c>
      <c r="D90" s="42"/>
      <c r="E90" s="33"/>
      <c r="F90" s="33">
        <v>4</v>
      </c>
      <c r="G90" s="33">
        <v>83.36</v>
      </c>
      <c r="H90" s="97">
        <f>G90*F90/1000</f>
        <v>0.33344000000000001</v>
      </c>
      <c r="I90" s="13">
        <f>G90*2</f>
        <v>166.72</v>
      </c>
      <c r="J90" s="5"/>
      <c r="K90" s="5"/>
      <c r="L90" s="5"/>
      <c r="M90" s="5"/>
      <c r="N90" s="5"/>
      <c r="O90" s="5"/>
      <c r="P90" s="5"/>
      <c r="Q90" s="5"/>
      <c r="R90" s="53"/>
      <c r="S90" s="53"/>
      <c r="T90" s="53"/>
      <c r="U90" s="53"/>
    </row>
    <row r="91" spans="1:21" ht="15.75" customHeight="1">
      <c r="A91" s="29">
        <v>26</v>
      </c>
      <c r="B91" s="46" t="s">
        <v>236</v>
      </c>
      <c r="C91" s="65" t="s">
        <v>172</v>
      </c>
      <c r="D91" s="42"/>
      <c r="E91" s="13"/>
      <c r="F91" s="13">
        <v>0.02</v>
      </c>
      <c r="G91" s="13">
        <v>7412.92</v>
      </c>
      <c r="H91" s="66">
        <f t="shared" ref="H91" si="9">G91*F91/1000</f>
        <v>0.14825839999999998</v>
      </c>
      <c r="I91" s="13">
        <f>G91*0.01</f>
        <v>74.129199999999997</v>
      </c>
      <c r="J91" s="5"/>
      <c r="K91" s="5"/>
      <c r="L91" s="5"/>
      <c r="M91" s="5"/>
      <c r="N91" s="5"/>
      <c r="O91" s="5"/>
      <c r="P91" s="5"/>
      <c r="Q91" s="5"/>
      <c r="R91" s="53"/>
      <c r="S91" s="53"/>
      <c r="T91" s="53"/>
      <c r="U91" s="53"/>
    </row>
    <row r="92" spans="1:21" ht="31.5" customHeight="1">
      <c r="A92" s="29">
        <v>27</v>
      </c>
      <c r="B92" s="46" t="s">
        <v>167</v>
      </c>
      <c r="C92" s="65" t="s">
        <v>38</v>
      </c>
      <c r="D92" s="89"/>
      <c r="E92" s="13"/>
      <c r="F92" s="13">
        <v>7.0000000000000007E-2</v>
      </c>
      <c r="G92" s="13">
        <v>3581.13</v>
      </c>
      <c r="H92" s="66">
        <f>G92*F92/1000</f>
        <v>0.25067910000000004</v>
      </c>
      <c r="I92" s="13">
        <f>G92*0.04</f>
        <v>143.24520000000001</v>
      </c>
      <c r="J92" s="5"/>
      <c r="K92" s="5"/>
      <c r="L92" s="5"/>
      <c r="M92" s="5"/>
      <c r="N92" s="5"/>
      <c r="O92" s="5"/>
      <c r="P92" s="5"/>
      <c r="Q92" s="5"/>
      <c r="R92" s="53"/>
      <c r="S92" s="53"/>
      <c r="T92" s="53"/>
      <c r="U92" s="53"/>
    </row>
    <row r="93" spans="1:21" ht="31.5" customHeight="1">
      <c r="A93" s="29">
        <v>28</v>
      </c>
      <c r="B93" s="46" t="s">
        <v>185</v>
      </c>
      <c r="C93" s="65" t="s">
        <v>112</v>
      </c>
      <c r="D93" s="42"/>
      <c r="E93" s="13"/>
      <c r="F93" s="13">
        <v>1</v>
      </c>
      <c r="G93" s="13">
        <v>54.17</v>
      </c>
      <c r="H93" s="66">
        <f t="shared" ref="H93:H95" si="10">G93*F93/1000</f>
        <v>5.4170000000000003E-2</v>
      </c>
      <c r="I93" s="13">
        <f>G93</f>
        <v>54.17</v>
      </c>
      <c r="J93" s="5"/>
      <c r="K93" s="5"/>
      <c r="L93" s="5"/>
      <c r="M93" s="5"/>
      <c r="N93" s="5"/>
      <c r="O93" s="5"/>
      <c r="P93" s="5"/>
      <c r="Q93" s="5"/>
      <c r="R93" s="93"/>
      <c r="S93" s="93"/>
      <c r="T93" s="93"/>
      <c r="U93" s="93"/>
    </row>
    <row r="94" spans="1:21" ht="15.75" customHeight="1">
      <c r="A94" s="29">
        <v>29</v>
      </c>
      <c r="B94" s="46" t="s">
        <v>255</v>
      </c>
      <c r="C94" s="65" t="s">
        <v>136</v>
      </c>
      <c r="D94" s="42"/>
      <c r="E94" s="13"/>
      <c r="F94" s="13">
        <v>1</v>
      </c>
      <c r="G94" s="13">
        <v>1037.95</v>
      </c>
      <c r="H94" s="66">
        <f t="shared" si="10"/>
        <v>1.0379500000000002</v>
      </c>
      <c r="I94" s="13">
        <f t="shared" ref="I94" si="11">G94</f>
        <v>1037.95</v>
      </c>
      <c r="J94" s="5"/>
      <c r="K94" s="5"/>
      <c r="L94" s="5"/>
      <c r="M94" s="5"/>
      <c r="N94" s="5"/>
      <c r="O94" s="5"/>
      <c r="P94" s="5"/>
      <c r="Q94" s="5"/>
      <c r="R94" s="93"/>
      <c r="S94" s="93"/>
      <c r="T94" s="93"/>
      <c r="U94" s="93"/>
    </row>
    <row r="95" spans="1:21" ht="15.75" customHeight="1">
      <c r="A95" s="29">
        <v>30</v>
      </c>
      <c r="B95" s="46" t="s">
        <v>256</v>
      </c>
      <c r="C95" s="65" t="s">
        <v>257</v>
      </c>
      <c r="D95" s="42"/>
      <c r="E95" s="13"/>
      <c r="F95" s="13">
        <v>30</v>
      </c>
      <c r="G95" s="13">
        <v>88.14</v>
      </c>
      <c r="H95" s="66">
        <f t="shared" si="10"/>
        <v>2.6441999999999997</v>
      </c>
      <c r="I95" s="13">
        <f>G95*30</f>
        <v>2644.2</v>
      </c>
      <c r="J95" s="5"/>
      <c r="K95" s="5"/>
      <c r="L95" s="5"/>
      <c r="M95" s="5"/>
      <c r="N95" s="5"/>
      <c r="O95" s="5"/>
      <c r="P95" s="5"/>
      <c r="Q95" s="5"/>
      <c r="R95" s="93"/>
      <c r="S95" s="93"/>
      <c r="T95" s="93"/>
      <c r="U95" s="93"/>
    </row>
    <row r="96" spans="1:21" ht="15.75" customHeight="1">
      <c r="A96" s="29"/>
      <c r="B96" s="40" t="s">
        <v>52</v>
      </c>
      <c r="C96" s="36"/>
      <c r="D96" s="44"/>
      <c r="E96" s="36">
        <v>1</v>
      </c>
      <c r="F96" s="36"/>
      <c r="G96" s="36"/>
      <c r="H96" s="36"/>
      <c r="I96" s="31">
        <f>SUM(I88:I95)</f>
        <v>5669.3044</v>
      </c>
    </row>
    <row r="97" spans="1:9" ht="15.75" customHeight="1">
      <c r="A97" s="29"/>
      <c r="B97" s="42" t="s">
        <v>82</v>
      </c>
      <c r="C97" s="15"/>
      <c r="D97" s="15"/>
      <c r="E97" s="37"/>
      <c r="F97" s="37"/>
      <c r="G97" s="38"/>
      <c r="H97" s="38"/>
      <c r="I97" s="17">
        <v>0</v>
      </c>
    </row>
    <row r="98" spans="1:9" ht="15.75" customHeight="1">
      <c r="A98" s="45"/>
      <c r="B98" s="41" t="s">
        <v>210</v>
      </c>
      <c r="C98" s="32"/>
      <c r="D98" s="32"/>
      <c r="E98" s="32"/>
      <c r="F98" s="32"/>
      <c r="G98" s="32"/>
      <c r="H98" s="32"/>
      <c r="I98" s="39">
        <f>I86+I96</f>
        <v>102105.6724528</v>
      </c>
    </row>
    <row r="99" spans="1:9" ht="15.75" customHeight="1">
      <c r="A99" s="128" t="s">
        <v>258</v>
      </c>
      <c r="B99" s="128"/>
      <c r="C99" s="128"/>
      <c r="D99" s="128"/>
      <c r="E99" s="128"/>
      <c r="F99" s="128"/>
      <c r="G99" s="128"/>
      <c r="H99" s="128"/>
      <c r="I99" s="128"/>
    </row>
    <row r="100" spans="1:9" ht="15.75" customHeight="1">
      <c r="A100" s="57"/>
      <c r="B100" s="129" t="s">
        <v>259</v>
      </c>
      <c r="C100" s="129"/>
      <c r="D100" s="129"/>
      <c r="E100" s="129"/>
      <c r="F100" s="129"/>
      <c r="G100" s="129"/>
      <c r="H100" s="63"/>
      <c r="I100" s="3"/>
    </row>
    <row r="101" spans="1:9" ht="15.75" customHeight="1">
      <c r="A101" s="53"/>
      <c r="B101" s="130" t="s">
        <v>6</v>
      </c>
      <c r="C101" s="130"/>
      <c r="D101" s="130"/>
      <c r="E101" s="130"/>
      <c r="F101" s="130"/>
      <c r="G101" s="130"/>
      <c r="H101" s="24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131" t="s">
        <v>7</v>
      </c>
      <c r="B103" s="131"/>
      <c r="C103" s="131"/>
      <c r="D103" s="131"/>
      <c r="E103" s="131"/>
      <c r="F103" s="131"/>
      <c r="G103" s="131"/>
      <c r="H103" s="131"/>
      <c r="I103" s="131"/>
    </row>
    <row r="104" spans="1:9" ht="15.75" customHeight="1">
      <c r="A104" s="131" t="s">
        <v>8</v>
      </c>
      <c r="B104" s="131"/>
      <c r="C104" s="131"/>
      <c r="D104" s="131"/>
      <c r="E104" s="131"/>
      <c r="F104" s="131"/>
      <c r="G104" s="131"/>
      <c r="H104" s="131"/>
      <c r="I104" s="131"/>
    </row>
    <row r="105" spans="1:9" ht="15.75" customHeight="1">
      <c r="A105" s="120" t="s">
        <v>63</v>
      </c>
      <c r="B105" s="120"/>
      <c r="C105" s="120"/>
      <c r="D105" s="120"/>
      <c r="E105" s="120"/>
      <c r="F105" s="120"/>
      <c r="G105" s="120"/>
      <c r="H105" s="120"/>
      <c r="I105" s="120"/>
    </row>
    <row r="106" spans="1:9" ht="15.75" customHeight="1">
      <c r="A106" s="11"/>
    </row>
    <row r="107" spans="1:9" ht="15.75" customHeight="1">
      <c r="A107" s="133" t="s">
        <v>9</v>
      </c>
      <c r="B107" s="133"/>
      <c r="C107" s="133"/>
      <c r="D107" s="133"/>
      <c r="E107" s="133"/>
      <c r="F107" s="133"/>
      <c r="G107" s="133"/>
      <c r="H107" s="133"/>
      <c r="I107" s="133"/>
    </row>
    <row r="108" spans="1:9" ht="15.75" customHeight="1">
      <c r="A108" s="4"/>
    </row>
    <row r="109" spans="1:9" ht="15.75" customHeight="1">
      <c r="B109" s="56" t="s">
        <v>10</v>
      </c>
      <c r="C109" s="134" t="s">
        <v>96</v>
      </c>
      <c r="D109" s="134"/>
      <c r="E109" s="134"/>
      <c r="F109" s="61"/>
      <c r="I109" s="52"/>
    </row>
    <row r="110" spans="1:9" ht="15.75" customHeight="1">
      <c r="A110" s="53"/>
      <c r="C110" s="130" t="s">
        <v>11</v>
      </c>
      <c r="D110" s="130"/>
      <c r="E110" s="130"/>
      <c r="F110" s="24"/>
      <c r="I110" s="51" t="s">
        <v>12</v>
      </c>
    </row>
    <row r="111" spans="1:9" ht="15.75" customHeight="1">
      <c r="A111" s="25"/>
      <c r="C111" s="12"/>
      <c r="D111" s="12"/>
      <c r="G111" s="12"/>
      <c r="H111" s="12"/>
    </row>
    <row r="112" spans="1:9" ht="15.75" customHeight="1">
      <c r="B112" s="56" t="s">
        <v>13</v>
      </c>
      <c r="C112" s="135"/>
      <c r="D112" s="135"/>
      <c r="E112" s="135"/>
      <c r="F112" s="62"/>
      <c r="I112" s="52"/>
    </row>
    <row r="113" spans="1:9" ht="15.75" customHeight="1">
      <c r="A113" s="53"/>
      <c r="C113" s="110" t="s">
        <v>11</v>
      </c>
      <c r="D113" s="110"/>
      <c r="E113" s="110"/>
      <c r="F113" s="53"/>
      <c r="I113" s="51" t="s">
        <v>12</v>
      </c>
    </row>
    <row r="114" spans="1:9" ht="15.75" customHeight="1">
      <c r="A114" s="4" t="s">
        <v>14</v>
      </c>
    </row>
    <row r="115" spans="1:9" ht="15.75" customHeight="1">
      <c r="A115" s="136" t="s">
        <v>15</v>
      </c>
      <c r="B115" s="136"/>
      <c r="C115" s="136"/>
      <c r="D115" s="136"/>
      <c r="E115" s="136"/>
      <c r="F115" s="136"/>
      <c r="G115" s="136"/>
      <c r="H115" s="136"/>
      <c r="I115" s="136"/>
    </row>
    <row r="116" spans="1:9" ht="45" customHeight="1">
      <c r="A116" s="132" t="s">
        <v>16</v>
      </c>
      <c r="B116" s="132"/>
      <c r="C116" s="132"/>
      <c r="D116" s="132"/>
      <c r="E116" s="132"/>
      <c r="F116" s="132"/>
      <c r="G116" s="132"/>
      <c r="H116" s="132"/>
      <c r="I116" s="132"/>
    </row>
    <row r="117" spans="1:9" ht="30" customHeight="1">
      <c r="A117" s="132" t="s">
        <v>17</v>
      </c>
      <c r="B117" s="132"/>
      <c r="C117" s="132"/>
      <c r="D117" s="132"/>
      <c r="E117" s="132"/>
      <c r="F117" s="132"/>
      <c r="G117" s="132"/>
      <c r="H117" s="132"/>
      <c r="I117" s="132"/>
    </row>
    <row r="118" spans="1:9" ht="30" customHeight="1">
      <c r="A118" s="132" t="s">
        <v>21</v>
      </c>
      <c r="B118" s="132"/>
      <c r="C118" s="132"/>
      <c r="D118" s="132"/>
      <c r="E118" s="132"/>
      <c r="F118" s="132"/>
      <c r="G118" s="132"/>
      <c r="H118" s="132"/>
      <c r="I118" s="132"/>
    </row>
    <row r="119" spans="1:9" ht="15" customHeight="1">
      <c r="A119" s="132" t="s">
        <v>20</v>
      </c>
      <c r="B119" s="132"/>
      <c r="C119" s="132"/>
      <c r="D119" s="132"/>
      <c r="E119" s="132"/>
      <c r="F119" s="132"/>
      <c r="G119" s="132"/>
      <c r="H119" s="132"/>
      <c r="I119" s="132"/>
    </row>
  </sheetData>
  <autoFilter ref="I12:I62"/>
  <mergeCells count="29"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  <mergeCell ref="A105:I105"/>
    <mergeCell ref="A15:I15"/>
    <mergeCell ref="A29:I29"/>
    <mergeCell ref="A47:I47"/>
    <mergeCell ref="A57:I57"/>
    <mergeCell ref="A99:I99"/>
    <mergeCell ref="B100:G100"/>
    <mergeCell ref="B101:G101"/>
    <mergeCell ref="A103:I103"/>
    <mergeCell ref="A104:I104"/>
    <mergeCell ref="A87:I87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2017-12-14T12:22:37Z</cp:lastPrinted>
  <dcterms:created xsi:type="dcterms:W3CDTF">2016-03-25T08:33:47Z</dcterms:created>
  <dcterms:modified xsi:type="dcterms:W3CDTF">2018-03-30T05:59:17Z</dcterms:modified>
</cp:coreProperties>
</file>