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17" r:id="rId1"/>
    <sheet name="02.18" sheetId="28" r:id="rId2"/>
    <sheet name="03.18" sheetId="29" r:id="rId3"/>
    <sheet name="04.18" sheetId="30" r:id="rId4"/>
    <sheet name="05.18" sheetId="31" r:id="rId5"/>
    <sheet name="06.18" sheetId="32" r:id="rId6"/>
    <sheet name="07.18" sheetId="33" r:id="rId7"/>
    <sheet name="08.18" sheetId="34" r:id="rId8"/>
    <sheet name="09.18" sheetId="35" r:id="rId9"/>
    <sheet name="10.18" sheetId="36" r:id="rId10"/>
    <sheet name="11.18" sheetId="37" r:id="rId11"/>
    <sheet name="12.18" sheetId="38" r:id="rId12"/>
  </sheets>
  <definedNames>
    <definedName name="_xlnm._FilterDatabase" localSheetId="0" hidden="1">'01.18'!$I$12:$I$60</definedName>
    <definedName name="_xlnm._FilterDatabase" localSheetId="1" hidden="1">'02.18'!$I$12:$I$60</definedName>
    <definedName name="_xlnm._FilterDatabase" localSheetId="2" hidden="1">'03.18'!$I$12:$I$60</definedName>
    <definedName name="_xlnm._FilterDatabase" localSheetId="3" hidden="1">'04.18'!$I$12:$I$55</definedName>
    <definedName name="_xlnm._FilterDatabase" localSheetId="4" hidden="1">'05.18'!$I$12:$I$59</definedName>
    <definedName name="_xlnm._FilterDatabase" localSheetId="5" hidden="1">'06.18'!$I$12:$I$59</definedName>
    <definedName name="_xlnm._FilterDatabase" localSheetId="6" hidden="1">'07.18'!$I$12:$I$59</definedName>
    <definedName name="_xlnm._FilterDatabase" localSheetId="7" hidden="1">'08.18'!$I$12:$I$59</definedName>
    <definedName name="_xlnm._FilterDatabase" localSheetId="8" hidden="1">'09.18'!$I$12:$I$59</definedName>
    <definedName name="_xlnm._FilterDatabase" localSheetId="9" hidden="1">'10.18'!$I$12:$I$59</definedName>
    <definedName name="_xlnm._FilterDatabase" localSheetId="10" hidden="1">'11.18'!$I$12:$I$59</definedName>
    <definedName name="_xlnm._FilterDatabase" localSheetId="11" hidden="1">'12.18'!$I$12:$I$59</definedName>
    <definedName name="_xlnm.Print_Area" localSheetId="0">'01.18'!$A$1:$I$116</definedName>
    <definedName name="_xlnm.Print_Area" localSheetId="1">'02.18'!$A$1:$I$120</definedName>
    <definedName name="_xlnm.Print_Area" localSheetId="2">'03.18'!$A$1:$I$125</definedName>
    <definedName name="_xlnm.Print_Area" localSheetId="3">'04.18'!$A$1:$I$123</definedName>
    <definedName name="_xlnm.Print_Area" localSheetId="4">'05.18'!$A$1:$I$111</definedName>
    <definedName name="_xlnm.Print_Area" localSheetId="5">'06.18'!$A$1:$I$108</definedName>
    <definedName name="_xlnm.Print_Area" localSheetId="6">'07.18'!$A$1:$I$117</definedName>
    <definedName name="_xlnm.Print_Area" localSheetId="7">'08.18'!$A$1:$I$117</definedName>
    <definedName name="_xlnm.Print_Area" localSheetId="8">'09.18'!$A$1:$I$118</definedName>
    <definedName name="_xlnm.Print_Area" localSheetId="9">'10.18'!$A$1:$I$114</definedName>
    <definedName name="_xlnm.Print_Area" localSheetId="10">'11.18'!$A$1:$I$114</definedName>
    <definedName name="_xlnm.Print_Area" localSheetId="11">'12.18'!$A$1:$I$111</definedName>
  </definedNames>
  <calcPr calcId="124519"/>
</workbook>
</file>

<file path=xl/calcChain.xml><?xml version="1.0" encoding="utf-8"?>
<calcChain xmlns="http://schemas.openxmlformats.org/spreadsheetml/2006/main">
  <c r="I79" i="38"/>
  <c r="I83"/>
  <c r="I86"/>
  <c r="I87" s="1"/>
  <c r="I85"/>
  <c r="I82"/>
  <c r="I81"/>
  <c r="I84"/>
  <c r="I43"/>
  <c r="I90" i="37" l="1"/>
  <c r="I89"/>
  <c r="I88" l="1"/>
  <c r="I79" l="1"/>
  <c r="I87"/>
  <c r="I86"/>
  <c r="I85"/>
  <c r="I84"/>
  <c r="I83"/>
  <c r="I82"/>
  <c r="I81"/>
  <c r="I43"/>
  <c r="I42"/>
  <c r="I94" i="35"/>
  <c r="I93"/>
  <c r="I92"/>
  <c r="I84"/>
  <c r="I90" i="36"/>
  <c r="I84" l="1"/>
  <c r="I89"/>
  <c r="I88"/>
  <c r="I87"/>
  <c r="I86"/>
  <c r="I85"/>
  <c r="I83"/>
  <c r="I81"/>
  <c r="I61"/>
  <c r="I79" i="34" l="1"/>
  <c r="I89"/>
  <c r="I61"/>
  <c r="I79" i="35"/>
  <c r="I89"/>
  <c r="I88"/>
  <c r="I87"/>
  <c r="I86"/>
  <c r="I85"/>
  <c r="I83"/>
  <c r="I82"/>
  <c r="I81"/>
  <c r="H81"/>
  <c r="I61"/>
  <c r="I93" i="34"/>
  <c r="I92"/>
  <c r="I91"/>
  <c r="I90"/>
  <c r="I88"/>
  <c r="I87"/>
  <c r="I86"/>
  <c r="I85"/>
  <c r="I84"/>
  <c r="I83"/>
  <c r="I52" i="30"/>
  <c r="I57" i="29"/>
  <c r="I80" i="17"/>
  <c r="I57"/>
  <c r="I57" i="28"/>
  <c r="I81" i="34" l="1"/>
  <c r="I92" i="33" l="1"/>
  <c r="I91"/>
  <c r="I90"/>
  <c r="I89"/>
  <c r="I88"/>
  <c r="I87"/>
  <c r="I86"/>
  <c r="I85"/>
  <c r="I84"/>
  <c r="I83"/>
  <c r="I82"/>
  <c r="I81"/>
  <c r="I61"/>
  <c r="I79" i="32"/>
  <c r="I84"/>
  <c r="I83"/>
  <c r="I82"/>
  <c r="I81"/>
  <c r="I81" i="31"/>
  <c r="I87" s="1"/>
  <c r="I79"/>
  <c r="I86"/>
  <c r="I85"/>
  <c r="I84"/>
  <c r="I59"/>
  <c r="I92" i="17"/>
  <c r="I96" i="28"/>
  <c r="I101" i="29"/>
  <c r="I99" i="30"/>
  <c r="I75"/>
  <c r="I80"/>
  <c r="I82"/>
  <c r="I47"/>
  <c r="I46"/>
  <c r="I93" i="33" l="1"/>
  <c r="I81" i="30"/>
  <c r="I98"/>
  <c r="I97"/>
  <c r="I96"/>
  <c r="I95"/>
  <c r="I94"/>
  <c r="I93"/>
  <c r="I92"/>
  <c r="I91"/>
  <c r="I90"/>
  <c r="G90"/>
  <c r="I89"/>
  <c r="I88"/>
  <c r="I87"/>
  <c r="I86"/>
  <c r="I85"/>
  <c r="I84"/>
  <c r="I83"/>
  <c r="I79"/>
  <c r="I78"/>
  <c r="I77"/>
  <c r="I55"/>
  <c r="I44"/>
  <c r="I100" i="29" l="1"/>
  <c r="I98"/>
  <c r="I99"/>
  <c r="I97"/>
  <c r="I96"/>
  <c r="I95"/>
  <c r="I94"/>
  <c r="I93"/>
  <c r="I92"/>
  <c r="I91"/>
  <c r="H100"/>
  <c r="F100"/>
  <c r="H99"/>
  <c r="H98"/>
  <c r="H97"/>
  <c r="G96"/>
  <c r="H96" s="1"/>
  <c r="H95"/>
  <c r="H94"/>
  <c r="H93"/>
  <c r="H92"/>
  <c r="H91"/>
  <c r="I90"/>
  <c r="I89"/>
  <c r="H90"/>
  <c r="H89"/>
  <c r="I88"/>
  <c r="H88"/>
  <c r="I87"/>
  <c r="H87"/>
  <c r="I86"/>
  <c r="H86"/>
  <c r="I85"/>
  <c r="I83"/>
  <c r="I84"/>
  <c r="I82"/>
  <c r="H85"/>
  <c r="H84"/>
  <c r="H83"/>
  <c r="H82"/>
  <c r="I80"/>
  <c r="I62"/>
  <c r="F60"/>
  <c r="I58"/>
  <c r="I44"/>
  <c r="I43"/>
  <c r="I62" i="28" l="1"/>
  <c r="I85"/>
  <c r="H85"/>
  <c r="I86"/>
  <c r="I87"/>
  <c r="I88"/>
  <c r="I89"/>
  <c r="I90"/>
  <c r="I83"/>
  <c r="H83"/>
  <c r="I44"/>
  <c r="I43"/>
  <c r="I85" i="17"/>
  <c r="H85"/>
  <c r="I84"/>
  <c r="H84"/>
  <c r="I83"/>
  <c r="H83"/>
  <c r="I82"/>
  <c r="H82"/>
  <c r="I44"/>
  <c r="I43"/>
  <c r="I95" i="28" l="1"/>
  <c r="I94"/>
  <c r="I93"/>
  <c r="I92"/>
  <c r="I91"/>
  <c r="H95"/>
  <c r="H94"/>
  <c r="H93"/>
  <c r="H92"/>
  <c r="H91"/>
  <c r="H90"/>
  <c r="H89"/>
  <c r="H88"/>
  <c r="H87"/>
  <c r="H86"/>
  <c r="I84"/>
  <c r="H84"/>
  <c r="I82"/>
  <c r="H82"/>
  <c r="I80"/>
  <c r="F60"/>
  <c r="I91" i="17"/>
  <c r="H91"/>
  <c r="I90"/>
  <c r="H90"/>
  <c r="I89"/>
  <c r="H89"/>
  <c r="I88"/>
  <c r="H88"/>
  <c r="I87"/>
  <c r="H87"/>
  <c r="I86"/>
  <c r="H86"/>
  <c r="F60"/>
  <c r="H60" s="1"/>
  <c r="H86" i="38" l="1"/>
  <c r="H85"/>
  <c r="H84"/>
  <c r="F81"/>
  <c r="H81" s="1"/>
  <c r="F78"/>
  <c r="I78" s="1"/>
  <c r="F77"/>
  <c r="H77" s="1"/>
  <c r="I75"/>
  <c r="H75"/>
  <c r="H73"/>
  <c r="H71"/>
  <c r="F70"/>
  <c r="H70" s="1"/>
  <c r="I68"/>
  <c r="F68"/>
  <c r="H68" s="1"/>
  <c r="F67"/>
  <c r="I67" s="1"/>
  <c r="F66"/>
  <c r="H66" s="1"/>
  <c r="F65"/>
  <c r="I65" s="1"/>
  <c r="F64"/>
  <c r="H64" s="1"/>
  <c r="F63"/>
  <c r="I63" s="1"/>
  <c r="H62"/>
  <c r="I61"/>
  <c r="H61"/>
  <c r="I59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H43"/>
  <c r="F42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6" i="37"/>
  <c r="F85"/>
  <c r="H85" s="1"/>
  <c r="I61"/>
  <c r="H84"/>
  <c r="H83"/>
  <c r="H82"/>
  <c r="F81"/>
  <c r="H81" s="1"/>
  <c r="F78"/>
  <c r="I78" s="1"/>
  <c r="F77"/>
  <c r="H77" s="1"/>
  <c r="I75"/>
  <c r="H75"/>
  <c r="H73"/>
  <c r="H71"/>
  <c r="F70"/>
  <c r="H70" s="1"/>
  <c r="I68"/>
  <c r="F68"/>
  <c r="H68" s="1"/>
  <c r="F67"/>
  <c r="I67" s="1"/>
  <c r="F66"/>
  <c r="H66" s="1"/>
  <c r="F65"/>
  <c r="I65" s="1"/>
  <c r="F64"/>
  <c r="H64" s="1"/>
  <c r="F63"/>
  <c r="I63" s="1"/>
  <c r="H62"/>
  <c r="H61"/>
  <c r="I59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2" i="36"/>
  <c r="H82"/>
  <c r="H86" i="35"/>
  <c r="H85"/>
  <c r="H84"/>
  <c r="H83"/>
  <c r="H87"/>
  <c r="H89"/>
  <c r="H90"/>
  <c r="H42" i="38" l="1"/>
  <c r="I42"/>
  <c r="H59"/>
  <c r="H56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H45"/>
  <c r="I46"/>
  <c r="H47"/>
  <c r="I48"/>
  <c r="H49"/>
  <c r="I50"/>
  <c r="H51"/>
  <c r="H63"/>
  <c r="I64"/>
  <c r="H65"/>
  <c r="I66"/>
  <c r="H67"/>
  <c r="I77"/>
  <c r="H78"/>
  <c r="H56" i="37"/>
  <c r="H65"/>
  <c r="H17"/>
  <c r="H20"/>
  <c r="H24"/>
  <c r="H45"/>
  <c r="H59"/>
  <c r="H63"/>
  <c r="H67"/>
  <c r="H22"/>
  <c r="H26"/>
  <c r="H49"/>
  <c r="H78"/>
  <c r="H47"/>
  <c r="H51"/>
  <c r="H32"/>
  <c r="H30"/>
  <c r="H41"/>
  <c r="H38"/>
  <c r="I18"/>
  <c r="H18"/>
  <c r="I16"/>
  <c r="I19"/>
  <c r="I21"/>
  <c r="I23"/>
  <c r="I25"/>
  <c r="I29"/>
  <c r="I31"/>
  <c r="I33"/>
  <c r="I40"/>
  <c r="I46"/>
  <c r="I48"/>
  <c r="I50"/>
  <c r="I64"/>
  <c r="I66"/>
  <c r="I77"/>
  <c r="H74" l="1"/>
  <c r="H74" i="38"/>
  <c r="I89"/>
  <c r="I92" i="37"/>
  <c r="H81" i="36" l="1"/>
  <c r="F78"/>
  <c r="I78" s="1"/>
  <c r="F77"/>
  <c r="I77" s="1"/>
  <c r="I75"/>
  <c r="H75"/>
  <c r="H73"/>
  <c r="H71"/>
  <c r="F70"/>
  <c r="H70" s="1"/>
  <c r="I68"/>
  <c r="F68"/>
  <c r="H68" s="1"/>
  <c r="F67"/>
  <c r="H67" s="1"/>
  <c r="F66"/>
  <c r="I66" s="1"/>
  <c r="F65"/>
  <c r="H65" s="1"/>
  <c r="F64"/>
  <c r="I64" s="1"/>
  <c r="F63"/>
  <c r="H63" s="1"/>
  <c r="H62"/>
  <c r="H61"/>
  <c r="H59"/>
  <c r="H57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H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1" i="35"/>
  <c r="H88"/>
  <c r="F82"/>
  <c r="H82" s="1"/>
  <c r="I68"/>
  <c r="F78"/>
  <c r="I78" s="1"/>
  <c r="F77"/>
  <c r="H77" s="1"/>
  <c r="I75"/>
  <c r="H75"/>
  <c r="H73"/>
  <c r="H71"/>
  <c r="F70"/>
  <c r="H70" s="1"/>
  <c r="F68"/>
  <c r="H68" s="1"/>
  <c r="F67"/>
  <c r="H67" s="1"/>
  <c r="F66"/>
  <c r="I66" s="1"/>
  <c r="F65"/>
  <c r="H65" s="1"/>
  <c r="F64"/>
  <c r="I64" s="1"/>
  <c r="F63"/>
  <c r="H63" s="1"/>
  <c r="H62"/>
  <c r="H61"/>
  <c r="I59"/>
  <c r="H57"/>
  <c r="F56"/>
  <c r="I56" s="1"/>
  <c r="I53"/>
  <c r="F53"/>
  <c r="H53" s="1"/>
  <c r="I52"/>
  <c r="H52"/>
  <c r="F51"/>
  <c r="I51" s="1"/>
  <c r="F50"/>
  <c r="I50" s="1"/>
  <c r="F49"/>
  <c r="I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I39"/>
  <c r="H39"/>
  <c r="F38"/>
  <c r="I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2" i="34"/>
  <c r="H82"/>
  <c r="F81"/>
  <c r="H81" s="1"/>
  <c r="F78"/>
  <c r="I78" s="1"/>
  <c r="F77"/>
  <c r="H77" s="1"/>
  <c r="I75"/>
  <c r="H75"/>
  <c r="H73"/>
  <c r="H71"/>
  <c r="F70"/>
  <c r="H70" s="1"/>
  <c r="F68"/>
  <c r="H68" s="1"/>
  <c r="F67"/>
  <c r="H67" s="1"/>
  <c r="F66"/>
  <c r="I66" s="1"/>
  <c r="F65"/>
  <c r="H65" s="1"/>
  <c r="F64"/>
  <c r="I64" s="1"/>
  <c r="F63"/>
  <c r="H63" s="1"/>
  <c r="H62"/>
  <c r="H61"/>
  <c r="H59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I45" s="1"/>
  <c r="I43"/>
  <c r="H43"/>
  <c r="F42"/>
  <c r="I42" s="1"/>
  <c r="F41"/>
  <c r="I41" s="1"/>
  <c r="F40"/>
  <c r="I40" s="1"/>
  <c r="I39"/>
  <c r="H39"/>
  <c r="F38"/>
  <c r="I38" s="1"/>
  <c r="I37"/>
  <c r="H37"/>
  <c r="H35"/>
  <c r="H34"/>
  <c r="F33"/>
  <c r="I33" s="1"/>
  <c r="F32"/>
  <c r="H32" s="1"/>
  <c r="F31"/>
  <c r="I31" s="1"/>
  <c r="F30"/>
  <c r="H30" s="1"/>
  <c r="F29"/>
  <c r="I29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78" i="36" l="1"/>
  <c r="H56"/>
  <c r="H56" i="35"/>
  <c r="H41" i="34"/>
  <c r="H18" i="36"/>
  <c r="I18"/>
  <c r="H16"/>
  <c r="I17"/>
  <c r="H19"/>
  <c r="I20"/>
  <c r="H21"/>
  <c r="I22"/>
  <c r="H23"/>
  <c r="I24"/>
  <c r="H25"/>
  <c r="I26"/>
  <c r="H29"/>
  <c r="I30"/>
  <c r="H31"/>
  <c r="I32"/>
  <c r="H33"/>
  <c r="I38"/>
  <c r="H40"/>
  <c r="I41"/>
  <c r="H42"/>
  <c r="I45"/>
  <c r="H46"/>
  <c r="I47"/>
  <c r="H48"/>
  <c r="I49"/>
  <c r="H50"/>
  <c r="I51"/>
  <c r="I59"/>
  <c r="I63"/>
  <c r="H64"/>
  <c r="I65"/>
  <c r="H66"/>
  <c r="I67"/>
  <c r="H77"/>
  <c r="H59" i="35"/>
  <c r="H49"/>
  <c r="H38"/>
  <c r="H51"/>
  <c r="H18"/>
  <c r="I18"/>
  <c r="H16"/>
  <c r="I17"/>
  <c r="H19"/>
  <c r="I20"/>
  <c r="H21"/>
  <c r="I22"/>
  <c r="H23"/>
  <c r="I24"/>
  <c r="H25"/>
  <c r="I26"/>
  <c r="H29"/>
  <c r="I30"/>
  <c r="H31"/>
  <c r="I32"/>
  <c r="H33"/>
  <c r="H40"/>
  <c r="I41"/>
  <c r="H42"/>
  <c r="I45"/>
  <c r="H46"/>
  <c r="I47"/>
  <c r="H48"/>
  <c r="H50"/>
  <c r="I63"/>
  <c r="H64"/>
  <c r="I65"/>
  <c r="H66"/>
  <c r="I67"/>
  <c r="I77"/>
  <c r="H78"/>
  <c r="H38" i="34"/>
  <c r="H45"/>
  <c r="H18"/>
  <c r="I18"/>
  <c r="H16"/>
  <c r="I17"/>
  <c r="H19"/>
  <c r="I20"/>
  <c r="H21"/>
  <c r="I22"/>
  <c r="H23"/>
  <c r="I24"/>
  <c r="H25"/>
  <c r="I26"/>
  <c r="H29"/>
  <c r="I30"/>
  <c r="H31"/>
  <c r="I32"/>
  <c r="H33"/>
  <c r="H40"/>
  <c r="H42"/>
  <c r="H46"/>
  <c r="I47"/>
  <c r="H48"/>
  <c r="I49"/>
  <c r="H50"/>
  <c r="I51"/>
  <c r="I56"/>
  <c r="I59"/>
  <c r="I63"/>
  <c r="H64"/>
  <c r="I65"/>
  <c r="H66"/>
  <c r="I67"/>
  <c r="I77"/>
  <c r="H78"/>
  <c r="I79" i="36" l="1"/>
  <c r="I92" s="1"/>
  <c r="H74"/>
  <c r="I96" i="35"/>
  <c r="H74"/>
  <c r="I95" i="34"/>
  <c r="H74"/>
  <c r="H92" i="33" l="1"/>
  <c r="H91"/>
  <c r="H90"/>
  <c r="F89"/>
  <c r="H89" s="1"/>
  <c r="H88"/>
  <c r="H87"/>
  <c r="H86"/>
  <c r="H85"/>
  <c r="H84"/>
  <c r="H83"/>
  <c r="H82"/>
  <c r="H81"/>
  <c r="F78"/>
  <c r="H78" s="1"/>
  <c r="F77"/>
  <c r="I77" s="1"/>
  <c r="I75"/>
  <c r="H75"/>
  <c r="H73"/>
  <c r="H71"/>
  <c r="F70"/>
  <c r="H70" s="1"/>
  <c r="F68"/>
  <c r="H68" s="1"/>
  <c r="F67"/>
  <c r="I67" s="1"/>
  <c r="F66"/>
  <c r="H66" s="1"/>
  <c r="F65"/>
  <c r="I65" s="1"/>
  <c r="F64"/>
  <c r="H64" s="1"/>
  <c r="F63"/>
  <c r="I63" s="1"/>
  <c r="H62"/>
  <c r="H61"/>
  <c r="H59"/>
  <c r="I59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3" i="32"/>
  <c r="H82"/>
  <c r="H81"/>
  <c r="I61"/>
  <c r="F78"/>
  <c r="H78" s="1"/>
  <c r="F77"/>
  <c r="I77" s="1"/>
  <c r="I75"/>
  <c r="H75"/>
  <c r="H73"/>
  <c r="H71"/>
  <c r="F70"/>
  <c r="H70" s="1"/>
  <c r="F68"/>
  <c r="F67"/>
  <c r="I67" s="1"/>
  <c r="F66"/>
  <c r="I66" s="1"/>
  <c r="F65"/>
  <c r="I65" s="1"/>
  <c r="F64"/>
  <c r="H64" s="1"/>
  <c r="F63"/>
  <c r="I63" s="1"/>
  <c r="H62"/>
  <c r="H61"/>
  <c r="I59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F33"/>
  <c r="H33" s="1"/>
  <c r="F32"/>
  <c r="I32" s="1"/>
  <c r="F31"/>
  <c r="H31" s="1"/>
  <c r="F30"/>
  <c r="I30" s="1"/>
  <c r="F29"/>
  <c r="H29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6" i="31"/>
  <c r="H85"/>
  <c r="H84"/>
  <c r="H83"/>
  <c r="H82"/>
  <c r="F81"/>
  <c r="H81" s="1"/>
  <c r="I75"/>
  <c r="F33"/>
  <c r="H33" s="1"/>
  <c r="F32"/>
  <c r="H32" s="1"/>
  <c r="F31"/>
  <c r="H31" s="1"/>
  <c r="F30"/>
  <c r="H30" s="1"/>
  <c r="F29"/>
  <c r="H29" s="1"/>
  <c r="H34"/>
  <c r="I32"/>
  <c r="I33"/>
  <c r="I83"/>
  <c r="I82"/>
  <c r="F78"/>
  <c r="H78" s="1"/>
  <c r="F77"/>
  <c r="I77" s="1"/>
  <c r="H75"/>
  <c r="H73"/>
  <c r="H71"/>
  <c r="F70"/>
  <c r="H70" s="1"/>
  <c r="F68"/>
  <c r="H68" s="1"/>
  <c r="F67"/>
  <c r="H67" s="1"/>
  <c r="F66"/>
  <c r="H66" s="1"/>
  <c r="F65"/>
  <c r="H65" s="1"/>
  <c r="F64"/>
  <c r="H64" s="1"/>
  <c r="F63"/>
  <c r="H63" s="1"/>
  <c r="H62"/>
  <c r="I61"/>
  <c r="H61"/>
  <c r="F59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H47" s="1"/>
  <c r="F46"/>
  <c r="H46" s="1"/>
  <c r="F45"/>
  <c r="H45" s="1"/>
  <c r="I43"/>
  <c r="H43"/>
  <c r="F42"/>
  <c r="H42" s="1"/>
  <c r="F41"/>
  <c r="I41" s="1"/>
  <c r="F40"/>
  <c r="H40" s="1"/>
  <c r="I39"/>
  <c r="H39"/>
  <c r="F38"/>
  <c r="I38" s="1"/>
  <c r="I37"/>
  <c r="H37"/>
  <c r="H35"/>
  <c r="F26"/>
  <c r="I26" s="1"/>
  <c r="F25"/>
  <c r="H25" s="1"/>
  <c r="F24"/>
  <c r="H24" s="1"/>
  <c r="F23"/>
  <c r="H23" s="1"/>
  <c r="F22"/>
  <c r="H22" s="1"/>
  <c r="F21"/>
  <c r="I21" s="1"/>
  <c r="F20"/>
  <c r="I20" s="1"/>
  <c r="F19"/>
  <c r="E18"/>
  <c r="F18" s="1"/>
  <c r="F17"/>
  <c r="I17" s="1"/>
  <c r="F16"/>
  <c r="H16" s="1"/>
  <c r="H80" i="30"/>
  <c r="H79"/>
  <c r="H78"/>
  <c r="F77"/>
  <c r="H77" s="1"/>
  <c r="F74"/>
  <c r="I74" s="1"/>
  <c r="F73"/>
  <c r="H73" s="1"/>
  <c r="H71"/>
  <c r="H69"/>
  <c r="H67"/>
  <c r="F66"/>
  <c r="H66" s="1"/>
  <c r="F64"/>
  <c r="H64" s="1"/>
  <c r="F63"/>
  <c r="H63" s="1"/>
  <c r="F62"/>
  <c r="H62" s="1"/>
  <c r="F61"/>
  <c r="H61" s="1"/>
  <c r="F60"/>
  <c r="H60" s="1"/>
  <c r="F59"/>
  <c r="H59" s="1"/>
  <c r="H58"/>
  <c r="I57"/>
  <c r="H57"/>
  <c r="F55"/>
  <c r="H53"/>
  <c r="F52"/>
  <c r="I49"/>
  <c r="F49"/>
  <c r="H49" s="1"/>
  <c r="I48"/>
  <c r="H48"/>
  <c r="H44"/>
  <c r="F43"/>
  <c r="I43" s="1"/>
  <c r="F42"/>
  <c r="H42" s="1"/>
  <c r="F41"/>
  <c r="I41" s="1"/>
  <c r="I40"/>
  <c r="H40"/>
  <c r="F39"/>
  <c r="I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53" i="29"/>
  <c r="H79"/>
  <c r="F79"/>
  <c r="I79" s="1"/>
  <c r="F78"/>
  <c r="I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H62"/>
  <c r="H60"/>
  <c r="I60"/>
  <c r="H58"/>
  <c r="F57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I40"/>
  <c r="H40"/>
  <c r="H39"/>
  <c r="F39"/>
  <c r="I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F79" i="28"/>
  <c r="H79" s="1"/>
  <c r="F78"/>
  <c r="I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H62"/>
  <c r="I60"/>
  <c r="H58"/>
  <c r="F57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I40"/>
  <c r="H40"/>
  <c r="F39"/>
  <c r="H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H18" s="1"/>
  <c r="F17"/>
  <c r="H17" s="1"/>
  <c r="F16"/>
  <c r="I16" s="1"/>
  <c r="F79" i="17"/>
  <c r="F78"/>
  <c r="H78" s="1"/>
  <c r="H76"/>
  <c r="H74"/>
  <c r="H72"/>
  <c r="F71"/>
  <c r="H71" s="1"/>
  <c r="F69"/>
  <c r="H69" s="1"/>
  <c r="F68"/>
  <c r="H68" s="1"/>
  <c r="F67"/>
  <c r="H67" s="1"/>
  <c r="F66"/>
  <c r="H66" s="1"/>
  <c r="F65"/>
  <c r="H65" s="1"/>
  <c r="F64"/>
  <c r="H64" s="1"/>
  <c r="H63"/>
  <c r="I62"/>
  <c r="H62"/>
  <c r="H58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H43" s="1"/>
  <c r="F42"/>
  <c r="I42" s="1"/>
  <c r="F41"/>
  <c r="H41" s="1"/>
  <c r="I40"/>
  <c r="H40"/>
  <c r="F39"/>
  <c r="H39" s="1"/>
  <c r="I38"/>
  <c r="H38"/>
  <c r="H36"/>
  <c r="H35"/>
  <c r="F34"/>
  <c r="H34" s="1"/>
  <c r="F33"/>
  <c r="H33" s="1"/>
  <c r="H32"/>
  <c r="F31"/>
  <c r="H31" s="1"/>
  <c r="F30"/>
  <c r="H30" s="1"/>
  <c r="F27"/>
  <c r="H27" s="1"/>
  <c r="F26"/>
  <c r="H26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H56" i="33" l="1"/>
  <c r="H68" i="32"/>
  <c r="I68"/>
  <c r="H59"/>
  <c r="H56"/>
  <c r="I48" i="31"/>
  <c r="I46"/>
  <c r="I63"/>
  <c r="I66"/>
  <c r="I64"/>
  <c r="H19"/>
  <c r="I19"/>
  <c r="I31"/>
  <c r="I47"/>
  <c r="I45"/>
  <c r="I67"/>
  <c r="I65"/>
  <c r="H57" i="29"/>
  <c r="H51" i="33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I42"/>
  <c r="H45"/>
  <c r="I46"/>
  <c r="H47"/>
  <c r="I48"/>
  <c r="H49"/>
  <c r="I50"/>
  <c r="H63"/>
  <c r="I64"/>
  <c r="H65"/>
  <c r="I66"/>
  <c r="H67"/>
  <c r="H77"/>
  <c r="I78"/>
  <c r="H66" i="32"/>
  <c r="I18"/>
  <c r="H18"/>
  <c r="I16"/>
  <c r="H17"/>
  <c r="I19"/>
  <c r="H20"/>
  <c r="I21"/>
  <c r="H22"/>
  <c r="I23"/>
  <c r="H24"/>
  <c r="I25"/>
  <c r="H26"/>
  <c r="I29"/>
  <c r="H30"/>
  <c r="I31"/>
  <c r="H32"/>
  <c r="I33"/>
  <c r="H38"/>
  <c r="I40"/>
  <c r="H41"/>
  <c r="I42"/>
  <c r="H45"/>
  <c r="I46"/>
  <c r="H47"/>
  <c r="I48"/>
  <c r="H49"/>
  <c r="I50"/>
  <c r="H51"/>
  <c r="H63"/>
  <c r="I64"/>
  <c r="H65"/>
  <c r="H67"/>
  <c r="H77"/>
  <c r="I78"/>
  <c r="I29" i="31"/>
  <c r="I30"/>
  <c r="I22"/>
  <c r="I23"/>
  <c r="H56"/>
  <c r="I24"/>
  <c r="H20"/>
  <c r="I18"/>
  <c r="H18"/>
  <c r="I16"/>
  <c r="H17"/>
  <c r="H21"/>
  <c r="I25"/>
  <c r="H26"/>
  <c r="H38"/>
  <c r="I40"/>
  <c r="H41"/>
  <c r="I42"/>
  <c r="H49"/>
  <c r="I50"/>
  <c r="H51"/>
  <c r="H59"/>
  <c r="H74" s="1"/>
  <c r="H77"/>
  <c r="I78"/>
  <c r="H55" i="30"/>
  <c r="H39"/>
  <c r="H52"/>
  <c r="H70" s="1"/>
  <c r="H18"/>
  <c r="I18"/>
  <c r="H16"/>
  <c r="I17"/>
  <c r="H20"/>
  <c r="I21"/>
  <c r="H26"/>
  <c r="I27"/>
  <c r="H41"/>
  <c r="I42"/>
  <c r="H43"/>
  <c r="I73"/>
  <c r="H74"/>
  <c r="H75" i="29"/>
  <c r="H18"/>
  <c r="I18"/>
  <c r="H16"/>
  <c r="I17"/>
  <c r="H20"/>
  <c r="I21"/>
  <c r="H26"/>
  <c r="I27"/>
  <c r="H41"/>
  <c r="I42"/>
  <c r="H43"/>
  <c r="I50"/>
  <c r="H78"/>
  <c r="H20" i="28"/>
  <c r="H41"/>
  <c r="H16"/>
  <c r="H26"/>
  <c r="H43"/>
  <c r="H57"/>
  <c r="H60"/>
  <c r="I17"/>
  <c r="I18"/>
  <c r="I21"/>
  <c r="I27"/>
  <c r="I39"/>
  <c r="I42"/>
  <c r="I50"/>
  <c r="H78"/>
  <c r="I79"/>
  <c r="H79" i="17"/>
  <c r="I79"/>
  <c r="I78"/>
  <c r="I60"/>
  <c r="I50"/>
  <c r="H42"/>
  <c r="I41"/>
  <c r="I39"/>
  <c r="H21"/>
  <c r="H17"/>
  <c r="I27"/>
  <c r="I26"/>
  <c r="H18"/>
  <c r="I18"/>
  <c r="H16"/>
  <c r="H20"/>
  <c r="I79" i="33" l="1"/>
  <c r="H74"/>
  <c r="I86" i="32"/>
  <c r="I89" i="31"/>
  <c r="I101" i="30"/>
  <c r="I95" i="33"/>
  <c r="H74" i="32"/>
  <c r="I103" i="29"/>
  <c r="H75" i="28"/>
  <c r="I98"/>
  <c r="F25" i="17" l="1"/>
  <c r="H25" s="1"/>
  <c r="H75" l="1"/>
  <c r="I94" l="1"/>
</calcChain>
</file>

<file path=xl/sharedStrings.xml><?xml version="1.0" encoding="utf-8"?>
<sst xmlns="http://schemas.openxmlformats.org/spreadsheetml/2006/main" count="2679" uniqueCount="298">
  <si>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</si>
  <si>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</si>
  <si>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</si>
  <si>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</si>
  <si>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</si>
  <si>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</si>
  <si>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</si>
  <si>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</si>
  <si>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</si>
  <si>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</si>
  <si>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</si>
  <si>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</si>
  <si>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</si>
  <si>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</si>
  <si>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</si>
  <si>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</si>
  <si>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</si>
  <si>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</si>
  <si>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</si>
  <si>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</si>
  <si>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</si>
  <si>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</si>
  <si>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</si>
  <si>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</si>
  <si>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</si>
  <si>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</si>
  <si>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</si>
  <si>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</si>
  <si>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</si>
  <si>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</si>
  <si>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</si>
  <si>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</si>
  <si>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</si>
  <si>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</si>
  <si>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</si>
  <si>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</si>
  <si>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</si>
  <si>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</si>
  <si>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</si>
  <si>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</si>
  <si>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</si>
  <si>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</si>
  <si>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</si>
  <si>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</si>
  <si>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</si>
  <si>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</si>
  <si>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</si>
  <si>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</si>
  <si>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</si>
  <si>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</si>
  <si>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</si>
  <si>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</si>
  <si>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</si>
  <si>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</si>
  <si>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</si>
  <si>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</si>
  <si>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</si>
  <si>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</si>
  <si>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</si>
  <si>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</si>
  <si>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</si>
  <si>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</si>
  <si>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</si>
  <si>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</si>
  <si>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</si>
  <si>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</si>
  <si>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</si>
  <si>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</si>
  <si>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</si>
  <si>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</si>
  <si>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</si>
  <si>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</si>
  <si>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</si>
  <si>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</si>
  <si>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</si>
  <si>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</si>
  <si>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</si>
  <si>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</si>
  <si>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</si>
  <si>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</si>
  <si>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</si>
  <si>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</si>
  <si>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</si>
  <si>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</si>
  <si>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</si>
  <si>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</si>
  <si>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</si>
  <si>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</si>
  <si>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</si>
  <si>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</si>
  <si>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</si>
  <si>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4 раза в месяц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</si>
  <si>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</si>
  <si>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</si>
  <si>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</si>
  <si>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</si>
  <si>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</si>
  <si>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</si>
  <si>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</si>
  <si>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</si>
  <si>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</si>
  <si>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</si>
  <si>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маш/час</t>
  </si>
  <si>
    <t>Влажная протирка отопительных приборов</t>
  </si>
  <si>
    <t>100м2</t>
  </si>
  <si>
    <t>156 раз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</si>
  <si>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</si>
  <si>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</si>
  <si>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</si>
  <si>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</si>
  <si>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</si>
  <si>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</si>
  <si>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</si>
  <si>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</si>
  <si>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</si>
  <si>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</si>
  <si>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 xml:space="preserve">Очистка урн от мусора </t>
  </si>
  <si>
    <t>Уборка контейнерной площадки (16 кв.м.)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</si>
  <si>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</si>
  <si>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</si>
  <si>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</si>
  <si>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</si>
  <si>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</si>
  <si>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</si>
  <si>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</si>
  <si>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</si>
  <si>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</si>
  <si>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</si>
  <si>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</si>
  <si>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</si>
  <si>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</si>
  <si>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</si>
  <si>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</si>
  <si>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</si>
  <si>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</si>
  <si>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</si>
  <si>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</si>
  <si>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ежедневно 365 раз</t>
  </si>
  <si>
    <t>Смена арматуры - вентилей и клапанов обратных муфтовых диаметром до 32 мм</t>
  </si>
  <si>
    <t>Внеплановый осмотр электросетей, армазуры и электрооборудования на лестничных клетках</t>
  </si>
  <si>
    <t>104 раза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</si>
  <si>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</si>
  <si>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</si>
  <si>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ул.Нефтяников пгт.Ярега
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</si>
  <si>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06.05.2013г.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</si>
  <si>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Итого месячные затраты</t>
  </si>
  <si>
    <t>Уборка отмостки</t>
  </si>
  <si>
    <t>50 раз за сезон</t>
  </si>
  <si>
    <t>70 раз за сезон</t>
  </si>
  <si>
    <t>Осмотр рулонной  кровли</t>
  </si>
  <si>
    <t>5 раз за сезон</t>
  </si>
  <si>
    <t>Осмотр и очистка оголовков дымоходов и вентканалов от наледи и снега (по необходимости) зимой</t>
  </si>
  <si>
    <t>6 раз в год</t>
  </si>
  <si>
    <t>1м</t>
  </si>
  <si>
    <t>1шт</t>
  </si>
  <si>
    <t>Манжета 110</t>
  </si>
  <si>
    <t>Герметизация трубопроводов</t>
  </si>
  <si>
    <t>1 соединен.</t>
  </si>
  <si>
    <t>Снятие показаний эл.счетчика коммунального назначения</t>
  </si>
  <si>
    <t>Смена полипропиленовых канализационных труб Ду-100 2м</t>
  </si>
  <si>
    <t>Патрубок компенсационный ПП Ду 100</t>
  </si>
  <si>
    <t xml:space="preserve">Переход чугун-пластик Ду 110 </t>
  </si>
  <si>
    <t>Муфта ремонтная 110</t>
  </si>
  <si>
    <t>АКТ №2</t>
  </si>
  <si>
    <t>АКТ №3</t>
  </si>
  <si>
    <t xml:space="preserve">Смена трубопроводов на полипропиленовые трубы PN25 диаметром 25 мм </t>
  </si>
  <si>
    <t>АКТ №4</t>
  </si>
  <si>
    <t>АКТ №5</t>
  </si>
  <si>
    <t>АКТ №6</t>
  </si>
  <si>
    <t>Смена трубопроводов на полипропиленовые трубы PN25 диаметром до 20 мм</t>
  </si>
  <si>
    <t>АКТ №7</t>
  </si>
  <si>
    <t>III. Содержание общего имущества МКД</t>
  </si>
  <si>
    <t>IV. Прочие услуги</t>
  </si>
  <si>
    <t>Переход чугун-пластик Ду 50 с манжетой</t>
  </si>
  <si>
    <t xml:space="preserve">Смена полипропиленовых канализационных труб 50×2000 мм </t>
  </si>
  <si>
    <t>АКТ №8</t>
  </si>
  <si>
    <t>АКТ №9</t>
  </si>
  <si>
    <t>АКТ №10</t>
  </si>
  <si>
    <t xml:space="preserve">ежедневно </t>
  </si>
  <si>
    <t>Смена трубопроводов на полипропиленовые трубы PN25 диаметром до 32 мм</t>
  </si>
  <si>
    <t>АКТ №11</t>
  </si>
  <si>
    <t>Внеплановая проверка вентканалов</t>
  </si>
  <si>
    <t>АКТ №12</t>
  </si>
  <si>
    <t>за период с 01.01.2018 г. по 31.01.2018 г.</t>
  </si>
  <si>
    <t>Очистка канализационной сети внутренней</t>
  </si>
  <si>
    <t>Установка хомута диаметром до 50 мм</t>
  </si>
  <si>
    <t>за период с 01.02.2018 г. по 28.02.2018 г.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</si>
  <si>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</si>
  <si>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>Смена трубопроводов на полипропиленовые трубы PN25 диаметром до 50 мм</t>
  </si>
  <si>
    <t xml:space="preserve">Смена полипропиленовых канализационных труб 50×1000 мм </t>
  </si>
  <si>
    <t>Переход 110×50</t>
  </si>
  <si>
    <t>Отвод 50×45°</t>
  </si>
  <si>
    <t>Итого затраты за месяц</t>
  </si>
  <si>
    <t>Смена вентилей ПП диаметром 20 мм</t>
  </si>
  <si>
    <t>Смена вентилей ПП диаметром 25 мм</t>
  </si>
  <si>
    <t>Установка дожимного насоса Ду-32</t>
  </si>
  <si>
    <t>за период с 01.03.2018 г. по 31.03.2018 г.</t>
  </si>
  <si>
    <t>Смена пакетных выключателей</t>
  </si>
  <si>
    <t>Ремонт штукатурки внугренних стен по камню известковым раствором площадью до 1 м2 толщиной слоя до 20 мм</t>
  </si>
  <si>
    <t>за период с 01.04.2018 г. по 30.04.2018 г.</t>
  </si>
  <si>
    <t>Смена полотенцесушителя без материалов</t>
  </si>
  <si>
    <t>Прочистка приборов канализации</t>
  </si>
  <si>
    <t>Внеплановый осмотр СО и ГВС</t>
  </si>
  <si>
    <t>Смена внутренних трубопроводов PN25 Dу25 на полипропиленовые</t>
  </si>
  <si>
    <t>Колено 25-90º</t>
  </si>
  <si>
    <t>муфта 25</t>
  </si>
  <si>
    <t>Тройник 25-20</t>
  </si>
  <si>
    <t>Муфта разъемная 25*3/4 НР</t>
  </si>
  <si>
    <t>Муфта переходная 1*3/4 ВР</t>
  </si>
  <si>
    <t>Обвод 20</t>
  </si>
  <si>
    <t>Колено 20-90º</t>
  </si>
  <si>
    <t>Муфта 20</t>
  </si>
  <si>
    <t>Муфта разъемная 20*1/2 НР</t>
  </si>
  <si>
    <t>Снятие обоев простых и улучшенных</t>
  </si>
  <si>
    <t>Смена обоев улучшенных</t>
  </si>
  <si>
    <t>Крепление зонтика к вентиляционной трубе</t>
  </si>
  <si>
    <t>Ремонт штукатурки внугренних стен по камню известковым раствором площадью до 10м2 толщиной слоя до 20 мм</t>
  </si>
  <si>
    <t>справочно</t>
  </si>
  <si>
    <t>*27</t>
  </si>
  <si>
    <t>*26</t>
  </si>
  <si>
    <t xml:space="preserve"> - справочно</t>
  </si>
  <si>
    <t>*22</t>
  </si>
  <si>
    <t>Муфта разъемная 25*20ВР</t>
  </si>
  <si>
    <t>Муфта разъемная 25*20 НР</t>
  </si>
  <si>
    <t>за период с 01.05.2018 г. по 31.05.2018 г.</t>
  </si>
  <si>
    <t>*32</t>
  </si>
  <si>
    <t>*32-справочно</t>
  </si>
  <si>
    <t>Ремонт вентильных кранов д=40 со снятием с места</t>
  </si>
  <si>
    <t>2. Всего за период с 01.05.2018 по 31.05.2018 выполнено работ (оказано услуг) на общую сумму: 168  756,97 руб.</t>
  </si>
  <si>
    <t>(сто шестьдесят восемь тысяч семьсот пятьдесят шесть рублей 97 копеек)</t>
  </si>
  <si>
    <t>за период с 01.06.2018 г. по 30.06.2018 г.</t>
  </si>
  <si>
    <t>Установка скамейки</t>
  </si>
  <si>
    <t>*18</t>
  </si>
  <si>
    <t>*18-справочно</t>
  </si>
  <si>
    <t>2. Всего за период с 01.06.2018 по 30.06.2018 выполнено работ (оказано услуг) на общую сумму: 73809,42 руб.</t>
  </si>
  <si>
    <t>(семьдесят три тысячи восемьсот девять рублей 42 копейки)</t>
  </si>
  <si>
    <t>за период с 01.08.2018 г. по 31.08.2018 г.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</si>
  <si>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</si>
  <si>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</si>
  <si>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06.05.2013г.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</si>
  <si>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Смена трубопроводов на металло-плат. трубы Ду 20 мм</t>
  </si>
  <si>
    <t>м</t>
  </si>
  <si>
    <t>Ремонт задвижек диаметром до 100 мм без снятия с места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</si>
  <si>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</si>
  <si>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</si>
  <si>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Перекрыт стояк</t>
  </si>
  <si>
    <t>*19</t>
  </si>
  <si>
    <t>*19-справочно</t>
  </si>
  <si>
    <t>Ревизия  110</t>
  </si>
  <si>
    <t>Смена полиэтиленовых канализационных труб диаметром 100 3м</t>
  </si>
  <si>
    <t>2. Всего за период с 01.07.2018 по 31.07.2018 выполнено работ (оказано услуг) на общую сумму: 65167,10 руб.</t>
  </si>
  <si>
    <t>(шестьдесят пять тысяч сто шестьдесят семь рублей 10 копеек)</t>
  </si>
  <si>
    <t>Внеплановый осмотр кровли рулонной</t>
  </si>
  <si>
    <t>*27-справочно</t>
  </si>
  <si>
    <t>2. Всего за период с 01.02.2018 по 28.02.2018 выполнено работ (оказано услуг) на общую сумму: 92980,32руб.</t>
  </si>
  <si>
    <t>(девяносто две тысячи девятьсот восемьдесят рублей 32 копейки)</t>
  </si>
  <si>
    <t>2. Всего за период с 01.01.2018 по 31.01.2018 выполнено работ (оказано услуг) на общую сумму: 114748,81 руб.</t>
  </si>
  <si>
    <t>(сто четырнадцать тысяч семьсот сорок восемь рублей 81 копейка)</t>
  </si>
  <si>
    <t>2. Всего за период с 01.03.2018 по 31.03.2018 выполнено работ (оказано услуг) на общую сумму: 96361,80 руб.</t>
  </si>
  <si>
    <t>(девяносто шесть тысяч триста шестьдесят один рубль 80 копеек)</t>
  </si>
  <si>
    <t>2. Всего за период с 01.04.2018 по 30.04.2018 выполнено работ (оказано услуг) на общую сумму: 101123,85руб.</t>
  </si>
  <si>
    <t>(сто одна тысяча сто двадцать три рубля 85 копеек )</t>
  </si>
  <si>
    <t>Смена дверных приборов - пружины</t>
  </si>
  <si>
    <t>Укрепление оконных и дверных приборов - пружин, ручек, петель, шпингалетов</t>
  </si>
  <si>
    <t>Установка счетчика ХВС</t>
  </si>
  <si>
    <t>за период с 01.09.2018 г. по 30.09.2018 г.</t>
  </si>
  <si>
    <t>Смена дверных приборов - проушины</t>
  </si>
  <si>
    <t>10 шт</t>
  </si>
  <si>
    <t>Смена светильников с лампами накаливания</t>
  </si>
  <si>
    <t>2,5 м</t>
  </si>
  <si>
    <t>Резьба 20</t>
  </si>
  <si>
    <t>*22-справочно</t>
  </si>
  <si>
    <t>*17</t>
  </si>
  <si>
    <t>*17-справочно</t>
  </si>
  <si>
    <t>2. Всего за период с 01.08.2018 по 31.08.2018 выполнено работ (оказано услуг) на общую сумму: 68928,82 руб.</t>
  </si>
  <si>
    <t>(шестьдесят восемь тысяч девятьсот двадцаь восемь рублей  82 копейки)</t>
  </si>
  <si>
    <t>за период с 01.10.2018 г. по 31.10.2018 г.</t>
  </si>
  <si>
    <t>*21</t>
  </si>
  <si>
    <t>*21-справочно</t>
  </si>
  <si>
    <t>Газовая горелка</t>
  </si>
  <si>
    <t>Осмотр водопроводов, канализации, отопления в квартирах</t>
  </si>
  <si>
    <t>100 кв.</t>
  </si>
  <si>
    <t>Крепление зонтов на фановые трубы</t>
  </si>
  <si>
    <t>2. Всего за период с 01.10.2018 по 31.10.2018 выполнено работ (оказано услуг) на общую сумму: 77301,21 руб.</t>
  </si>
  <si>
    <t>(семьдесят семь тысяч триста один рубль 21 копейка)</t>
  </si>
  <si>
    <t>2. Всего за период с 01.09.2018 по 30.09.2018 выполнено работ (оказано услуг) на общую сумму: 73039,03 руб.</t>
  </si>
  <si>
    <t>(семьдесят три тысячи тридцать девять рублей 03 копейки)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</si>
  <si>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</si>
  <si>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</si>
  <si>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Ремонт групповых щитков на лестничной клетке со сменой автоматов</t>
  </si>
  <si>
    <t>Смена дверных приборов /замки навесные)</t>
  </si>
  <si>
    <t>2. Всего за период с 01.11.2018 по 30.11.2018 выполнено работ (оказано услуг) на общую сумму: 63967,53 руб.</t>
  </si>
  <si>
    <t>(шестьдесят три тысячи девятьсот шестьдесят семь рублей 53 копейки)</t>
  </si>
  <si>
    <t>за период с 01.12.2018 г. по 31.12.2018 г.</t>
  </si>
  <si>
    <t>Герметизация стыков трубопроводов</t>
  </si>
  <si>
    <t>1 место</t>
  </si>
  <si>
    <t>2. Всего за период с 01.12.2018 по 31.12.2018 выполнено работ (оказано услуг) на общую сумму: 66182,82 руб.</t>
  </si>
  <si>
    <t>(шестьдесят шесть тысяч сто восемьдесят два рубля 82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</si>
</sst>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18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4" fillId="0" borderId="2" xfId="0" applyFont="1" applyBorder="1"/>
    <xf numFmtId="4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J100" sqref="J10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136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183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53"/>
      <c r="C6" s="53"/>
      <c r="D6" s="53"/>
      <c r="E6" s="53"/>
      <c r="F6" s="53"/>
      <c r="G6" s="53"/>
      <c r="H6" s="53"/>
      <c r="I6" s="30">
        <v>43131</v>
      </c>
      <c r="J6" s="2"/>
      <c r="K6" s="2"/>
      <c r="L6" s="2"/>
      <c r="M6" s="2"/>
    </row>
    <row r="7" spans="1:13" ht="15.75" customHeight="1">
      <c r="B7" s="52"/>
      <c r="C7" s="52"/>
      <c r="D7" s="5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4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1" t="s">
        <v>103</v>
      </c>
      <c r="C25" s="62" t="s">
        <v>51</v>
      </c>
      <c r="D25" s="61" t="s">
        <v>109</v>
      </c>
      <c r="E25" s="47">
        <v>17</v>
      </c>
      <c r="F25" s="63">
        <f>SUM(E25/100)</f>
        <v>0.17</v>
      </c>
      <c r="G25" s="63">
        <v>556.74</v>
      </c>
      <c r="H25" s="64">
        <f t="shared" ref="H25" si="1">SUM(F25*G25/1000)</f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61" t="s">
        <v>63</v>
      </c>
      <c r="C26" s="62" t="s">
        <v>33</v>
      </c>
      <c r="D26" s="61" t="s">
        <v>137</v>
      </c>
      <c r="E26" s="47">
        <v>0.1</v>
      </c>
      <c r="F26" s="63">
        <f>SUM(E26*365)</f>
        <v>36.5</v>
      </c>
      <c r="G26" s="63">
        <v>147.03</v>
      </c>
      <c r="H26" s="64">
        <f t="shared" ref="H26:H27" si="2">SUM(F26*G26/1000)</f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68" t="s">
        <v>23</v>
      </c>
      <c r="C27" s="62" t="s">
        <v>24</v>
      </c>
      <c r="D27" s="68" t="s">
        <v>137</v>
      </c>
      <c r="E27" s="47">
        <v>4224.3999999999996</v>
      </c>
      <c r="F27" s="63">
        <f>SUM(E27*12)</f>
        <v>50692.799999999996</v>
      </c>
      <c r="G27" s="63">
        <v>4.59</v>
      </c>
      <c r="H27" s="64">
        <f t="shared" si="2"/>
        <v>232.67995199999996</v>
      </c>
      <c r="I27" s="13">
        <f>F27/12*G27</f>
        <v>19389.995999999999</v>
      </c>
      <c r="J27" s="23"/>
    </row>
    <row r="28" spans="1:13" ht="15.75" customHeight="1">
      <c r="A28" s="145" t="s">
        <v>84</v>
      </c>
      <c r="B28" s="145"/>
      <c r="C28" s="145"/>
      <c r="D28" s="145"/>
      <c r="E28" s="145"/>
      <c r="F28" s="145"/>
      <c r="G28" s="145"/>
      <c r="H28" s="145"/>
      <c r="I28" s="145"/>
      <c r="J28" s="22"/>
      <c r="K28" s="8"/>
      <c r="L28" s="8"/>
      <c r="M28" s="8"/>
    </row>
    <row r="29" spans="1:13" ht="15.75" hidden="1" customHeight="1">
      <c r="A29" s="29"/>
      <c r="B29" s="81" t="s">
        <v>28</v>
      </c>
      <c r="C29" s="62"/>
      <c r="D29" s="61"/>
      <c r="E29" s="47"/>
      <c r="F29" s="63"/>
      <c r="G29" s="63"/>
      <c r="H29" s="64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1" t="s">
        <v>112</v>
      </c>
      <c r="C30" s="62" t="s">
        <v>113</v>
      </c>
      <c r="D30" s="61" t="s">
        <v>114</v>
      </c>
      <c r="E30" s="63">
        <v>1414.6</v>
      </c>
      <c r="F30" s="63">
        <f>SUM(E30*52/1000)</f>
        <v>73.559200000000004</v>
      </c>
      <c r="G30" s="63">
        <v>155.88999999999999</v>
      </c>
      <c r="H30" s="64">
        <f t="shared" ref="H30:H36" si="3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61" t="s">
        <v>141</v>
      </c>
      <c r="C31" s="62" t="s">
        <v>113</v>
      </c>
      <c r="D31" s="61" t="s">
        <v>115</v>
      </c>
      <c r="E31" s="63">
        <v>632.4</v>
      </c>
      <c r="F31" s="63">
        <f>SUM(E31*78/1000)</f>
        <v>49.327199999999998</v>
      </c>
      <c r="G31" s="63">
        <v>258.63</v>
      </c>
      <c r="H31" s="64">
        <f t="shared" si="3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61" t="s">
        <v>146</v>
      </c>
      <c r="C32" s="62" t="s">
        <v>113</v>
      </c>
      <c r="D32" s="61" t="s">
        <v>91</v>
      </c>
      <c r="E32" s="47">
        <v>143.20000000000002</v>
      </c>
      <c r="F32" s="63">
        <v>0</v>
      </c>
      <c r="G32" s="63">
        <v>293.27999999999997</v>
      </c>
      <c r="H32" s="64">
        <f t="shared" si="3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61" t="s">
        <v>27</v>
      </c>
      <c r="C33" s="62" t="s">
        <v>113</v>
      </c>
      <c r="D33" s="61" t="s">
        <v>52</v>
      </c>
      <c r="E33" s="63">
        <v>1414.6</v>
      </c>
      <c r="F33" s="63">
        <f>SUM(E33/1000)</f>
        <v>1.4145999999999999</v>
      </c>
      <c r="G33" s="63">
        <v>3020.33</v>
      </c>
      <c r="H33" s="64">
        <f t="shared" si="3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61" t="s">
        <v>116</v>
      </c>
      <c r="C34" s="62" t="s">
        <v>39</v>
      </c>
      <c r="D34" s="61" t="s">
        <v>62</v>
      </c>
      <c r="E34" s="63">
        <v>6</v>
      </c>
      <c r="F34" s="63">
        <f>SUM(E34*155/100)</f>
        <v>9.3000000000000007</v>
      </c>
      <c r="G34" s="63">
        <v>1302.02</v>
      </c>
      <c r="H34" s="64">
        <f t="shared" si="3"/>
        <v>12.108786</v>
      </c>
      <c r="I34" s="13">
        <v>0</v>
      </c>
      <c r="J34" s="22"/>
      <c r="K34" s="8"/>
    </row>
    <row r="35" spans="1:14" ht="15.75" hidden="1" customHeight="1">
      <c r="A35" s="29"/>
      <c r="B35" s="61" t="s">
        <v>64</v>
      </c>
      <c r="C35" s="62" t="s">
        <v>33</v>
      </c>
      <c r="D35" s="61" t="s">
        <v>66</v>
      </c>
      <c r="E35" s="47"/>
      <c r="F35" s="63">
        <v>4</v>
      </c>
      <c r="G35" s="63">
        <v>191.32</v>
      </c>
      <c r="H35" s="64">
        <f t="shared" si="3"/>
        <v>0.76527999999999996</v>
      </c>
      <c r="I35" s="13">
        <v>0</v>
      </c>
      <c r="J35" s="23"/>
    </row>
    <row r="36" spans="1:14" ht="15.75" hidden="1" customHeight="1">
      <c r="A36" s="29"/>
      <c r="B36" s="61" t="s">
        <v>65</v>
      </c>
      <c r="C36" s="62" t="s">
        <v>32</v>
      </c>
      <c r="D36" s="61" t="s">
        <v>66</v>
      </c>
      <c r="E36" s="47"/>
      <c r="F36" s="63">
        <v>3</v>
      </c>
      <c r="G36" s="63">
        <v>1136.33</v>
      </c>
      <c r="H36" s="64">
        <f t="shared" si="3"/>
        <v>3.4089899999999997</v>
      </c>
      <c r="I36" s="13">
        <v>0</v>
      </c>
      <c r="J36" s="23"/>
    </row>
    <row r="37" spans="1:14" ht="15.75" customHeight="1">
      <c r="A37" s="29"/>
      <c r="B37" s="81" t="s">
        <v>5</v>
      </c>
      <c r="C37" s="62"/>
      <c r="D37" s="61"/>
      <c r="E37" s="47"/>
      <c r="F37" s="63"/>
      <c r="G37" s="63"/>
      <c r="H37" s="64" t="s">
        <v>130</v>
      </c>
      <c r="I37" s="13"/>
      <c r="J37" s="23"/>
    </row>
    <row r="38" spans="1:14" ht="15.75" customHeight="1">
      <c r="A38" s="29">
        <v>8</v>
      </c>
      <c r="B38" s="61" t="s">
        <v>26</v>
      </c>
      <c r="C38" s="62" t="s">
        <v>32</v>
      </c>
      <c r="D38" s="61"/>
      <c r="E38" s="47"/>
      <c r="F38" s="63">
        <v>20</v>
      </c>
      <c r="G38" s="63">
        <v>1527.22</v>
      </c>
      <c r="H38" s="64">
        <f t="shared" ref="H38:H44" si="4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61" t="s">
        <v>67</v>
      </c>
      <c r="C39" s="62" t="s">
        <v>29</v>
      </c>
      <c r="D39" s="61" t="s">
        <v>147</v>
      </c>
      <c r="E39" s="63">
        <v>632.4</v>
      </c>
      <c r="F39" s="63">
        <f>SUM(E39*50/1000)</f>
        <v>31.62</v>
      </c>
      <c r="G39" s="63">
        <v>2102.71</v>
      </c>
      <c r="H39" s="64">
        <f t="shared" si="4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61" t="s">
        <v>95</v>
      </c>
      <c r="C40" s="62" t="s">
        <v>118</v>
      </c>
      <c r="D40" s="61" t="s">
        <v>66</v>
      </c>
      <c r="E40" s="47"/>
      <c r="F40" s="63">
        <v>30</v>
      </c>
      <c r="G40" s="63">
        <v>213.2</v>
      </c>
      <c r="H40" s="64">
        <f t="shared" si="4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61" t="s">
        <v>68</v>
      </c>
      <c r="C41" s="62" t="s">
        <v>29</v>
      </c>
      <c r="D41" s="61" t="s">
        <v>119</v>
      </c>
      <c r="E41" s="63">
        <v>106</v>
      </c>
      <c r="F41" s="63">
        <f>SUM(E41*155/1000)</f>
        <v>16.43</v>
      </c>
      <c r="G41" s="63">
        <v>350.75</v>
      </c>
      <c r="H41" s="64">
        <f t="shared" si="4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61" t="s">
        <v>82</v>
      </c>
      <c r="C42" s="62" t="s">
        <v>113</v>
      </c>
      <c r="D42" s="61" t="s">
        <v>148</v>
      </c>
      <c r="E42" s="63">
        <v>106</v>
      </c>
      <c r="F42" s="63">
        <f>SUM(E42*70/1000)</f>
        <v>7.42</v>
      </c>
      <c r="G42" s="63">
        <v>5803.28</v>
      </c>
      <c r="H42" s="64">
        <f t="shared" si="4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120</v>
      </c>
      <c r="C43" s="62" t="s">
        <v>113</v>
      </c>
      <c r="D43" s="61" t="s">
        <v>69</v>
      </c>
      <c r="E43" s="63">
        <v>106</v>
      </c>
      <c r="F43" s="63">
        <f>SUM(E43*45/1000)</f>
        <v>4.7699999999999996</v>
      </c>
      <c r="G43" s="63">
        <v>428.7</v>
      </c>
      <c r="H43" s="64">
        <f t="shared" si="4"/>
        <v>2.0448989999999996</v>
      </c>
      <c r="I43" s="13">
        <f>F43/7.5*G43</f>
        <v>272.65319999999997</v>
      </c>
      <c r="J43" s="23"/>
      <c r="L43" s="19"/>
      <c r="M43" s="20"/>
      <c r="N43" s="21"/>
    </row>
    <row r="44" spans="1:14" ht="15.75" customHeight="1">
      <c r="A44" s="29">
        <v>13</v>
      </c>
      <c r="B44" s="61" t="s">
        <v>70</v>
      </c>
      <c r="C44" s="62" t="s">
        <v>33</v>
      </c>
      <c r="D44" s="61"/>
      <c r="E44" s="47"/>
      <c r="F44" s="63">
        <v>0.9</v>
      </c>
      <c r="G44" s="63">
        <v>798</v>
      </c>
      <c r="H44" s="64">
        <f t="shared" si="4"/>
        <v>0.71820000000000006</v>
      </c>
      <c r="I44" s="13">
        <f>F44/7.5*G44</f>
        <v>95.76</v>
      </c>
      <c r="J44" s="23"/>
      <c r="L44" s="19"/>
      <c r="M44" s="20"/>
      <c r="N44" s="21"/>
    </row>
    <row r="45" spans="1:14" ht="15.75" customHeight="1">
      <c r="A45" s="146" t="s">
        <v>133</v>
      </c>
      <c r="B45" s="147"/>
      <c r="C45" s="147"/>
      <c r="D45" s="147"/>
      <c r="E45" s="147"/>
      <c r="F45" s="147"/>
      <c r="G45" s="147"/>
      <c r="H45" s="147"/>
      <c r="I45" s="148"/>
      <c r="J45" s="23"/>
      <c r="L45" s="19"/>
      <c r="M45" s="20"/>
      <c r="N45" s="21"/>
    </row>
    <row r="46" spans="1:14" ht="15.75" hidden="1" customHeight="1">
      <c r="A46" s="29"/>
      <c r="B46" s="61" t="s">
        <v>149</v>
      </c>
      <c r="C46" s="62" t="s">
        <v>113</v>
      </c>
      <c r="D46" s="61" t="s">
        <v>41</v>
      </c>
      <c r="E46" s="47">
        <v>1150.5999999999999</v>
      </c>
      <c r="F46" s="63">
        <f>SUM(E46*2/1000)</f>
        <v>2.3011999999999997</v>
      </c>
      <c r="G46" s="13">
        <v>849.49</v>
      </c>
      <c r="H46" s="64">
        <f t="shared" ref="H46:H54" si="5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34</v>
      </c>
      <c r="C47" s="62" t="s">
        <v>113</v>
      </c>
      <c r="D47" s="61" t="s">
        <v>41</v>
      </c>
      <c r="E47" s="47">
        <v>108.96</v>
      </c>
      <c r="F47" s="63">
        <f>SUM(E47*2/1000)</f>
        <v>0.21791999999999997</v>
      </c>
      <c r="G47" s="13">
        <v>579.48</v>
      </c>
      <c r="H47" s="64">
        <f t="shared" si="5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35</v>
      </c>
      <c r="C48" s="62" t="s">
        <v>113</v>
      </c>
      <c r="D48" s="61" t="s">
        <v>41</v>
      </c>
      <c r="E48" s="47">
        <v>4224.3999999999996</v>
      </c>
      <c r="F48" s="63">
        <f>SUM(E48*2/1000)</f>
        <v>8.4487999999999985</v>
      </c>
      <c r="G48" s="13">
        <v>579.48</v>
      </c>
      <c r="H48" s="64">
        <f t="shared" si="5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36</v>
      </c>
      <c r="C49" s="62" t="s">
        <v>113</v>
      </c>
      <c r="D49" s="61" t="s">
        <v>41</v>
      </c>
      <c r="E49" s="47">
        <v>3059.7</v>
      </c>
      <c r="F49" s="63">
        <f>SUM(E49*2/1000)</f>
        <v>6.1193999999999997</v>
      </c>
      <c r="G49" s="13">
        <v>606.77</v>
      </c>
      <c r="H49" s="64">
        <f t="shared" si="5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14</v>
      </c>
      <c r="B50" s="61" t="s">
        <v>55</v>
      </c>
      <c r="C50" s="62" t="s">
        <v>113</v>
      </c>
      <c r="D50" s="61" t="s">
        <v>150</v>
      </c>
      <c r="E50" s="47">
        <v>1150.5999999999999</v>
      </c>
      <c r="F50" s="63">
        <f>SUM(E50*5/1000)</f>
        <v>5.7530000000000001</v>
      </c>
      <c r="G50" s="13">
        <v>1213.55</v>
      </c>
      <c r="H50" s="64">
        <f t="shared" si="5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61" t="s">
        <v>121</v>
      </c>
      <c r="C51" s="62" t="s">
        <v>113</v>
      </c>
      <c r="D51" s="61" t="s">
        <v>41</v>
      </c>
      <c r="E51" s="47">
        <v>1150.5999999999999</v>
      </c>
      <c r="F51" s="63">
        <f>SUM(E51*2/1000)</f>
        <v>2.3011999999999997</v>
      </c>
      <c r="G51" s="13">
        <v>1213.55</v>
      </c>
      <c r="H51" s="64">
        <f t="shared" si="5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1" t="s">
        <v>122</v>
      </c>
      <c r="C52" s="62" t="s">
        <v>37</v>
      </c>
      <c r="D52" s="61" t="s">
        <v>41</v>
      </c>
      <c r="E52" s="47">
        <v>30</v>
      </c>
      <c r="F52" s="63">
        <f>SUM(E52*2/100)</f>
        <v>0.6</v>
      </c>
      <c r="G52" s="13">
        <v>2730.49</v>
      </c>
      <c r="H52" s="64">
        <f t="shared" si="5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1" t="s">
        <v>38</v>
      </c>
      <c r="C53" s="62" t="s">
        <v>39</v>
      </c>
      <c r="D53" s="61" t="s">
        <v>41</v>
      </c>
      <c r="E53" s="47">
        <v>1</v>
      </c>
      <c r="F53" s="63">
        <v>0.02</v>
      </c>
      <c r="G53" s="13">
        <v>5652.13</v>
      </c>
      <c r="H53" s="64">
        <f t="shared" si="5"/>
        <v>0.11304260000000001</v>
      </c>
      <c r="I53" s="13">
        <v>0</v>
      </c>
      <c r="J53" s="23"/>
      <c r="L53" s="19"/>
      <c r="M53" s="20"/>
      <c r="N53" s="21"/>
    </row>
    <row r="54" spans="1:22" ht="15.75" customHeight="1">
      <c r="A54" s="29">
        <v>15</v>
      </c>
      <c r="B54" s="61" t="s">
        <v>40</v>
      </c>
      <c r="C54" s="62" t="s">
        <v>123</v>
      </c>
      <c r="D54" s="61" t="s">
        <v>71</v>
      </c>
      <c r="E54" s="47">
        <v>158</v>
      </c>
      <c r="F54" s="63">
        <f>SUM(E54)*3</f>
        <v>474</v>
      </c>
      <c r="G54" s="13">
        <v>65.67</v>
      </c>
      <c r="H54" s="64">
        <f t="shared" si="5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6" t="s">
        <v>134</v>
      </c>
      <c r="B55" s="147"/>
      <c r="C55" s="147"/>
      <c r="D55" s="147"/>
      <c r="E55" s="147"/>
      <c r="F55" s="147"/>
      <c r="G55" s="147"/>
      <c r="H55" s="147"/>
      <c r="I55" s="148"/>
      <c r="J55" s="23"/>
      <c r="L55" s="19"/>
      <c r="M55" s="20"/>
      <c r="N55" s="21"/>
    </row>
    <row r="56" spans="1:22" ht="17.25" customHeight="1">
      <c r="A56" s="29"/>
      <c r="B56" s="81" t="s">
        <v>42</v>
      </c>
      <c r="C56" s="62"/>
      <c r="D56" s="61"/>
      <c r="E56" s="47"/>
      <c r="F56" s="63"/>
      <c r="G56" s="63"/>
      <c r="H56" s="64"/>
      <c r="I56" s="13"/>
      <c r="J56" s="23"/>
      <c r="L56" s="19"/>
      <c r="M56" s="20"/>
      <c r="N56" s="21"/>
    </row>
    <row r="57" spans="1:22" ht="30.75" customHeight="1">
      <c r="A57" s="29">
        <v>16</v>
      </c>
      <c r="B57" s="61" t="s">
        <v>151</v>
      </c>
      <c r="C57" s="62" t="s">
        <v>104</v>
      </c>
      <c r="D57" s="61" t="s">
        <v>152</v>
      </c>
      <c r="E57" s="90">
        <v>6</v>
      </c>
      <c r="F57" s="13">
        <f>E57*8/100</f>
        <v>0.48</v>
      </c>
      <c r="G57" s="63">
        <v>1547.28</v>
      </c>
      <c r="H57" s="64">
        <f>SUM(F57*G57/1000)</f>
        <v>0.74269439999999998</v>
      </c>
      <c r="I57" s="13">
        <f>G57*0.295</f>
        <v>456.44759999999997</v>
      </c>
      <c r="J57" s="23"/>
      <c r="L57" s="19"/>
      <c r="M57" s="20"/>
      <c r="N57" s="21"/>
    </row>
    <row r="58" spans="1:22" ht="20.25" hidden="1" customHeight="1">
      <c r="A58" s="91"/>
      <c r="B58" s="61" t="s">
        <v>100</v>
      </c>
      <c r="C58" s="62" t="s">
        <v>101</v>
      </c>
      <c r="D58" s="61" t="s">
        <v>41</v>
      </c>
      <c r="E58" s="47">
        <v>6</v>
      </c>
      <c r="F58" s="63">
        <v>12</v>
      </c>
      <c r="G58" s="69">
        <v>180.78</v>
      </c>
      <c r="H58" s="64">
        <f t="shared" ref="H58" si="6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82" t="s">
        <v>43</v>
      </c>
      <c r="C59" s="70"/>
      <c r="D59" s="71"/>
      <c r="E59" s="72"/>
      <c r="F59" s="74"/>
      <c r="G59" s="13"/>
      <c r="H59" s="75"/>
      <c r="I59" s="13"/>
      <c r="J59" s="23"/>
      <c r="L59" s="19"/>
      <c r="M59" s="20"/>
      <c r="N59" s="21"/>
    </row>
    <row r="60" spans="1:22" ht="15.75" customHeight="1">
      <c r="A60" s="29">
        <v>16</v>
      </c>
      <c r="B60" s="110" t="s">
        <v>96</v>
      </c>
      <c r="C60" s="111" t="s">
        <v>25</v>
      </c>
      <c r="D60" s="110"/>
      <c r="E60" s="112">
        <v>200</v>
      </c>
      <c r="F60" s="113">
        <f>E60*12</f>
        <v>2400</v>
      </c>
      <c r="G60" s="114">
        <v>1.2</v>
      </c>
      <c r="H60" s="115">
        <f>G60*F60</f>
        <v>2880</v>
      </c>
      <c r="I60" s="13">
        <f>F60/12*G60</f>
        <v>240</v>
      </c>
      <c r="J60" s="23"/>
      <c r="L60" s="19"/>
    </row>
    <row r="61" spans="1:22" ht="15.75" hidden="1" customHeight="1">
      <c r="A61" s="29"/>
      <c r="B61" s="82" t="s">
        <v>44</v>
      </c>
      <c r="C61" s="70"/>
      <c r="D61" s="71"/>
      <c r="E61" s="72"/>
      <c r="F61" s="73"/>
      <c r="G61" s="73"/>
      <c r="H61" s="74" t="s">
        <v>130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18</v>
      </c>
      <c r="B62" s="14" t="s">
        <v>45</v>
      </c>
      <c r="C62" s="16" t="s">
        <v>123</v>
      </c>
      <c r="D62" s="14" t="s">
        <v>66</v>
      </c>
      <c r="E62" s="18">
        <v>15</v>
      </c>
      <c r="F62" s="63">
        <v>15</v>
      </c>
      <c r="G62" s="13">
        <v>209.41</v>
      </c>
      <c r="H62" s="76">
        <f t="shared" ref="H62:H69" si="7">SUM(F62*G62/1000)</f>
        <v>3.1411500000000001</v>
      </c>
      <c r="I62" s="13">
        <f>G62*3</f>
        <v>628.23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123</v>
      </c>
      <c r="D63" s="14" t="s">
        <v>66</v>
      </c>
      <c r="E63" s="18">
        <v>5</v>
      </c>
      <c r="F63" s="63">
        <v>5</v>
      </c>
      <c r="G63" s="13">
        <v>71.790000000000006</v>
      </c>
      <c r="H63" s="76">
        <f t="shared" si="7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124</v>
      </c>
      <c r="D64" s="14" t="s">
        <v>52</v>
      </c>
      <c r="E64" s="47">
        <v>18281</v>
      </c>
      <c r="F64" s="13">
        <f>SUM(E64/100)</f>
        <v>182.81</v>
      </c>
      <c r="G64" s="13">
        <v>199.77</v>
      </c>
      <c r="H64" s="76">
        <f t="shared" si="7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34"/>
      <c r="S64" s="134"/>
      <c r="T64" s="134"/>
      <c r="U64" s="134"/>
    </row>
    <row r="65" spans="1:9" ht="15.75" hidden="1" customHeight="1">
      <c r="A65" s="29"/>
      <c r="B65" s="14" t="s">
        <v>48</v>
      </c>
      <c r="C65" s="16" t="s">
        <v>125</v>
      </c>
      <c r="D65" s="14"/>
      <c r="E65" s="47">
        <v>18281</v>
      </c>
      <c r="F65" s="13">
        <f>SUM(E65/1000)</f>
        <v>18.280999999999999</v>
      </c>
      <c r="G65" s="13">
        <v>155.57</v>
      </c>
      <c r="H65" s="76">
        <f t="shared" si="7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75</v>
      </c>
      <c r="D66" s="14" t="s">
        <v>52</v>
      </c>
      <c r="E66" s="47">
        <v>2730</v>
      </c>
      <c r="F66" s="13">
        <f>SUM(E66/100)</f>
        <v>27.3</v>
      </c>
      <c r="G66" s="13">
        <v>1953.52</v>
      </c>
      <c r="H66" s="76">
        <f t="shared" si="7"/>
        <v>53.331095999999995</v>
      </c>
      <c r="I66" s="13">
        <v>0</v>
      </c>
    </row>
    <row r="67" spans="1:9" ht="15.75" hidden="1" customHeight="1">
      <c r="A67" s="29"/>
      <c r="B67" s="77" t="s">
        <v>126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40.270000000000003</v>
      </c>
      <c r="H67" s="76">
        <f t="shared" si="7"/>
        <v>0.66042800000000002</v>
      </c>
      <c r="I67" s="13">
        <v>0</v>
      </c>
    </row>
    <row r="68" spans="1:9" ht="15.75" hidden="1" customHeight="1">
      <c r="A68" s="29"/>
      <c r="B68" s="77" t="s">
        <v>127</v>
      </c>
      <c r="C68" s="16" t="s">
        <v>33</v>
      </c>
      <c r="D68" s="14"/>
      <c r="E68" s="47">
        <v>16.399999999999999</v>
      </c>
      <c r="F68" s="13">
        <f>SUM(E68)</f>
        <v>16.399999999999999</v>
      </c>
      <c r="G68" s="13">
        <v>37.71</v>
      </c>
      <c r="H68" s="76">
        <f t="shared" si="7"/>
        <v>0.61844399999999999</v>
      </c>
      <c r="I68" s="13">
        <v>0</v>
      </c>
    </row>
    <row r="69" spans="1:9" ht="15.75" hidden="1" customHeight="1">
      <c r="A69" s="29"/>
      <c r="B69" s="14" t="s">
        <v>56</v>
      </c>
      <c r="C69" s="16" t="s">
        <v>57</v>
      </c>
      <c r="D69" s="14" t="s">
        <v>52</v>
      </c>
      <c r="E69" s="18">
        <v>7</v>
      </c>
      <c r="F69" s="63">
        <f>SUM(E69)</f>
        <v>7</v>
      </c>
      <c r="G69" s="13">
        <v>46.97</v>
      </c>
      <c r="H69" s="76">
        <f t="shared" si="7"/>
        <v>0.32878999999999997</v>
      </c>
      <c r="I69" s="13">
        <v>0</v>
      </c>
    </row>
    <row r="70" spans="1:9" ht="15.75" hidden="1" customHeight="1">
      <c r="A70" s="29"/>
      <c r="B70" s="54" t="s">
        <v>72</v>
      </c>
      <c r="C70" s="16"/>
      <c r="D70" s="14"/>
      <c r="E70" s="18"/>
      <c r="F70" s="13"/>
      <c r="G70" s="13"/>
      <c r="H70" s="76" t="s">
        <v>130</v>
      </c>
      <c r="I70" s="13"/>
    </row>
    <row r="71" spans="1:9" ht="15.75" hidden="1" customHeight="1">
      <c r="A71" s="29"/>
      <c r="B71" s="14" t="s">
        <v>88</v>
      </c>
      <c r="C71" s="16" t="s">
        <v>31</v>
      </c>
      <c r="D71" s="14"/>
      <c r="E71" s="18">
        <v>1</v>
      </c>
      <c r="F71" s="63">
        <f>SUM(E71)</f>
        <v>1</v>
      </c>
      <c r="G71" s="13">
        <v>337.58</v>
      </c>
      <c r="H71" s="76">
        <f t="shared" ref="H71" si="8">SUM(F71*G71/1000)</f>
        <v>0.33757999999999999</v>
      </c>
      <c r="I71" s="13">
        <v>0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76">
        <f>F72*G72/1000</f>
        <v>1.6063800000000001</v>
      </c>
      <c r="I72" s="13">
        <v>0</v>
      </c>
    </row>
    <row r="73" spans="1:9" ht="15.75" hidden="1" customHeight="1">
      <c r="A73" s="29"/>
      <c r="B73" s="78" t="s">
        <v>74</v>
      </c>
      <c r="C73" s="16"/>
      <c r="D73" s="14"/>
      <c r="E73" s="18"/>
      <c r="F73" s="13"/>
      <c r="G73" s="13" t="s">
        <v>130</v>
      </c>
      <c r="H73" s="76" t="s">
        <v>130</v>
      </c>
      <c r="I73" s="13"/>
    </row>
    <row r="74" spans="1:9" ht="15.75" hidden="1" customHeight="1">
      <c r="A74" s="29"/>
      <c r="B74" s="42" t="s">
        <v>131</v>
      </c>
      <c r="C74" s="16" t="s">
        <v>75</v>
      </c>
      <c r="D74" s="14"/>
      <c r="E74" s="18"/>
      <c r="F74" s="13">
        <v>1.35</v>
      </c>
      <c r="G74" s="13">
        <v>2494</v>
      </c>
      <c r="H74" s="76">
        <f t="shared" ref="H74" si="9">SUM(F74*G74/1000)</f>
        <v>3.3669000000000002</v>
      </c>
      <c r="I74" s="13">
        <v>0</v>
      </c>
    </row>
    <row r="75" spans="1:9" ht="15.75" hidden="1" customHeight="1">
      <c r="A75" s="29"/>
      <c r="B75" s="65" t="s">
        <v>128</v>
      </c>
      <c r="C75" s="78"/>
      <c r="D75" s="31"/>
      <c r="E75" s="32"/>
      <c r="F75" s="66"/>
      <c r="G75" s="66"/>
      <c r="H75" s="79">
        <f>SUM(H57:H74)</f>
        <v>2986.0257012699999</v>
      </c>
      <c r="I75" s="66"/>
    </row>
    <row r="76" spans="1:9" ht="15.75" hidden="1" customHeight="1">
      <c r="A76" s="29"/>
      <c r="B76" s="61" t="s">
        <v>129</v>
      </c>
      <c r="C76" s="16"/>
      <c r="D76" s="14"/>
      <c r="E76" s="56"/>
      <c r="F76" s="13">
        <v>1</v>
      </c>
      <c r="G76" s="13">
        <v>17359.8</v>
      </c>
      <c r="H76" s="76">
        <f>G76*F76/1000</f>
        <v>17.3598</v>
      </c>
      <c r="I76" s="13">
        <v>0</v>
      </c>
    </row>
    <row r="77" spans="1:9" ht="15.75" customHeight="1">
      <c r="A77" s="135" t="s">
        <v>135</v>
      </c>
      <c r="B77" s="136"/>
      <c r="C77" s="136"/>
      <c r="D77" s="136"/>
      <c r="E77" s="136"/>
      <c r="F77" s="136"/>
      <c r="G77" s="136"/>
      <c r="H77" s="136"/>
      <c r="I77" s="137"/>
    </row>
    <row r="78" spans="1:9" ht="15.75" customHeight="1">
      <c r="A78" s="29">
        <v>17</v>
      </c>
      <c r="B78" s="61" t="s">
        <v>132</v>
      </c>
      <c r="C78" s="16" t="s">
        <v>53</v>
      </c>
      <c r="D78" s="80" t="s">
        <v>54</v>
      </c>
      <c r="E78" s="13">
        <v>4224.3999999999996</v>
      </c>
      <c r="F78" s="13">
        <f>SUM(E78*12)</f>
        <v>50692.799999999996</v>
      </c>
      <c r="G78" s="13">
        <v>2.1</v>
      </c>
      <c r="H78" s="76">
        <f>SUM(F78*G78/1000)</f>
        <v>106.45487999999999</v>
      </c>
      <c r="I78" s="13">
        <f>F78/12*G78</f>
        <v>8871.24</v>
      </c>
    </row>
    <row r="79" spans="1:9" ht="31.5" customHeight="1">
      <c r="A79" s="29">
        <v>18</v>
      </c>
      <c r="B79" s="14" t="s">
        <v>76</v>
      </c>
      <c r="C79" s="16"/>
      <c r="D79" s="80" t="s">
        <v>54</v>
      </c>
      <c r="E79" s="47">
        <v>4224.3999999999996</v>
      </c>
      <c r="F79" s="13">
        <f>E79*12</f>
        <v>50692.799999999996</v>
      </c>
      <c r="G79" s="13">
        <v>1.63</v>
      </c>
      <c r="H79" s="76">
        <f>F79*G79/1000</f>
        <v>82.629263999999978</v>
      </c>
      <c r="I79" s="13">
        <f>F79/12*G79</f>
        <v>6885.771999999999</v>
      </c>
    </row>
    <row r="80" spans="1:9" ht="15.75" customHeight="1">
      <c r="A80" s="43"/>
      <c r="B80" s="34" t="s">
        <v>79</v>
      </c>
      <c r="C80" s="35"/>
      <c r="D80" s="15"/>
      <c r="E80" s="15"/>
      <c r="F80" s="15"/>
      <c r="G80" s="18"/>
      <c r="H80" s="18"/>
      <c r="I80" s="32">
        <f>I79+I78+I60+I57+I54+I50+I44+I43+I42+I41+I39+I38+I27+I26+I21+I20+I18+I17+I16</f>
        <v>88719.589771333325</v>
      </c>
    </row>
    <row r="81" spans="1:9" ht="15.75" customHeight="1">
      <c r="A81" s="153" t="s">
        <v>59</v>
      </c>
      <c r="B81" s="154"/>
      <c r="C81" s="154"/>
      <c r="D81" s="154"/>
      <c r="E81" s="154"/>
      <c r="F81" s="154"/>
      <c r="G81" s="154"/>
      <c r="H81" s="154"/>
      <c r="I81" s="155"/>
    </row>
    <row r="82" spans="1:9" ht="15.75" customHeight="1">
      <c r="A82" s="36">
        <v>19</v>
      </c>
      <c r="B82" s="46" t="s">
        <v>193</v>
      </c>
      <c r="C82" s="48" t="s">
        <v>92</v>
      </c>
      <c r="D82" s="42"/>
      <c r="E82" s="13"/>
      <c r="F82" s="13">
        <v>6</v>
      </c>
      <c r="G82" s="13">
        <v>784.36</v>
      </c>
      <c r="H82" s="76">
        <f>G82*F82/1000</f>
        <v>4.7061599999999997</v>
      </c>
      <c r="I82" s="13">
        <f>G82*5</f>
        <v>3921.8</v>
      </c>
    </row>
    <row r="83" spans="1:9" ht="15.75" customHeight="1">
      <c r="A83" s="36">
        <v>20</v>
      </c>
      <c r="B83" s="46" t="s">
        <v>194</v>
      </c>
      <c r="C83" s="48" t="s">
        <v>92</v>
      </c>
      <c r="D83" s="42"/>
      <c r="E83" s="13"/>
      <c r="F83" s="13">
        <v>2</v>
      </c>
      <c r="G83" s="13">
        <v>1008.38</v>
      </c>
      <c r="H83" s="76">
        <f>G83*F83/1000</f>
        <v>2.0167600000000001</v>
      </c>
      <c r="I83" s="13">
        <f>G83</f>
        <v>1008.38</v>
      </c>
    </row>
    <row r="84" spans="1:9" ht="31.5" customHeight="1">
      <c r="A84" s="29">
        <v>21</v>
      </c>
      <c r="B84" s="46" t="s">
        <v>89</v>
      </c>
      <c r="C84" s="48" t="s">
        <v>92</v>
      </c>
      <c r="D84" s="42"/>
      <c r="E84" s="13"/>
      <c r="F84" s="13">
        <v>7</v>
      </c>
      <c r="G84" s="13">
        <v>613.44000000000005</v>
      </c>
      <c r="H84" s="76">
        <f>G84*F84/1000</f>
        <v>4.2940800000000001</v>
      </c>
      <c r="I84" s="13">
        <f>G84*3</f>
        <v>1840.3200000000002</v>
      </c>
    </row>
    <row r="85" spans="1:9" ht="15.75" customHeight="1">
      <c r="A85" s="36">
        <v>22</v>
      </c>
      <c r="B85" s="46" t="s">
        <v>184</v>
      </c>
      <c r="C85" s="48" t="s">
        <v>153</v>
      </c>
      <c r="D85" s="14"/>
      <c r="E85" s="18"/>
      <c r="F85" s="13">
        <v>105</v>
      </c>
      <c r="G85" s="13">
        <v>134.12</v>
      </c>
      <c r="H85" s="76">
        <f t="shared" ref="H85" si="10">G85*F85/1000</f>
        <v>14.082600000000001</v>
      </c>
      <c r="I85" s="116">
        <f>G85*((15)+10+50+20)</f>
        <v>12741.4</v>
      </c>
    </row>
    <row r="86" spans="1:9" ht="15.75" customHeight="1">
      <c r="A86" s="36">
        <v>23</v>
      </c>
      <c r="B86" s="46" t="s">
        <v>185</v>
      </c>
      <c r="C86" s="48" t="s">
        <v>83</v>
      </c>
      <c r="D86" s="42"/>
      <c r="E86" s="13"/>
      <c r="F86" s="13">
        <v>2</v>
      </c>
      <c r="G86" s="13">
        <v>203.68</v>
      </c>
      <c r="H86" s="76">
        <f t="shared" ref="H86:H88" si="11">G86*F86/1000</f>
        <v>0.40736</v>
      </c>
      <c r="I86" s="116">
        <f>G86</f>
        <v>203.68</v>
      </c>
    </row>
    <row r="87" spans="1:9" ht="31.5" customHeight="1">
      <c r="A87" s="29">
        <v>24</v>
      </c>
      <c r="B87" s="46" t="s">
        <v>139</v>
      </c>
      <c r="C87" s="48" t="s">
        <v>37</v>
      </c>
      <c r="D87" s="14"/>
      <c r="E87" s="18"/>
      <c r="F87" s="13">
        <v>0.02</v>
      </c>
      <c r="G87" s="13">
        <v>3724.37</v>
      </c>
      <c r="H87" s="76">
        <f t="shared" si="11"/>
        <v>7.4487399999999995E-2</v>
      </c>
      <c r="I87" s="116">
        <f>G87*0.02</f>
        <v>74.487399999999994</v>
      </c>
    </row>
    <row r="88" spans="1:9" ht="31.5" customHeight="1">
      <c r="A88" s="29">
        <v>25</v>
      </c>
      <c r="B88" s="46" t="s">
        <v>78</v>
      </c>
      <c r="C88" s="48" t="s">
        <v>123</v>
      </c>
      <c r="D88" s="14"/>
      <c r="E88" s="18"/>
      <c r="F88" s="13">
        <v>1</v>
      </c>
      <c r="G88" s="13">
        <v>86.69</v>
      </c>
      <c r="H88" s="76">
        <f t="shared" si="11"/>
        <v>8.6690000000000003E-2</v>
      </c>
      <c r="I88" s="13">
        <f>G88</f>
        <v>86.69</v>
      </c>
    </row>
    <row r="89" spans="1:9" ht="15.75" customHeight="1">
      <c r="A89" s="36">
        <v>26</v>
      </c>
      <c r="B89" s="46" t="s">
        <v>81</v>
      </c>
      <c r="C89" s="48" t="s">
        <v>123</v>
      </c>
      <c r="D89" s="42"/>
      <c r="E89" s="13"/>
      <c r="F89" s="13">
        <v>2</v>
      </c>
      <c r="G89" s="13">
        <v>197.48</v>
      </c>
      <c r="H89" s="76">
        <f>G89*F89/1000</f>
        <v>0.39495999999999998</v>
      </c>
      <c r="I89" s="13">
        <f>G89*2</f>
        <v>394.96</v>
      </c>
    </row>
    <row r="90" spans="1:9" ht="15.75" customHeight="1">
      <c r="A90" s="36" t="s">
        <v>218</v>
      </c>
      <c r="B90" s="46" t="s">
        <v>158</v>
      </c>
      <c r="C90" s="48" t="s">
        <v>123</v>
      </c>
      <c r="D90" s="42"/>
      <c r="E90" s="13"/>
      <c r="F90" s="13">
        <v>160</v>
      </c>
      <c r="G90" s="13">
        <v>55.55</v>
      </c>
      <c r="H90" s="76">
        <f>G90*F90/1000</f>
        <v>8.8879999999999999</v>
      </c>
      <c r="I90" s="13">
        <f>G90*80</f>
        <v>4444</v>
      </c>
    </row>
    <row r="91" spans="1:9" ht="15.75" customHeight="1">
      <c r="A91" s="36">
        <v>28</v>
      </c>
      <c r="B91" s="42" t="s">
        <v>87</v>
      </c>
      <c r="C91" s="16" t="s">
        <v>102</v>
      </c>
      <c r="D91" s="42"/>
      <c r="E91" s="13"/>
      <c r="F91" s="13">
        <v>3.5</v>
      </c>
      <c r="G91" s="13">
        <v>1645</v>
      </c>
      <c r="H91" s="76">
        <f>G91*F91/1000</f>
        <v>5.7575000000000003</v>
      </c>
      <c r="I91" s="13">
        <f>G91*3.5</f>
        <v>5757.5</v>
      </c>
    </row>
    <row r="92" spans="1:9" ht="15.75" customHeight="1">
      <c r="A92" s="29"/>
      <c r="B92" s="40" t="s">
        <v>50</v>
      </c>
      <c r="C92" s="36"/>
      <c r="D92" s="44"/>
      <c r="E92" s="36">
        <v>1</v>
      </c>
      <c r="F92" s="36"/>
      <c r="G92" s="36"/>
      <c r="H92" s="36"/>
      <c r="I92" s="32">
        <f>SUM(I82:I91)-I90</f>
        <v>26029.217400000001</v>
      </c>
    </row>
    <row r="93" spans="1:9" ht="15.75" customHeight="1">
      <c r="A93" s="29"/>
      <c r="B93" s="42" t="s">
        <v>77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5"/>
      <c r="B94" s="41" t="s">
        <v>192</v>
      </c>
      <c r="C94" s="33"/>
      <c r="D94" s="33"/>
      <c r="E94" s="33"/>
      <c r="F94" s="33"/>
      <c r="G94" s="33"/>
      <c r="H94" s="33"/>
      <c r="I94" s="39">
        <f>I80+I92</f>
        <v>114748.80717133332</v>
      </c>
    </row>
    <row r="95" spans="1:9" ht="15.75" customHeight="1">
      <c r="A95" s="156" t="s">
        <v>253</v>
      </c>
      <c r="B95" s="157"/>
      <c r="C95" s="157"/>
      <c r="D95" s="157"/>
      <c r="E95" s="157"/>
      <c r="F95" s="157"/>
      <c r="G95" s="157"/>
      <c r="H95" s="157"/>
      <c r="I95" s="157"/>
    </row>
    <row r="96" spans="1:9" ht="15.75" customHeight="1">
      <c r="A96" s="149" t="s">
        <v>256</v>
      </c>
      <c r="B96" s="149"/>
      <c r="C96" s="149"/>
      <c r="D96" s="149"/>
      <c r="E96" s="149"/>
      <c r="F96" s="149"/>
      <c r="G96" s="149"/>
      <c r="H96" s="149"/>
      <c r="I96" s="149"/>
    </row>
    <row r="97" spans="1:9" ht="15.75" customHeight="1">
      <c r="A97" s="55"/>
      <c r="B97" s="150" t="s">
        <v>257</v>
      </c>
      <c r="C97" s="150"/>
      <c r="D97" s="150"/>
      <c r="E97" s="150"/>
      <c r="F97" s="150"/>
      <c r="G97" s="150"/>
      <c r="H97" s="60"/>
      <c r="I97" s="3"/>
    </row>
    <row r="98" spans="1:9" ht="15.75" customHeight="1">
      <c r="A98" s="49"/>
      <c r="B98" s="151" t="s">
        <v>6</v>
      </c>
      <c r="C98" s="151"/>
      <c r="D98" s="151"/>
      <c r="E98" s="151"/>
      <c r="F98" s="151"/>
      <c r="G98" s="151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2" t="s">
        <v>7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152" t="s">
        <v>8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44" t="s">
        <v>60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ht="15.75" customHeight="1">
      <c r="A103" s="11"/>
    </row>
    <row r="104" spans="1:9" ht="15.75" customHeight="1">
      <c r="A104" s="159" t="s">
        <v>9</v>
      </c>
      <c r="B104" s="159"/>
      <c r="C104" s="159"/>
      <c r="D104" s="159"/>
      <c r="E104" s="159"/>
      <c r="F104" s="159"/>
      <c r="G104" s="159"/>
      <c r="H104" s="159"/>
      <c r="I104" s="159"/>
    </row>
    <row r="105" spans="1:9" ht="15.75" customHeight="1">
      <c r="A105" s="4"/>
    </row>
    <row r="106" spans="1:9" ht="15.75" customHeight="1">
      <c r="B106" s="52" t="s">
        <v>10</v>
      </c>
      <c r="C106" s="160" t="s">
        <v>90</v>
      </c>
      <c r="D106" s="160"/>
      <c r="E106" s="160"/>
      <c r="F106" s="58"/>
      <c r="I106" s="51"/>
    </row>
    <row r="107" spans="1:9" ht="15.75" customHeight="1">
      <c r="A107" s="49"/>
      <c r="C107" s="151" t="s">
        <v>11</v>
      </c>
      <c r="D107" s="151"/>
      <c r="E107" s="151"/>
      <c r="F107" s="24"/>
      <c r="I107" s="50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52" t="s">
        <v>13</v>
      </c>
      <c r="C109" s="161"/>
      <c r="D109" s="161"/>
      <c r="E109" s="161"/>
      <c r="F109" s="59"/>
      <c r="I109" s="51"/>
    </row>
    <row r="110" spans="1:9" ht="15.75" customHeight="1">
      <c r="A110" s="49"/>
      <c r="C110" s="134" t="s">
        <v>11</v>
      </c>
      <c r="D110" s="134"/>
      <c r="E110" s="134"/>
      <c r="F110" s="49"/>
      <c r="I110" s="50" t="s">
        <v>12</v>
      </c>
    </row>
    <row r="111" spans="1:9" ht="15.75" customHeight="1">
      <c r="A111" s="4" t="s">
        <v>14</v>
      </c>
    </row>
    <row r="112" spans="1:9" ht="15.75" customHeight="1">
      <c r="A112" s="162" t="s">
        <v>15</v>
      </c>
      <c r="B112" s="162"/>
      <c r="C112" s="162"/>
      <c r="D112" s="162"/>
      <c r="E112" s="162"/>
      <c r="F112" s="162"/>
      <c r="G112" s="162"/>
      <c r="H112" s="162"/>
      <c r="I112" s="162"/>
    </row>
    <row r="113" spans="1:9" ht="45" customHeight="1">
      <c r="A113" s="158" t="s">
        <v>16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30" customHeight="1">
      <c r="A114" s="158" t="s">
        <v>17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30" customHeight="1">
      <c r="A115" s="158" t="s">
        <v>21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15" customHeight="1">
      <c r="A116" s="158" t="s">
        <v>20</v>
      </c>
      <c r="B116" s="158"/>
      <c r="C116" s="158"/>
      <c r="D116" s="158"/>
      <c r="E116" s="158"/>
      <c r="F116" s="158"/>
      <c r="G116" s="158"/>
      <c r="H116" s="158"/>
      <c r="I116" s="158"/>
    </row>
  </sheetData>
  <autoFilter ref="I12:I60"/>
  <mergeCells count="30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8:I28"/>
    <mergeCell ref="A45:I45"/>
    <mergeCell ref="A55:I55"/>
    <mergeCell ref="A96:I96"/>
    <mergeCell ref="B97:G97"/>
    <mergeCell ref="B98:G98"/>
    <mergeCell ref="A100:I100"/>
    <mergeCell ref="A101:I101"/>
    <mergeCell ref="A81:I81"/>
    <mergeCell ref="A95:I95"/>
    <mergeCell ref="R64:U64"/>
    <mergeCell ref="A77:I77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B95" sqref="B95:G9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177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276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43404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178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68" t="s">
        <v>23</v>
      </c>
      <c r="C26" s="62" t="s">
        <v>24</v>
      </c>
      <c r="D26" s="61" t="s">
        <v>178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12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customHeight="1">
      <c r="A50" s="29">
        <v>12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customHeight="1">
      <c r="A51" s="29">
        <v>13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customHeight="1">
      <c r="A53" s="29">
        <v>15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134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16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17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G61*5</f>
        <v>1047.05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5.7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135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18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19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I78+I77+I61+I59+I53+I52+I51+I50+I33+I32+I30+I29+I26+I25+I21+I20+I18+I17+I16</f>
        <v>72051.973347555555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31.5" customHeight="1">
      <c r="A81" s="29">
        <v>20</v>
      </c>
      <c r="B81" s="46" t="s">
        <v>89</v>
      </c>
      <c r="C81" s="48" t="s">
        <v>92</v>
      </c>
      <c r="D81" s="42"/>
      <c r="E81" s="13"/>
      <c r="F81" s="13">
        <v>11</v>
      </c>
      <c r="G81" s="118">
        <v>613.44000000000005</v>
      </c>
      <c r="H81" s="76">
        <f t="shared" ref="H81:H82" si="12">G81*F81/1000</f>
        <v>6.7478400000000001</v>
      </c>
      <c r="I81" s="13">
        <f>G81*1</f>
        <v>613.44000000000005</v>
      </c>
    </row>
    <row r="82" spans="1:9" ht="15.75" customHeight="1">
      <c r="A82" s="29" t="s">
        <v>277</v>
      </c>
      <c r="B82" s="46" t="s">
        <v>158</v>
      </c>
      <c r="C82" s="48" t="s">
        <v>123</v>
      </c>
      <c r="D82" s="42"/>
      <c r="E82" s="13"/>
      <c r="F82" s="13">
        <v>960</v>
      </c>
      <c r="G82" s="13">
        <v>55.55</v>
      </c>
      <c r="H82" s="76">
        <f t="shared" si="12"/>
        <v>53.328000000000003</v>
      </c>
      <c r="I82" s="13">
        <f>G82*80</f>
        <v>4444</v>
      </c>
    </row>
    <row r="83" spans="1:9" ht="15.75" customHeight="1">
      <c r="A83" s="29">
        <v>22</v>
      </c>
      <c r="B83" s="100" t="s">
        <v>252</v>
      </c>
      <c r="C83" s="101" t="s">
        <v>29</v>
      </c>
      <c r="D83" s="42"/>
      <c r="E83" s="13"/>
      <c r="F83" s="13"/>
      <c r="G83" s="103">
        <v>1158.7</v>
      </c>
      <c r="H83" s="76"/>
      <c r="I83" s="13">
        <f>G83*0.1917</f>
        <v>222.12279000000001</v>
      </c>
    </row>
    <row r="84" spans="1:9" ht="15.75" customHeight="1">
      <c r="A84" s="29">
        <v>23</v>
      </c>
      <c r="B84" s="46" t="s">
        <v>156</v>
      </c>
      <c r="C84" s="48" t="s">
        <v>157</v>
      </c>
      <c r="D84" s="42"/>
      <c r="E84" s="13"/>
      <c r="F84" s="13"/>
      <c r="G84" s="103">
        <v>300.61</v>
      </c>
      <c r="H84" s="76"/>
      <c r="I84" s="13">
        <f>G84*2</f>
        <v>601.22</v>
      </c>
    </row>
    <row r="85" spans="1:9" ht="15.75" customHeight="1">
      <c r="A85" s="29">
        <v>24</v>
      </c>
      <c r="B85" s="46" t="s">
        <v>279</v>
      </c>
      <c r="C85" s="48" t="s">
        <v>123</v>
      </c>
      <c r="D85" s="42"/>
      <c r="E85" s="13"/>
      <c r="F85" s="13"/>
      <c r="G85" s="103">
        <v>105</v>
      </c>
      <c r="H85" s="76"/>
      <c r="I85" s="13">
        <f>G85*1</f>
        <v>105</v>
      </c>
    </row>
    <row r="86" spans="1:9" ht="15.75" customHeight="1">
      <c r="A86" s="29">
        <v>25</v>
      </c>
      <c r="B86" s="100" t="s">
        <v>184</v>
      </c>
      <c r="C86" s="101" t="s">
        <v>153</v>
      </c>
      <c r="D86" s="42"/>
      <c r="E86" s="13"/>
      <c r="F86" s="13"/>
      <c r="G86" s="103">
        <v>134.12</v>
      </c>
      <c r="H86" s="76"/>
      <c r="I86" s="13">
        <f>G86*16</f>
        <v>2145.92</v>
      </c>
    </row>
    <row r="87" spans="1:9" ht="15.75" customHeight="1">
      <c r="A87" s="29">
        <v>26</v>
      </c>
      <c r="B87" s="100" t="s">
        <v>280</v>
      </c>
      <c r="C87" s="101" t="s">
        <v>281</v>
      </c>
      <c r="D87" s="42"/>
      <c r="E87" s="13"/>
      <c r="F87" s="13"/>
      <c r="G87" s="103">
        <v>24829.08</v>
      </c>
      <c r="H87" s="76"/>
      <c r="I87" s="13">
        <f>G87*0.01</f>
        <v>248.29080000000002</v>
      </c>
    </row>
    <row r="88" spans="1:9" ht="30.75" customHeight="1">
      <c r="A88" s="29">
        <v>27</v>
      </c>
      <c r="B88" s="46" t="s">
        <v>139</v>
      </c>
      <c r="C88" s="48" t="s">
        <v>37</v>
      </c>
      <c r="D88" s="42"/>
      <c r="E88" s="13"/>
      <c r="F88" s="13"/>
      <c r="G88" s="103">
        <v>3724.37</v>
      </c>
      <c r="H88" s="76"/>
      <c r="I88" s="13">
        <f>G88*0.01</f>
        <v>37.243699999999997</v>
      </c>
    </row>
    <row r="89" spans="1:9" ht="16.5" customHeight="1">
      <c r="A89" s="29">
        <v>28</v>
      </c>
      <c r="B89" s="100" t="s">
        <v>268</v>
      </c>
      <c r="C89" s="101" t="s">
        <v>123</v>
      </c>
      <c r="D89" s="42"/>
      <c r="E89" s="13"/>
      <c r="F89" s="13"/>
      <c r="G89" s="103">
        <v>1276</v>
      </c>
      <c r="H89" s="76"/>
      <c r="I89" s="13">
        <f>G89*1</f>
        <v>1276</v>
      </c>
    </row>
    <row r="90" spans="1:9" ht="15.75" customHeight="1">
      <c r="A90" s="29"/>
      <c r="B90" s="40" t="s">
        <v>50</v>
      </c>
      <c r="C90" s="36"/>
      <c r="D90" s="44"/>
      <c r="E90" s="36">
        <v>1</v>
      </c>
      <c r="F90" s="36"/>
      <c r="G90" s="36"/>
      <c r="H90" s="36"/>
      <c r="I90" s="32">
        <f>SUM(I81:I89)-I82</f>
        <v>5249.2372900000028</v>
      </c>
    </row>
    <row r="91" spans="1:9" ht="15.75" customHeight="1">
      <c r="A91" s="29"/>
      <c r="B91" s="42" t="s">
        <v>77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5"/>
      <c r="B92" s="41" t="s">
        <v>145</v>
      </c>
      <c r="C92" s="33"/>
      <c r="D92" s="33"/>
      <c r="E92" s="33"/>
      <c r="F92" s="33"/>
      <c r="G92" s="33"/>
      <c r="H92" s="33"/>
      <c r="I92" s="39">
        <f>I79+I90</f>
        <v>77301.21063755556</v>
      </c>
    </row>
    <row r="93" spans="1:9" ht="15.75" customHeight="1">
      <c r="A93" s="156" t="s">
        <v>278</v>
      </c>
      <c r="B93" s="157"/>
      <c r="C93" s="157"/>
      <c r="D93" s="157"/>
      <c r="E93" s="157"/>
      <c r="F93" s="157"/>
      <c r="G93" s="157"/>
      <c r="H93" s="157"/>
      <c r="I93" s="157"/>
    </row>
    <row r="94" spans="1:9" ht="15.75" customHeight="1">
      <c r="A94" s="149" t="s">
        <v>283</v>
      </c>
      <c r="B94" s="149"/>
      <c r="C94" s="149"/>
      <c r="D94" s="149"/>
      <c r="E94" s="149"/>
      <c r="F94" s="149"/>
      <c r="G94" s="149"/>
      <c r="H94" s="149"/>
      <c r="I94" s="149"/>
    </row>
    <row r="95" spans="1:9" ht="15.75" customHeight="1">
      <c r="A95" s="55"/>
      <c r="B95" s="150" t="s">
        <v>284</v>
      </c>
      <c r="C95" s="150"/>
      <c r="D95" s="150"/>
      <c r="E95" s="150"/>
      <c r="F95" s="150"/>
      <c r="G95" s="150"/>
      <c r="H95" s="60"/>
      <c r="I95" s="3"/>
    </row>
    <row r="96" spans="1:9" ht="15.75" customHeight="1">
      <c r="A96" s="85"/>
      <c r="B96" s="151" t="s">
        <v>6</v>
      </c>
      <c r="C96" s="151"/>
      <c r="D96" s="151"/>
      <c r="E96" s="151"/>
      <c r="F96" s="151"/>
      <c r="G96" s="151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2" t="s">
        <v>7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52" t="s">
        <v>8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44" t="s">
        <v>60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5.75" customHeight="1">
      <c r="A101" s="11"/>
    </row>
    <row r="102" spans="1:9" ht="15.75" customHeight="1">
      <c r="A102" s="159" t="s">
        <v>9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 customHeight="1">
      <c r="A103" s="4"/>
    </row>
    <row r="104" spans="1:9" ht="15.75" customHeight="1">
      <c r="B104" s="86" t="s">
        <v>10</v>
      </c>
      <c r="C104" s="160" t="s">
        <v>90</v>
      </c>
      <c r="D104" s="160"/>
      <c r="E104" s="160"/>
      <c r="F104" s="58"/>
      <c r="I104" s="84"/>
    </row>
    <row r="105" spans="1:9" ht="15.75" customHeight="1">
      <c r="A105" s="85"/>
      <c r="C105" s="151" t="s">
        <v>11</v>
      </c>
      <c r="D105" s="151"/>
      <c r="E105" s="151"/>
      <c r="F105" s="24"/>
      <c r="I105" s="83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86" t="s">
        <v>13</v>
      </c>
      <c r="C107" s="161"/>
      <c r="D107" s="161"/>
      <c r="E107" s="161"/>
      <c r="F107" s="59"/>
      <c r="I107" s="84"/>
    </row>
    <row r="108" spans="1:9" ht="15.75" customHeight="1">
      <c r="A108" s="85"/>
      <c r="C108" s="134" t="s">
        <v>11</v>
      </c>
      <c r="D108" s="134"/>
      <c r="E108" s="134"/>
      <c r="F108" s="85"/>
      <c r="I108" s="83" t="s">
        <v>12</v>
      </c>
    </row>
    <row r="109" spans="1:9" ht="15.75" customHeight="1">
      <c r="A109" s="4" t="s">
        <v>14</v>
      </c>
    </row>
    <row r="110" spans="1:9" ht="15.75" customHeight="1">
      <c r="A110" s="162" t="s">
        <v>15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45" customHeight="1">
      <c r="A111" s="158" t="s">
        <v>16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17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30" customHeight="1">
      <c r="A113" s="158" t="s">
        <v>21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15" customHeight="1">
      <c r="A114" s="158" t="s">
        <v>20</v>
      </c>
      <c r="B114" s="158"/>
      <c r="C114" s="158"/>
      <c r="D114" s="158"/>
      <c r="E114" s="158"/>
      <c r="F114" s="158"/>
      <c r="G114" s="158"/>
      <c r="H114" s="158"/>
      <c r="I114" s="158"/>
    </row>
  </sheetData>
  <autoFilter ref="I12:I59"/>
  <mergeCells count="30">
    <mergeCell ref="A110:I110"/>
    <mergeCell ref="A111:I111"/>
    <mergeCell ref="A112:I112"/>
    <mergeCell ref="A113:I113"/>
    <mergeCell ref="A114:I114"/>
    <mergeCell ref="R63:U63"/>
    <mergeCell ref="C108:E108"/>
    <mergeCell ref="A80:I80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6:I76"/>
    <mergeCell ref="A93:I93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B95" sqref="B95:G9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180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287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94"/>
      <c r="C6" s="94"/>
      <c r="D6" s="94"/>
      <c r="E6" s="94"/>
      <c r="F6" s="94"/>
      <c r="G6" s="94"/>
      <c r="H6" s="94"/>
      <c r="I6" s="30">
        <v>43434</v>
      </c>
      <c r="J6" s="2"/>
      <c r="K6" s="2"/>
      <c r="L6" s="2"/>
      <c r="M6" s="2"/>
    </row>
    <row r="7" spans="1:13" ht="15.75" customHeight="1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178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hidden="1" customHeight="1">
      <c r="A26" s="29">
        <v>7</v>
      </c>
      <c r="B26" s="68" t="s">
        <v>23</v>
      </c>
      <c r="C26" s="62" t="s">
        <v>24</v>
      </c>
      <c r="D26" s="61" t="s">
        <v>178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hidden="1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customHeight="1">
      <c r="A37" s="29">
        <v>7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customHeight="1">
      <c r="A38" s="29">
        <v>8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customHeight="1">
      <c r="A40" s="29">
        <v>9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customHeight="1">
      <c r="A41" s="29">
        <v>10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customHeight="1">
      <c r="A42" s="29">
        <v>11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F42/7.5*G42</f>
        <v>272.65319999999997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F43/7.5*G43</f>
        <v>95.76</v>
      </c>
      <c r="J43" s="23"/>
      <c r="L43" s="19"/>
      <c r="M43" s="20"/>
      <c r="N43" s="21"/>
    </row>
    <row r="44" spans="1:14" ht="15.75" hidden="1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12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171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14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13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hidden="1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16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95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5.7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172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14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15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97"/>
      <c r="B79" s="34" t="s">
        <v>79</v>
      </c>
      <c r="C79" s="35"/>
      <c r="D79" s="15"/>
      <c r="E79" s="15"/>
      <c r="F79" s="15"/>
      <c r="G79" s="18"/>
      <c r="H79" s="18"/>
      <c r="I79" s="32">
        <f>I78+I77+I59+I43+I42+I41+I40+I38+I37+I25+I21+I20+I18+I17+I16</f>
        <v>57100.975541333326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31.5" customHeight="1">
      <c r="A81" s="29">
        <v>16</v>
      </c>
      <c r="B81" s="100" t="s">
        <v>288</v>
      </c>
      <c r="C81" s="130" t="s">
        <v>29</v>
      </c>
      <c r="D81" s="102"/>
      <c r="E81" s="103"/>
      <c r="F81" s="103">
        <f>(3*7+5+10+10+10+10+20+20+5+10+20+3)/3</f>
        <v>48</v>
      </c>
      <c r="G81" s="103">
        <v>18798.34</v>
      </c>
      <c r="H81" s="104">
        <f t="shared" ref="H81:H82" si="12">G81*F81/1000</f>
        <v>902.32032000000004</v>
      </c>
      <c r="I81" s="13">
        <f>G81*0.599*6/1000</f>
        <v>67.561233959999996</v>
      </c>
    </row>
    <row r="82" spans="1:9" ht="15.75" customHeight="1">
      <c r="A82" s="29">
        <v>17</v>
      </c>
      <c r="B82" s="100" t="s">
        <v>268</v>
      </c>
      <c r="C82" s="101" t="s">
        <v>123</v>
      </c>
      <c r="D82" s="42"/>
      <c r="E82" s="13"/>
      <c r="F82" s="13">
        <v>960</v>
      </c>
      <c r="G82" s="103">
        <v>1276</v>
      </c>
      <c r="H82" s="76">
        <f t="shared" si="12"/>
        <v>1224.96</v>
      </c>
      <c r="I82" s="13">
        <f>G82*1</f>
        <v>1276</v>
      </c>
    </row>
    <row r="83" spans="1:9" ht="31.5" customHeight="1">
      <c r="A83" s="29">
        <v>18</v>
      </c>
      <c r="B83" s="46" t="s">
        <v>139</v>
      </c>
      <c r="C83" s="48" t="s">
        <v>37</v>
      </c>
      <c r="D83" s="102"/>
      <c r="E83" s="103"/>
      <c r="F83" s="103">
        <v>6</v>
      </c>
      <c r="G83" s="103">
        <v>3724.37</v>
      </c>
      <c r="H83" s="104">
        <f>G83*F83/1000</f>
        <v>22.346220000000002</v>
      </c>
      <c r="I83" s="13">
        <f>G83*0.04</f>
        <v>148.97479999999999</v>
      </c>
    </row>
    <row r="84" spans="1:9" ht="33.75" customHeight="1">
      <c r="A84" s="29">
        <v>19</v>
      </c>
      <c r="B84" s="46" t="s">
        <v>78</v>
      </c>
      <c r="C84" s="48" t="s">
        <v>123</v>
      </c>
      <c r="D84" s="105"/>
      <c r="E84" s="17"/>
      <c r="F84" s="103">
        <v>2</v>
      </c>
      <c r="G84" s="103">
        <v>86.69</v>
      </c>
      <c r="H84" s="104">
        <f>G84*F84/1000</f>
        <v>0.17338000000000001</v>
      </c>
      <c r="I84" s="13">
        <f>G84*1</f>
        <v>86.69</v>
      </c>
    </row>
    <row r="85" spans="1:9" ht="31.5" customHeight="1">
      <c r="A85" s="29">
        <v>20</v>
      </c>
      <c r="B85" s="100" t="s">
        <v>289</v>
      </c>
      <c r="C85" s="101" t="s">
        <v>123</v>
      </c>
      <c r="D85" s="105"/>
      <c r="E85" s="17"/>
      <c r="F85" s="106">
        <f>1/1000</f>
        <v>1E-3</v>
      </c>
      <c r="G85" s="103">
        <v>3180.02</v>
      </c>
      <c r="H85" s="107">
        <f>G85*F85/1000</f>
        <v>3.18002E-3</v>
      </c>
      <c r="I85" s="13">
        <f>G85*1</f>
        <v>3180.02</v>
      </c>
    </row>
    <row r="86" spans="1:9" ht="15.75" customHeight="1">
      <c r="A86" s="29" t="s">
        <v>277</v>
      </c>
      <c r="B86" s="100" t="s">
        <v>158</v>
      </c>
      <c r="C86" s="101" t="s">
        <v>123</v>
      </c>
      <c r="D86" s="105"/>
      <c r="E86" s="17"/>
      <c r="F86" s="103">
        <v>2</v>
      </c>
      <c r="G86" s="103">
        <v>55.55</v>
      </c>
      <c r="H86" s="104">
        <f t="shared" ref="H86" si="13">G86*F86/1000</f>
        <v>0.11109999999999999</v>
      </c>
      <c r="I86" s="13">
        <f>G86*1</f>
        <v>55.55</v>
      </c>
    </row>
    <row r="87" spans="1:9" ht="15.75" customHeight="1">
      <c r="A87" s="29">
        <v>22</v>
      </c>
      <c r="B87" s="46" t="s">
        <v>156</v>
      </c>
      <c r="C87" s="48" t="s">
        <v>157</v>
      </c>
      <c r="D87" s="105"/>
      <c r="E87" s="17"/>
      <c r="F87" s="103"/>
      <c r="G87" s="103">
        <v>300.61</v>
      </c>
      <c r="H87" s="104"/>
      <c r="I87" s="13">
        <f>G87*1</f>
        <v>300.61</v>
      </c>
    </row>
    <row r="88" spans="1:9" ht="15.75" customHeight="1">
      <c r="A88" s="29">
        <v>23</v>
      </c>
      <c r="B88" s="129" t="s">
        <v>290</v>
      </c>
      <c r="C88" s="101" t="s">
        <v>123</v>
      </c>
      <c r="D88" s="105"/>
      <c r="E88" s="17"/>
      <c r="F88" s="103"/>
      <c r="G88" s="103">
        <v>197.26</v>
      </c>
      <c r="H88" s="104"/>
      <c r="I88" s="13">
        <f>G88*1</f>
        <v>197.26</v>
      </c>
    </row>
    <row r="89" spans="1:9" ht="15.75" customHeight="1">
      <c r="A89" s="29">
        <v>24</v>
      </c>
      <c r="B89" s="100" t="s">
        <v>184</v>
      </c>
      <c r="C89" s="101" t="s">
        <v>153</v>
      </c>
      <c r="D89" s="105"/>
      <c r="E89" s="17"/>
      <c r="F89" s="103"/>
      <c r="G89" s="103">
        <v>134.12</v>
      </c>
      <c r="H89" s="104"/>
      <c r="I89" s="13">
        <f>G89*12</f>
        <v>1609.44</v>
      </c>
    </row>
    <row r="90" spans="1:9" ht="15.75" customHeight="1">
      <c r="A90" s="29"/>
      <c r="B90" s="40" t="s">
        <v>50</v>
      </c>
      <c r="C90" s="36"/>
      <c r="D90" s="44"/>
      <c r="E90" s="36">
        <v>1</v>
      </c>
      <c r="F90" s="36"/>
      <c r="G90" s="36"/>
      <c r="H90" s="36"/>
      <c r="I90" s="32">
        <f>I87+I85+I84+I83+I82+I81+I88+I89</f>
        <v>6866.5560339599997</v>
      </c>
    </row>
    <row r="91" spans="1:9" ht="15.75" customHeight="1">
      <c r="A91" s="29"/>
      <c r="B91" s="42" t="s">
        <v>77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5"/>
      <c r="B92" s="41" t="s">
        <v>145</v>
      </c>
      <c r="C92" s="33"/>
      <c r="D92" s="33"/>
      <c r="E92" s="33"/>
      <c r="F92" s="33"/>
      <c r="G92" s="33"/>
      <c r="H92" s="33"/>
      <c r="I92" s="39">
        <f>I79+I90</f>
        <v>63967.531575293324</v>
      </c>
    </row>
    <row r="93" spans="1:9" ht="15.75" customHeight="1">
      <c r="A93" s="156" t="s">
        <v>278</v>
      </c>
      <c r="B93" s="157"/>
      <c r="C93" s="157"/>
      <c r="D93" s="157"/>
      <c r="E93" s="157"/>
      <c r="F93" s="157"/>
      <c r="G93" s="157"/>
      <c r="H93" s="157"/>
      <c r="I93" s="157"/>
    </row>
    <row r="94" spans="1:9" ht="15.75" customHeight="1">
      <c r="A94" s="149" t="s">
        <v>291</v>
      </c>
      <c r="B94" s="149"/>
      <c r="C94" s="149"/>
      <c r="D94" s="149"/>
      <c r="E94" s="149"/>
      <c r="F94" s="149"/>
      <c r="G94" s="149"/>
      <c r="H94" s="149"/>
      <c r="I94" s="149"/>
    </row>
    <row r="95" spans="1:9" ht="15.75" customHeight="1">
      <c r="A95" s="55"/>
      <c r="B95" s="150" t="s">
        <v>292</v>
      </c>
      <c r="C95" s="150"/>
      <c r="D95" s="150"/>
      <c r="E95" s="150"/>
      <c r="F95" s="150"/>
      <c r="G95" s="150"/>
      <c r="H95" s="60"/>
      <c r="I95" s="3"/>
    </row>
    <row r="96" spans="1:9" ht="15.75" customHeight="1">
      <c r="A96" s="93"/>
      <c r="B96" s="151" t="s">
        <v>6</v>
      </c>
      <c r="C96" s="151"/>
      <c r="D96" s="151"/>
      <c r="E96" s="151"/>
      <c r="F96" s="151"/>
      <c r="G96" s="151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2" t="s">
        <v>7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52" t="s">
        <v>8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44" t="s">
        <v>60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5.75" customHeight="1">
      <c r="A101" s="11"/>
    </row>
    <row r="102" spans="1:9" ht="15.75" customHeight="1">
      <c r="A102" s="159" t="s">
        <v>9</v>
      </c>
      <c r="B102" s="159"/>
      <c r="C102" s="159"/>
      <c r="D102" s="159"/>
      <c r="E102" s="159"/>
      <c r="F102" s="159"/>
      <c r="G102" s="159"/>
      <c r="H102" s="159"/>
      <c r="I102" s="159"/>
    </row>
    <row r="103" spans="1:9" ht="15.75" customHeight="1">
      <c r="A103" s="4"/>
    </row>
    <row r="104" spans="1:9" ht="15.75" customHeight="1">
      <c r="B104" s="96" t="s">
        <v>10</v>
      </c>
      <c r="C104" s="160" t="s">
        <v>90</v>
      </c>
      <c r="D104" s="160"/>
      <c r="E104" s="160"/>
      <c r="F104" s="58"/>
      <c r="I104" s="99"/>
    </row>
    <row r="105" spans="1:9" ht="15.75" customHeight="1">
      <c r="A105" s="93"/>
      <c r="C105" s="151" t="s">
        <v>11</v>
      </c>
      <c r="D105" s="151"/>
      <c r="E105" s="151"/>
      <c r="F105" s="24"/>
      <c r="I105" s="98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96" t="s">
        <v>13</v>
      </c>
      <c r="C107" s="161"/>
      <c r="D107" s="161"/>
      <c r="E107" s="161"/>
      <c r="F107" s="59"/>
      <c r="I107" s="99"/>
    </row>
    <row r="108" spans="1:9" ht="15.75" customHeight="1">
      <c r="A108" s="93"/>
      <c r="C108" s="134" t="s">
        <v>11</v>
      </c>
      <c r="D108" s="134"/>
      <c r="E108" s="134"/>
      <c r="F108" s="93"/>
      <c r="I108" s="98" t="s">
        <v>12</v>
      </c>
    </row>
    <row r="109" spans="1:9" ht="15.75" customHeight="1">
      <c r="A109" s="4" t="s">
        <v>14</v>
      </c>
    </row>
    <row r="110" spans="1:9" ht="15.75" customHeight="1">
      <c r="A110" s="162" t="s">
        <v>15</v>
      </c>
      <c r="B110" s="162"/>
      <c r="C110" s="162"/>
      <c r="D110" s="162"/>
      <c r="E110" s="162"/>
      <c r="F110" s="162"/>
      <c r="G110" s="162"/>
      <c r="H110" s="162"/>
      <c r="I110" s="162"/>
    </row>
    <row r="111" spans="1:9" ht="45" customHeight="1">
      <c r="A111" s="158" t="s">
        <v>16</v>
      </c>
      <c r="B111" s="158"/>
      <c r="C111" s="158"/>
      <c r="D111" s="158"/>
      <c r="E111" s="158"/>
      <c r="F111" s="158"/>
      <c r="G111" s="158"/>
      <c r="H111" s="158"/>
      <c r="I111" s="158"/>
    </row>
    <row r="112" spans="1:9" ht="30" customHeight="1">
      <c r="A112" s="158" t="s">
        <v>17</v>
      </c>
      <c r="B112" s="158"/>
      <c r="C112" s="158"/>
      <c r="D112" s="158"/>
      <c r="E112" s="158"/>
      <c r="F112" s="158"/>
      <c r="G112" s="158"/>
      <c r="H112" s="158"/>
      <c r="I112" s="158"/>
    </row>
    <row r="113" spans="1:9" ht="30" customHeight="1">
      <c r="A113" s="158" t="s">
        <v>21</v>
      </c>
      <c r="B113" s="158"/>
      <c r="C113" s="158"/>
      <c r="D113" s="158"/>
      <c r="E113" s="158"/>
      <c r="F113" s="158"/>
      <c r="G113" s="158"/>
      <c r="H113" s="158"/>
      <c r="I113" s="158"/>
    </row>
    <row r="114" spans="1:9" ht="15" customHeight="1">
      <c r="A114" s="158" t="s">
        <v>20</v>
      </c>
      <c r="B114" s="158"/>
      <c r="C114" s="158"/>
      <c r="D114" s="158"/>
      <c r="E114" s="158"/>
      <c r="F114" s="158"/>
      <c r="G114" s="158"/>
      <c r="H114" s="158"/>
      <c r="I114" s="158"/>
    </row>
  </sheetData>
  <autoFilter ref="I12:I59"/>
  <mergeCells count="30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8:E108"/>
    <mergeCell ref="A80:I80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76:I76"/>
    <mergeCell ref="A93:I9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abSelected="1" topLeftCell="A74" workbookViewId="0">
      <selection activeCell="K91" sqref="K9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182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293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94"/>
      <c r="C6" s="94"/>
      <c r="D6" s="94"/>
      <c r="E6" s="94"/>
      <c r="F6" s="94"/>
      <c r="G6" s="94"/>
      <c r="H6" s="94"/>
      <c r="I6" s="30">
        <v>43465</v>
      </c>
      <c r="J6" s="2"/>
      <c r="K6" s="2"/>
      <c r="L6" s="2"/>
      <c r="M6" s="2"/>
    </row>
    <row r="7" spans="1:13" ht="15.75" customHeight="1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178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hidden="1" customHeight="1">
      <c r="A26" s="29">
        <v>7</v>
      </c>
      <c r="B26" s="68" t="s">
        <v>23</v>
      </c>
      <c r="C26" s="62" t="s">
        <v>24</v>
      </c>
      <c r="D26" s="61" t="s">
        <v>178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hidden="1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customHeight="1">
      <c r="A37" s="29">
        <v>7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customHeight="1">
      <c r="A38" s="29">
        <v>8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customHeight="1">
      <c r="A40" s="29">
        <v>9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customHeight="1">
      <c r="A41" s="29">
        <v>10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customHeight="1">
      <c r="A42" s="29">
        <v>11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F42/7.5*1.5*G42</f>
        <v>408.9797999999999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F43/7.5*1.5*G43</f>
        <v>143.64000000000001</v>
      </c>
      <c r="J43" s="23"/>
      <c r="L43" s="19"/>
      <c r="M43" s="20"/>
      <c r="N43" s="21"/>
    </row>
    <row r="44" spans="1:14" ht="15.75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12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13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134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15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14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hidden="1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16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>
        <v>19</v>
      </c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95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16.5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8" customHeight="1">
      <c r="A75" s="29">
        <v>15</v>
      </c>
      <c r="B75" s="61" t="s">
        <v>129</v>
      </c>
      <c r="C75" s="16"/>
      <c r="D75" s="14"/>
      <c r="E75" s="56"/>
      <c r="F75" s="13">
        <v>1</v>
      </c>
      <c r="G75" s="13">
        <v>5789.6</v>
      </c>
      <c r="H75" s="76">
        <f>G75*F75/1000</f>
        <v>5.7896000000000001</v>
      </c>
      <c r="I75" s="13">
        <f>G75</f>
        <v>5789.6</v>
      </c>
    </row>
    <row r="76" spans="1:9" ht="15.75" customHeight="1">
      <c r="A76" s="135" t="s">
        <v>135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16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17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97"/>
      <c r="B79" s="34" t="s">
        <v>79</v>
      </c>
      <c r="C79" s="35"/>
      <c r="D79" s="15"/>
      <c r="E79" s="15"/>
      <c r="F79" s="15"/>
      <c r="G79" s="18"/>
      <c r="H79" s="18"/>
      <c r="I79" s="32">
        <f>I78+I77+I75+I59+I49+I43+I42+I41+I40+I38+I37+I25+I21+I20+I18+I17+I16</f>
        <v>64471.092771333329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33" customHeight="1">
      <c r="A81" s="29">
        <v>18</v>
      </c>
      <c r="B81" s="100" t="s">
        <v>288</v>
      </c>
      <c r="C81" s="130" t="s">
        <v>29</v>
      </c>
      <c r="D81" s="102"/>
      <c r="E81" s="103"/>
      <c r="F81" s="103">
        <f>(3*7+5+10+10+10+10+20+20+5+10+20+3)/3</f>
        <v>48</v>
      </c>
      <c r="G81" s="103">
        <v>18798.34</v>
      </c>
      <c r="H81" s="104">
        <f t="shared" ref="H81:H85" si="12">G81*F81/1000</f>
        <v>902.32032000000004</v>
      </c>
      <c r="I81" s="13">
        <f>G81*0.599*16/1000</f>
        <v>180.16329056000001</v>
      </c>
    </row>
    <row r="82" spans="1:9" ht="15.75" customHeight="1">
      <c r="A82" s="29">
        <v>19</v>
      </c>
      <c r="B82" s="100" t="s">
        <v>294</v>
      </c>
      <c r="C82" s="130" t="s">
        <v>295</v>
      </c>
      <c r="D82" s="102"/>
      <c r="E82" s="103"/>
      <c r="F82" s="103"/>
      <c r="G82" s="103">
        <v>160.33000000000001</v>
      </c>
      <c r="H82" s="104"/>
      <c r="I82" s="13">
        <f>G82*1</f>
        <v>160.33000000000001</v>
      </c>
    </row>
    <row r="83" spans="1:9" ht="15.75" customHeight="1">
      <c r="A83" s="29">
        <v>20</v>
      </c>
      <c r="B83" s="131" t="s">
        <v>181</v>
      </c>
      <c r="C83" s="132" t="s">
        <v>123</v>
      </c>
      <c r="D83" s="102"/>
      <c r="E83" s="103"/>
      <c r="F83" s="103"/>
      <c r="G83" s="103">
        <v>89.59</v>
      </c>
      <c r="H83" s="104"/>
      <c r="I83" s="13">
        <f>G83*1</f>
        <v>89.59</v>
      </c>
    </row>
    <row r="84" spans="1:9" ht="15.75" customHeight="1">
      <c r="A84" s="29" t="s">
        <v>277</v>
      </c>
      <c r="B84" s="46" t="s">
        <v>158</v>
      </c>
      <c r="C84" s="48" t="s">
        <v>123</v>
      </c>
      <c r="D84" s="42"/>
      <c r="E84" s="13"/>
      <c r="F84" s="13">
        <v>960</v>
      </c>
      <c r="G84" s="13">
        <v>55.55</v>
      </c>
      <c r="H84" s="76">
        <f t="shared" si="12"/>
        <v>53.328000000000003</v>
      </c>
      <c r="I84" s="13">
        <f>G84*1</f>
        <v>55.55</v>
      </c>
    </row>
    <row r="85" spans="1:9" ht="16.5" customHeight="1">
      <c r="A85" s="29">
        <v>22</v>
      </c>
      <c r="B85" s="100" t="s">
        <v>184</v>
      </c>
      <c r="C85" s="101" t="s">
        <v>153</v>
      </c>
      <c r="D85" s="42"/>
      <c r="E85" s="13"/>
      <c r="F85" s="13">
        <v>0.06</v>
      </c>
      <c r="G85" s="103">
        <v>134.12</v>
      </c>
      <c r="H85" s="76">
        <f t="shared" si="12"/>
        <v>8.0472000000000009E-3</v>
      </c>
      <c r="I85" s="13">
        <f>G85*5</f>
        <v>670.6</v>
      </c>
    </row>
    <row r="86" spans="1:9" ht="17.25" customHeight="1">
      <c r="A86" s="29">
        <v>23</v>
      </c>
      <c r="B86" s="100" t="s">
        <v>185</v>
      </c>
      <c r="C86" s="101" t="s">
        <v>83</v>
      </c>
      <c r="D86" s="102"/>
      <c r="E86" s="103"/>
      <c r="F86" s="103">
        <v>3</v>
      </c>
      <c r="G86" s="103">
        <v>203.68</v>
      </c>
      <c r="H86" s="104">
        <f>G86*F86/1000</f>
        <v>0.61103999999999992</v>
      </c>
      <c r="I86" s="13">
        <f>G86*3</f>
        <v>611.04</v>
      </c>
    </row>
    <row r="87" spans="1:9" ht="15.75" customHeight="1">
      <c r="A87" s="29"/>
      <c r="B87" s="40" t="s">
        <v>50</v>
      </c>
      <c r="C87" s="36"/>
      <c r="D87" s="44"/>
      <c r="E87" s="36">
        <v>1</v>
      </c>
      <c r="F87" s="36"/>
      <c r="G87" s="36"/>
      <c r="H87" s="36"/>
      <c r="I87" s="32">
        <f>I86+I85+I83+I82+I81</f>
        <v>1711.7232905599997</v>
      </c>
    </row>
    <row r="88" spans="1:9" ht="15.75" customHeight="1">
      <c r="A88" s="29"/>
      <c r="B88" s="42" t="s">
        <v>77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5"/>
      <c r="B89" s="41" t="s">
        <v>145</v>
      </c>
      <c r="C89" s="33"/>
      <c r="D89" s="33"/>
      <c r="E89" s="33"/>
      <c r="F89" s="33"/>
      <c r="G89" s="33"/>
      <c r="H89" s="33"/>
      <c r="I89" s="39">
        <f>I79+I87</f>
        <v>66182.816061893333</v>
      </c>
    </row>
    <row r="90" spans="1:9" ht="15.75" customHeight="1">
      <c r="A90" s="122" t="s">
        <v>278</v>
      </c>
      <c r="B90" s="133"/>
      <c r="C90" s="123"/>
      <c r="D90" s="123"/>
      <c r="E90" s="123"/>
      <c r="F90" s="123"/>
      <c r="G90" s="123"/>
      <c r="H90" s="123"/>
      <c r="I90" s="124"/>
    </row>
    <row r="91" spans="1:9" ht="15.75" customHeight="1">
      <c r="A91" s="149" t="s">
        <v>296</v>
      </c>
      <c r="B91" s="149"/>
      <c r="C91" s="149"/>
      <c r="D91" s="149"/>
      <c r="E91" s="149"/>
      <c r="F91" s="149"/>
      <c r="G91" s="149"/>
      <c r="H91" s="149"/>
      <c r="I91" s="149"/>
    </row>
    <row r="92" spans="1:9" ht="15.75" customHeight="1">
      <c r="A92" s="55"/>
      <c r="B92" s="150" t="s">
        <v>297</v>
      </c>
      <c r="C92" s="150"/>
      <c r="D92" s="150"/>
      <c r="E92" s="150"/>
      <c r="F92" s="150"/>
      <c r="G92" s="150"/>
      <c r="H92" s="60"/>
      <c r="I92" s="3"/>
    </row>
    <row r="93" spans="1:9" ht="15.75" customHeight="1">
      <c r="A93" s="93"/>
      <c r="B93" s="151" t="s">
        <v>6</v>
      </c>
      <c r="C93" s="151"/>
      <c r="D93" s="151"/>
      <c r="E93" s="151"/>
      <c r="F93" s="151"/>
      <c r="G93" s="151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52" t="s">
        <v>7</v>
      </c>
      <c r="B95" s="152"/>
      <c r="C95" s="152"/>
      <c r="D95" s="152"/>
      <c r="E95" s="152"/>
      <c r="F95" s="152"/>
      <c r="G95" s="152"/>
      <c r="H95" s="152"/>
      <c r="I95" s="152"/>
    </row>
    <row r="96" spans="1:9" ht="15.75" customHeight="1">
      <c r="A96" s="152" t="s">
        <v>8</v>
      </c>
      <c r="B96" s="152"/>
      <c r="C96" s="152"/>
      <c r="D96" s="152"/>
      <c r="E96" s="152"/>
      <c r="F96" s="152"/>
      <c r="G96" s="152"/>
      <c r="H96" s="152"/>
      <c r="I96" s="152"/>
    </row>
    <row r="97" spans="1:9" ht="15.75" customHeight="1">
      <c r="A97" s="144" t="s">
        <v>60</v>
      </c>
      <c r="B97" s="144"/>
      <c r="C97" s="144"/>
      <c r="D97" s="144"/>
      <c r="E97" s="144"/>
      <c r="F97" s="144"/>
      <c r="G97" s="144"/>
      <c r="H97" s="144"/>
      <c r="I97" s="144"/>
    </row>
    <row r="98" spans="1:9" ht="15.75" customHeight="1">
      <c r="A98" s="11"/>
    </row>
    <row r="99" spans="1:9" ht="15.75" customHeight="1">
      <c r="A99" s="159" t="s">
        <v>9</v>
      </c>
      <c r="B99" s="159"/>
      <c r="C99" s="159"/>
      <c r="D99" s="159"/>
      <c r="E99" s="159"/>
      <c r="F99" s="159"/>
      <c r="G99" s="159"/>
      <c r="H99" s="159"/>
      <c r="I99" s="159"/>
    </row>
    <row r="100" spans="1:9" ht="15.75" customHeight="1">
      <c r="A100" s="4"/>
    </row>
    <row r="101" spans="1:9" ht="15.75" customHeight="1">
      <c r="B101" s="96" t="s">
        <v>10</v>
      </c>
      <c r="C101" s="160" t="s">
        <v>90</v>
      </c>
      <c r="D101" s="160"/>
      <c r="E101" s="160"/>
      <c r="F101" s="58"/>
      <c r="I101" s="99"/>
    </row>
    <row r="102" spans="1:9" ht="15.75" customHeight="1">
      <c r="A102" s="93"/>
      <c r="C102" s="151" t="s">
        <v>11</v>
      </c>
      <c r="D102" s="151"/>
      <c r="E102" s="151"/>
      <c r="F102" s="24"/>
      <c r="I102" s="98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96" t="s">
        <v>13</v>
      </c>
      <c r="C104" s="161"/>
      <c r="D104" s="161"/>
      <c r="E104" s="161"/>
      <c r="F104" s="59"/>
      <c r="I104" s="99"/>
    </row>
    <row r="105" spans="1:9" ht="15.75" customHeight="1">
      <c r="A105" s="93"/>
      <c r="C105" s="134" t="s">
        <v>11</v>
      </c>
      <c r="D105" s="134"/>
      <c r="E105" s="134"/>
      <c r="F105" s="93"/>
      <c r="I105" s="98" t="s">
        <v>12</v>
      </c>
    </row>
    <row r="106" spans="1:9" ht="15.75" customHeight="1">
      <c r="A106" s="4" t="s">
        <v>14</v>
      </c>
    </row>
    <row r="107" spans="1:9" ht="15.75" customHeight="1">
      <c r="A107" s="162" t="s">
        <v>15</v>
      </c>
      <c r="B107" s="162"/>
      <c r="C107" s="162"/>
      <c r="D107" s="162"/>
      <c r="E107" s="162"/>
      <c r="F107" s="162"/>
      <c r="G107" s="162"/>
      <c r="H107" s="162"/>
      <c r="I107" s="162"/>
    </row>
    <row r="108" spans="1:9" ht="45" customHeight="1">
      <c r="A108" s="158" t="s">
        <v>16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30" customHeight="1">
      <c r="A109" s="158" t="s">
        <v>17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30" customHeight="1">
      <c r="A110" s="158" t="s">
        <v>21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15" customHeight="1">
      <c r="A111" s="158" t="s">
        <v>20</v>
      </c>
      <c r="B111" s="158"/>
      <c r="C111" s="158"/>
      <c r="D111" s="158"/>
      <c r="E111" s="158"/>
      <c r="F111" s="158"/>
      <c r="G111" s="158"/>
      <c r="H111" s="158"/>
      <c r="I111" s="158"/>
    </row>
  </sheetData>
  <autoFilter ref="I12:I59"/>
  <mergeCells count="29">
    <mergeCell ref="A14:I14"/>
    <mergeCell ref="A15:I15"/>
    <mergeCell ref="A27:I27"/>
    <mergeCell ref="A44:I44"/>
    <mergeCell ref="A54:I54"/>
    <mergeCell ref="A3:I3"/>
    <mergeCell ref="A4:I4"/>
    <mergeCell ref="A5:I5"/>
    <mergeCell ref="A8:I8"/>
    <mergeCell ref="A10:I10"/>
    <mergeCell ref="R63:U63"/>
    <mergeCell ref="C105:E105"/>
    <mergeCell ref="A80:I80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6:I76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104" sqref="A104:I104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163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186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43159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1" t="s">
        <v>103</v>
      </c>
      <c r="C25" s="62" t="s">
        <v>51</v>
      </c>
      <c r="D25" s="61" t="s">
        <v>109</v>
      </c>
      <c r="E25" s="47">
        <v>17</v>
      </c>
      <c r="F25" s="63">
        <f>SUM(E25/100)</f>
        <v>0.17</v>
      </c>
      <c r="G25" s="63">
        <v>556.74</v>
      </c>
      <c r="H25" s="64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61" t="s">
        <v>63</v>
      </c>
      <c r="C26" s="62" t="s">
        <v>33</v>
      </c>
      <c r="D26" s="61" t="s">
        <v>137</v>
      </c>
      <c r="E26" s="47">
        <v>0.1</v>
      </c>
      <c r="F26" s="63">
        <f>SUM(E26*365)</f>
        <v>36.5</v>
      </c>
      <c r="G26" s="63">
        <v>147.03</v>
      </c>
      <c r="H26" s="64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68" t="s">
        <v>23</v>
      </c>
      <c r="C27" s="62" t="s">
        <v>24</v>
      </c>
      <c r="D27" s="68" t="s">
        <v>137</v>
      </c>
      <c r="E27" s="47">
        <v>4224.3999999999996</v>
      </c>
      <c r="F27" s="63">
        <f>SUM(E27*12)</f>
        <v>50692.799999999996</v>
      </c>
      <c r="G27" s="63">
        <v>4.59</v>
      </c>
      <c r="H27" s="64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45" t="s">
        <v>84</v>
      </c>
      <c r="B28" s="145"/>
      <c r="C28" s="145"/>
      <c r="D28" s="145"/>
      <c r="E28" s="145"/>
      <c r="F28" s="145"/>
      <c r="G28" s="145"/>
      <c r="H28" s="145"/>
      <c r="I28" s="145"/>
      <c r="J28" s="22"/>
      <c r="K28" s="8"/>
      <c r="L28" s="8"/>
      <c r="M28" s="8"/>
    </row>
    <row r="29" spans="1:13" ht="15.75" hidden="1" customHeight="1">
      <c r="A29" s="29"/>
      <c r="B29" s="81" t="s">
        <v>28</v>
      </c>
      <c r="C29" s="62"/>
      <c r="D29" s="61"/>
      <c r="E29" s="47"/>
      <c r="F29" s="63"/>
      <c r="G29" s="63"/>
      <c r="H29" s="64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1" t="s">
        <v>112</v>
      </c>
      <c r="C30" s="62" t="s">
        <v>113</v>
      </c>
      <c r="D30" s="61" t="s">
        <v>114</v>
      </c>
      <c r="E30" s="63">
        <v>1414.6</v>
      </c>
      <c r="F30" s="63">
        <f>SUM(E30*52/1000)</f>
        <v>73.559200000000004</v>
      </c>
      <c r="G30" s="63">
        <v>155.88999999999999</v>
      </c>
      <c r="H30" s="64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61" t="s">
        <v>141</v>
      </c>
      <c r="C31" s="62" t="s">
        <v>113</v>
      </c>
      <c r="D31" s="61" t="s">
        <v>115</v>
      </c>
      <c r="E31" s="63">
        <v>632.4</v>
      </c>
      <c r="F31" s="63">
        <f>SUM(E31*78/1000)</f>
        <v>49.327199999999998</v>
      </c>
      <c r="G31" s="63">
        <v>258.63</v>
      </c>
      <c r="H31" s="64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61" t="s">
        <v>146</v>
      </c>
      <c r="C32" s="62" t="s">
        <v>113</v>
      </c>
      <c r="D32" s="61" t="s">
        <v>91</v>
      </c>
      <c r="E32" s="47">
        <v>143.20000000000002</v>
      </c>
      <c r="F32" s="63">
        <v>0</v>
      </c>
      <c r="G32" s="63">
        <v>293.27999999999997</v>
      </c>
      <c r="H32" s="64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61" t="s">
        <v>27</v>
      </c>
      <c r="C33" s="62" t="s">
        <v>113</v>
      </c>
      <c r="D33" s="61" t="s">
        <v>52</v>
      </c>
      <c r="E33" s="63">
        <v>1414.6</v>
      </c>
      <c r="F33" s="63">
        <f>SUM(E33/1000)</f>
        <v>1.4145999999999999</v>
      </c>
      <c r="G33" s="63">
        <v>3020.33</v>
      </c>
      <c r="H33" s="64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61" t="s">
        <v>116</v>
      </c>
      <c r="C34" s="62" t="s">
        <v>39</v>
      </c>
      <c r="D34" s="61" t="s">
        <v>62</v>
      </c>
      <c r="E34" s="63">
        <v>6</v>
      </c>
      <c r="F34" s="63">
        <f>SUM(E34*155/100)</f>
        <v>9.3000000000000007</v>
      </c>
      <c r="G34" s="63">
        <v>1302.02</v>
      </c>
      <c r="H34" s="64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61" t="s">
        <v>64</v>
      </c>
      <c r="C35" s="62" t="s">
        <v>33</v>
      </c>
      <c r="D35" s="61" t="s">
        <v>66</v>
      </c>
      <c r="E35" s="47"/>
      <c r="F35" s="63">
        <v>4</v>
      </c>
      <c r="G35" s="63">
        <v>191.32</v>
      </c>
      <c r="H35" s="64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61" t="s">
        <v>65</v>
      </c>
      <c r="C36" s="62" t="s">
        <v>32</v>
      </c>
      <c r="D36" s="61" t="s">
        <v>66</v>
      </c>
      <c r="E36" s="47"/>
      <c r="F36" s="63">
        <v>3</v>
      </c>
      <c r="G36" s="63">
        <v>1136.33</v>
      </c>
      <c r="H36" s="64">
        <f t="shared" si="1"/>
        <v>3.4089899999999997</v>
      </c>
      <c r="I36" s="13">
        <v>0</v>
      </c>
      <c r="J36" s="23"/>
    </row>
    <row r="37" spans="1:14" ht="15.75" customHeight="1">
      <c r="A37" s="29"/>
      <c r="B37" s="81" t="s">
        <v>5</v>
      </c>
      <c r="C37" s="62"/>
      <c r="D37" s="61"/>
      <c r="E37" s="47"/>
      <c r="F37" s="63"/>
      <c r="G37" s="63"/>
      <c r="H37" s="64" t="s">
        <v>130</v>
      </c>
      <c r="I37" s="13"/>
      <c r="J37" s="23"/>
    </row>
    <row r="38" spans="1:14" ht="15.75" customHeight="1">
      <c r="A38" s="29">
        <v>8</v>
      </c>
      <c r="B38" s="61" t="s">
        <v>26</v>
      </c>
      <c r="C38" s="62" t="s">
        <v>32</v>
      </c>
      <c r="D38" s="61"/>
      <c r="E38" s="47"/>
      <c r="F38" s="63">
        <v>20</v>
      </c>
      <c r="G38" s="63">
        <v>1527.22</v>
      </c>
      <c r="H38" s="64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61" t="s">
        <v>67</v>
      </c>
      <c r="C39" s="62" t="s">
        <v>29</v>
      </c>
      <c r="D39" s="61" t="s">
        <v>147</v>
      </c>
      <c r="E39" s="63">
        <v>632.4</v>
      </c>
      <c r="F39" s="63">
        <f>SUM(E39*50/1000)</f>
        <v>31.62</v>
      </c>
      <c r="G39" s="63">
        <v>2102.71</v>
      </c>
      <c r="H39" s="64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61" t="s">
        <v>95</v>
      </c>
      <c r="C40" s="62" t="s">
        <v>118</v>
      </c>
      <c r="D40" s="61" t="s">
        <v>66</v>
      </c>
      <c r="E40" s="47"/>
      <c r="F40" s="63">
        <v>30</v>
      </c>
      <c r="G40" s="63">
        <v>213.2</v>
      </c>
      <c r="H40" s="64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61" t="s">
        <v>68</v>
      </c>
      <c r="C41" s="62" t="s">
        <v>29</v>
      </c>
      <c r="D41" s="61" t="s">
        <v>119</v>
      </c>
      <c r="E41" s="63">
        <v>106</v>
      </c>
      <c r="F41" s="63">
        <f>SUM(E41*155/1000)</f>
        <v>16.43</v>
      </c>
      <c r="G41" s="63">
        <v>350.75</v>
      </c>
      <c r="H41" s="64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61" t="s">
        <v>82</v>
      </c>
      <c r="C42" s="62" t="s">
        <v>113</v>
      </c>
      <c r="D42" s="61" t="s">
        <v>148</v>
      </c>
      <c r="E42" s="63">
        <v>106</v>
      </c>
      <c r="F42" s="63">
        <f>SUM(E42*70/1000)</f>
        <v>7.42</v>
      </c>
      <c r="G42" s="63">
        <v>5803.28</v>
      </c>
      <c r="H42" s="64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120</v>
      </c>
      <c r="C43" s="62" t="s">
        <v>113</v>
      </c>
      <c r="D43" s="61" t="s">
        <v>69</v>
      </c>
      <c r="E43" s="63">
        <v>106</v>
      </c>
      <c r="F43" s="63">
        <f>SUM(E43*45/1000)</f>
        <v>4.7699999999999996</v>
      </c>
      <c r="G43" s="63">
        <v>428.7</v>
      </c>
      <c r="H43" s="64">
        <f t="shared" si="2"/>
        <v>2.0448989999999996</v>
      </c>
      <c r="I43" s="13">
        <f>F43/7.5*G43</f>
        <v>272.65319999999997</v>
      </c>
      <c r="J43" s="23"/>
      <c r="L43" s="19"/>
      <c r="M43" s="20"/>
      <c r="N43" s="21"/>
    </row>
    <row r="44" spans="1:14" ht="15.75" customHeight="1">
      <c r="A44" s="29">
        <v>13</v>
      </c>
      <c r="B44" s="61" t="s">
        <v>70</v>
      </c>
      <c r="C44" s="62" t="s">
        <v>33</v>
      </c>
      <c r="D44" s="61"/>
      <c r="E44" s="47"/>
      <c r="F44" s="63">
        <v>0.9</v>
      </c>
      <c r="G44" s="63">
        <v>798</v>
      </c>
      <c r="H44" s="64">
        <f t="shared" si="2"/>
        <v>0.71820000000000006</v>
      </c>
      <c r="I44" s="13">
        <f>F44/7.5*G44</f>
        <v>95.76</v>
      </c>
      <c r="J44" s="23"/>
      <c r="L44" s="19"/>
      <c r="M44" s="20"/>
      <c r="N44" s="21"/>
    </row>
    <row r="45" spans="1:14" ht="15.75" customHeight="1">
      <c r="A45" s="146" t="s">
        <v>133</v>
      </c>
      <c r="B45" s="147"/>
      <c r="C45" s="147"/>
      <c r="D45" s="147"/>
      <c r="E45" s="147"/>
      <c r="F45" s="147"/>
      <c r="G45" s="147"/>
      <c r="H45" s="147"/>
      <c r="I45" s="148"/>
      <c r="J45" s="23"/>
      <c r="L45" s="19"/>
      <c r="M45" s="20"/>
      <c r="N45" s="21"/>
    </row>
    <row r="46" spans="1:14" ht="15.75" hidden="1" customHeight="1">
      <c r="A46" s="29"/>
      <c r="B46" s="61" t="s">
        <v>149</v>
      </c>
      <c r="C46" s="62" t="s">
        <v>113</v>
      </c>
      <c r="D46" s="61" t="s">
        <v>41</v>
      </c>
      <c r="E46" s="47">
        <v>1150.5999999999999</v>
      </c>
      <c r="F46" s="63">
        <f>SUM(E46*2/1000)</f>
        <v>2.3011999999999997</v>
      </c>
      <c r="G46" s="13">
        <v>849.49</v>
      </c>
      <c r="H46" s="64">
        <f t="shared" ref="H46:H54" si="3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34</v>
      </c>
      <c r="C47" s="62" t="s">
        <v>113</v>
      </c>
      <c r="D47" s="61" t="s">
        <v>41</v>
      </c>
      <c r="E47" s="47">
        <v>108.96</v>
      </c>
      <c r="F47" s="63">
        <f>SUM(E47*2/1000)</f>
        <v>0.21791999999999997</v>
      </c>
      <c r="G47" s="13">
        <v>579.48</v>
      </c>
      <c r="H47" s="64">
        <f t="shared" si="3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35</v>
      </c>
      <c r="C48" s="62" t="s">
        <v>113</v>
      </c>
      <c r="D48" s="61" t="s">
        <v>41</v>
      </c>
      <c r="E48" s="47">
        <v>4224.3999999999996</v>
      </c>
      <c r="F48" s="63">
        <f>SUM(E48*2/1000)</f>
        <v>8.4487999999999985</v>
      </c>
      <c r="G48" s="13">
        <v>579.48</v>
      </c>
      <c r="H48" s="64">
        <f t="shared" si="3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36</v>
      </c>
      <c r="C49" s="62" t="s">
        <v>113</v>
      </c>
      <c r="D49" s="61" t="s">
        <v>41</v>
      </c>
      <c r="E49" s="47">
        <v>3059.7</v>
      </c>
      <c r="F49" s="63">
        <f>SUM(E49*2/1000)</f>
        <v>6.1193999999999997</v>
      </c>
      <c r="G49" s="13">
        <v>606.77</v>
      </c>
      <c r="H49" s="64">
        <f t="shared" si="3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14</v>
      </c>
      <c r="B50" s="61" t="s">
        <v>55</v>
      </c>
      <c r="C50" s="62" t="s">
        <v>113</v>
      </c>
      <c r="D50" s="61" t="s">
        <v>150</v>
      </c>
      <c r="E50" s="47">
        <v>1150.5999999999999</v>
      </c>
      <c r="F50" s="63">
        <f>SUM(E50*5/1000)</f>
        <v>5.7530000000000001</v>
      </c>
      <c r="G50" s="13">
        <v>1213.55</v>
      </c>
      <c r="H50" s="64">
        <f t="shared" si="3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61" t="s">
        <v>121</v>
      </c>
      <c r="C51" s="62" t="s">
        <v>113</v>
      </c>
      <c r="D51" s="61" t="s">
        <v>41</v>
      </c>
      <c r="E51" s="47">
        <v>1150.5999999999999</v>
      </c>
      <c r="F51" s="63">
        <f>SUM(E51*2/1000)</f>
        <v>2.3011999999999997</v>
      </c>
      <c r="G51" s="13">
        <v>1213.55</v>
      </c>
      <c r="H51" s="64">
        <f t="shared" si="3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1" t="s">
        <v>122</v>
      </c>
      <c r="C52" s="62" t="s">
        <v>37</v>
      </c>
      <c r="D52" s="61" t="s">
        <v>41</v>
      </c>
      <c r="E52" s="47">
        <v>30</v>
      </c>
      <c r="F52" s="63">
        <f>SUM(E52*2/100)</f>
        <v>0.6</v>
      </c>
      <c r="G52" s="13">
        <v>2730.49</v>
      </c>
      <c r="H52" s="64">
        <f t="shared" si="3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61" t="s">
        <v>38</v>
      </c>
      <c r="C53" s="62" t="s">
        <v>39</v>
      </c>
      <c r="D53" s="61" t="s">
        <v>41</v>
      </c>
      <c r="E53" s="47">
        <v>1</v>
      </c>
      <c r="F53" s="63">
        <v>0.02</v>
      </c>
      <c r="G53" s="13">
        <v>5652.13</v>
      </c>
      <c r="H53" s="64">
        <f t="shared" si="3"/>
        <v>0.11304260000000001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61" t="s">
        <v>40</v>
      </c>
      <c r="C54" s="62" t="s">
        <v>123</v>
      </c>
      <c r="D54" s="61" t="s">
        <v>71</v>
      </c>
      <c r="E54" s="47">
        <v>158</v>
      </c>
      <c r="F54" s="63">
        <f>SUM(E54)*3</f>
        <v>474</v>
      </c>
      <c r="G54" s="13">
        <v>65.67</v>
      </c>
      <c r="H54" s="64">
        <f t="shared" si="3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6" t="s">
        <v>134</v>
      </c>
      <c r="B55" s="147"/>
      <c r="C55" s="147"/>
      <c r="D55" s="147"/>
      <c r="E55" s="147"/>
      <c r="F55" s="147"/>
      <c r="G55" s="147"/>
      <c r="H55" s="147"/>
      <c r="I55" s="148"/>
      <c r="J55" s="23"/>
      <c r="L55" s="19"/>
      <c r="M55" s="20"/>
      <c r="N55" s="21"/>
    </row>
    <row r="56" spans="1:22" ht="15.75" customHeight="1">
      <c r="A56" s="29"/>
      <c r="B56" s="81" t="s">
        <v>42</v>
      </c>
      <c r="C56" s="62"/>
      <c r="D56" s="61"/>
      <c r="E56" s="47"/>
      <c r="F56" s="63"/>
      <c r="G56" s="63"/>
      <c r="H56" s="64"/>
      <c r="I56" s="13"/>
      <c r="J56" s="23"/>
      <c r="L56" s="19"/>
      <c r="M56" s="20"/>
      <c r="N56" s="21"/>
    </row>
    <row r="57" spans="1:22" ht="31.5" customHeight="1">
      <c r="A57" s="29">
        <v>15</v>
      </c>
      <c r="B57" s="61" t="s">
        <v>151</v>
      </c>
      <c r="C57" s="62" t="s">
        <v>104</v>
      </c>
      <c r="D57" s="61" t="s">
        <v>152</v>
      </c>
      <c r="E57" s="90">
        <v>6</v>
      </c>
      <c r="F57" s="13">
        <f>E57*8/100</f>
        <v>0.48</v>
      </c>
      <c r="G57" s="63">
        <v>1547.28</v>
      </c>
      <c r="H57" s="64">
        <f>SUM(F57*G57/1000)</f>
        <v>0.74269439999999998</v>
      </c>
      <c r="I57" s="13">
        <f>G57*0.06</f>
        <v>92.836799999999997</v>
      </c>
      <c r="J57" s="23"/>
      <c r="L57" s="19"/>
      <c r="M57" s="20"/>
      <c r="N57" s="21"/>
    </row>
    <row r="58" spans="1:22" ht="15.75" hidden="1" customHeight="1">
      <c r="A58" s="91"/>
      <c r="B58" s="61" t="s">
        <v>100</v>
      </c>
      <c r="C58" s="62" t="s">
        <v>101</v>
      </c>
      <c r="D58" s="61" t="s">
        <v>41</v>
      </c>
      <c r="E58" s="47">
        <v>6</v>
      </c>
      <c r="F58" s="63">
        <v>12</v>
      </c>
      <c r="G58" s="69">
        <v>180.78</v>
      </c>
      <c r="H58" s="64">
        <f t="shared" ref="H58" si="4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82" t="s">
        <v>43</v>
      </c>
      <c r="C59" s="70"/>
      <c r="D59" s="71"/>
      <c r="E59" s="72"/>
      <c r="F59" s="74"/>
      <c r="G59" s="13"/>
      <c r="H59" s="75"/>
      <c r="I59" s="13"/>
      <c r="J59" s="23"/>
      <c r="L59" s="19"/>
      <c r="M59" s="20"/>
      <c r="N59" s="21"/>
    </row>
    <row r="60" spans="1:22" ht="15.75" customHeight="1">
      <c r="A60" s="29">
        <v>16</v>
      </c>
      <c r="B60" s="110" t="s">
        <v>96</v>
      </c>
      <c r="C60" s="111" t="s">
        <v>25</v>
      </c>
      <c r="D60" s="110"/>
      <c r="E60" s="112">
        <v>200</v>
      </c>
      <c r="F60" s="113">
        <f>E60*12</f>
        <v>2400</v>
      </c>
      <c r="G60" s="114">
        <v>1.2</v>
      </c>
      <c r="H60" s="74">
        <f>G60*F60</f>
        <v>2880</v>
      </c>
      <c r="I60" s="13">
        <f>F60/12*G60</f>
        <v>240</v>
      </c>
      <c r="J60" s="23"/>
      <c r="L60" s="19"/>
    </row>
    <row r="61" spans="1:22" ht="15.75" customHeight="1">
      <c r="A61" s="29"/>
      <c r="B61" s="82" t="s">
        <v>44</v>
      </c>
      <c r="C61" s="70"/>
      <c r="D61" s="71"/>
      <c r="E61" s="72"/>
      <c r="F61" s="73"/>
      <c r="G61" s="73"/>
      <c r="H61" s="74" t="s">
        <v>130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29">
        <v>17</v>
      </c>
      <c r="B62" s="14" t="s">
        <v>45</v>
      </c>
      <c r="C62" s="16" t="s">
        <v>123</v>
      </c>
      <c r="D62" s="14" t="s">
        <v>66</v>
      </c>
      <c r="E62" s="18">
        <v>15</v>
      </c>
      <c r="F62" s="63">
        <v>15</v>
      </c>
      <c r="G62" s="13">
        <v>209.41</v>
      </c>
      <c r="H62" s="76">
        <f t="shared" ref="H62:H69" si="5">SUM(F62*G62/1000)</f>
        <v>3.1411500000000001</v>
      </c>
      <c r="I62" s="13">
        <f>G62*7</f>
        <v>1465.87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123</v>
      </c>
      <c r="D63" s="14" t="s">
        <v>66</v>
      </c>
      <c r="E63" s="18">
        <v>5</v>
      </c>
      <c r="F63" s="63">
        <v>5</v>
      </c>
      <c r="G63" s="13">
        <v>71.790000000000006</v>
      </c>
      <c r="H63" s="76">
        <f t="shared" si="5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124</v>
      </c>
      <c r="D64" s="14" t="s">
        <v>52</v>
      </c>
      <c r="E64" s="47">
        <v>18281</v>
      </c>
      <c r="F64" s="13">
        <f>SUM(E64/100)</f>
        <v>182.81</v>
      </c>
      <c r="G64" s="13">
        <v>199.77</v>
      </c>
      <c r="H64" s="76">
        <f t="shared" si="5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34"/>
      <c r="S64" s="134"/>
      <c r="T64" s="134"/>
      <c r="U64" s="134"/>
    </row>
    <row r="65" spans="1:9" ht="15.75" hidden="1" customHeight="1">
      <c r="A65" s="29"/>
      <c r="B65" s="14" t="s">
        <v>48</v>
      </c>
      <c r="C65" s="16" t="s">
        <v>125</v>
      </c>
      <c r="D65" s="14"/>
      <c r="E65" s="47">
        <v>18281</v>
      </c>
      <c r="F65" s="13">
        <f>SUM(E65/1000)</f>
        <v>18.280999999999999</v>
      </c>
      <c r="G65" s="13">
        <v>155.57</v>
      </c>
      <c r="H65" s="76">
        <f t="shared" si="5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75</v>
      </c>
      <c r="D66" s="14" t="s">
        <v>52</v>
      </c>
      <c r="E66" s="47">
        <v>2730</v>
      </c>
      <c r="F66" s="13">
        <f>SUM(E66/100)</f>
        <v>27.3</v>
      </c>
      <c r="G66" s="13">
        <v>1953.52</v>
      </c>
      <c r="H66" s="76">
        <f t="shared" si="5"/>
        <v>53.331095999999995</v>
      </c>
      <c r="I66" s="13">
        <v>0</v>
      </c>
    </row>
    <row r="67" spans="1:9" ht="15.75" hidden="1" customHeight="1">
      <c r="A67" s="29"/>
      <c r="B67" s="77" t="s">
        <v>126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40.270000000000003</v>
      </c>
      <c r="H67" s="76">
        <f t="shared" si="5"/>
        <v>0.66042800000000002</v>
      </c>
      <c r="I67" s="13">
        <v>0</v>
      </c>
    </row>
    <row r="68" spans="1:9" ht="15.75" hidden="1" customHeight="1">
      <c r="A68" s="29"/>
      <c r="B68" s="77" t="s">
        <v>127</v>
      </c>
      <c r="C68" s="16" t="s">
        <v>33</v>
      </c>
      <c r="D68" s="14"/>
      <c r="E68" s="47">
        <v>16.399999999999999</v>
      </c>
      <c r="F68" s="13">
        <f>SUM(E68)</f>
        <v>16.399999999999999</v>
      </c>
      <c r="G68" s="13">
        <v>37.71</v>
      </c>
      <c r="H68" s="76">
        <f t="shared" si="5"/>
        <v>0.61844399999999999</v>
      </c>
      <c r="I68" s="13">
        <v>0</v>
      </c>
    </row>
    <row r="69" spans="1:9" ht="15.75" hidden="1" customHeight="1">
      <c r="A69" s="29"/>
      <c r="B69" s="14" t="s">
        <v>56</v>
      </c>
      <c r="C69" s="16" t="s">
        <v>57</v>
      </c>
      <c r="D69" s="14" t="s">
        <v>52</v>
      </c>
      <c r="E69" s="18">
        <v>7</v>
      </c>
      <c r="F69" s="63">
        <f>SUM(E69)</f>
        <v>7</v>
      </c>
      <c r="G69" s="13">
        <v>46.97</v>
      </c>
      <c r="H69" s="76">
        <f t="shared" si="5"/>
        <v>0.32878999999999997</v>
      </c>
      <c r="I69" s="13">
        <v>0</v>
      </c>
    </row>
    <row r="70" spans="1:9" ht="15.75" hidden="1" customHeight="1">
      <c r="A70" s="29"/>
      <c r="B70" s="89" t="s">
        <v>72</v>
      </c>
      <c r="C70" s="16"/>
      <c r="D70" s="14"/>
      <c r="E70" s="18"/>
      <c r="F70" s="13"/>
      <c r="G70" s="13"/>
      <c r="H70" s="76" t="s">
        <v>130</v>
      </c>
      <c r="I70" s="13"/>
    </row>
    <row r="71" spans="1:9" ht="15.75" hidden="1" customHeight="1">
      <c r="A71" s="29"/>
      <c r="B71" s="14" t="s">
        <v>88</v>
      </c>
      <c r="C71" s="16" t="s">
        <v>31</v>
      </c>
      <c r="D71" s="14"/>
      <c r="E71" s="18">
        <v>1</v>
      </c>
      <c r="F71" s="63">
        <f>SUM(E71)</f>
        <v>1</v>
      </c>
      <c r="G71" s="13">
        <v>337.58</v>
      </c>
      <c r="H71" s="76">
        <f t="shared" ref="H71" si="6">SUM(F71*G71/1000)</f>
        <v>0.33757999999999999</v>
      </c>
      <c r="I71" s="13">
        <v>0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76">
        <f>F72*G72/1000</f>
        <v>1.6063800000000001</v>
      </c>
      <c r="I72" s="13">
        <v>0</v>
      </c>
    </row>
    <row r="73" spans="1:9" ht="15.75" hidden="1" customHeight="1">
      <c r="A73" s="29"/>
      <c r="B73" s="78" t="s">
        <v>74</v>
      </c>
      <c r="C73" s="16"/>
      <c r="D73" s="14"/>
      <c r="E73" s="18"/>
      <c r="F73" s="13"/>
      <c r="G73" s="13" t="s">
        <v>130</v>
      </c>
      <c r="H73" s="76" t="s">
        <v>130</v>
      </c>
      <c r="I73" s="13"/>
    </row>
    <row r="74" spans="1:9" ht="15.75" hidden="1" customHeight="1">
      <c r="A74" s="29"/>
      <c r="B74" s="42" t="s">
        <v>131</v>
      </c>
      <c r="C74" s="16" t="s">
        <v>75</v>
      </c>
      <c r="D74" s="14"/>
      <c r="E74" s="18"/>
      <c r="F74" s="13">
        <v>1.35</v>
      </c>
      <c r="G74" s="13">
        <v>2494</v>
      </c>
      <c r="H74" s="76">
        <f t="shared" ref="H74" si="7">SUM(F74*G74/1000)</f>
        <v>3.3669000000000002</v>
      </c>
      <c r="I74" s="13">
        <v>0</v>
      </c>
    </row>
    <row r="75" spans="1:9" ht="15.75" hidden="1" customHeight="1">
      <c r="A75" s="29"/>
      <c r="B75" s="65" t="s">
        <v>128</v>
      </c>
      <c r="C75" s="78"/>
      <c r="D75" s="31"/>
      <c r="E75" s="32"/>
      <c r="F75" s="66"/>
      <c r="G75" s="66"/>
      <c r="H75" s="79">
        <f>SUM(H57:H74)</f>
        <v>2986.0257012699999</v>
      </c>
      <c r="I75" s="66"/>
    </row>
    <row r="76" spans="1:9" ht="15.75" hidden="1" customHeight="1">
      <c r="A76" s="29"/>
      <c r="B76" s="61" t="s">
        <v>129</v>
      </c>
      <c r="C76" s="16"/>
      <c r="D76" s="14"/>
      <c r="E76" s="56"/>
      <c r="F76" s="13">
        <v>1</v>
      </c>
      <c r="G76" s="13">
        <v>17359.8</v>
      </c>
      <c r="H76" s="76">
        <f>G76*F76/1000</f>
        <v>17.3598</v>
      </c>
      <c r="I76" s="13">
        <v>0</v>
      </c>
    </row>
    <row r="77" spans="1:9" ht="15.75" customHeight="1">
      <c r="A77" s="135" t="s">
        <v>135</v>
      </c>
      <c r="B77" s="136"/>
      <c r="C77" s="136"/>
      <c r="D77" s="136"/>
      <c r="E77" s="136"/>
      <c r="F77" s="136"/>
      <c r="G77" s="136"/>
      <c r="H77" s="136"/>
      <c r="I77" s="137"/>
    </row>
    <row r="78" spans="1:9" ht="15.75" customHeight="1">
      <c r="A78" s="29">
        <v>18</v>
      </c>
      <c r="B78" s="61" t="s">
        <v>132</v>
      </c>
      <c r="C78" s="16" t="s">
        <v>53</v>
      </c>
      <c r="D78" s="80" t="s">
        <v>54</v>
      </c>
      <c r="E78" s="13">
        <v>4224.3999999999996</v>
      </c>
      <c r="F78" s="13">
        <f>SUM(E78*12)</f>
        <v>50692.799999999996</v>
      </c>
      <c r="G78" s="13">
        <v>2.1</v>
      </c>
      <c r="H78" s="76">
        <f>SUM(F78*G78/1000)</f>
        <v>106.45487999999999</v>
      </c>
      <c r="I78" s="13">
        <f>F78/12*G78</f>
        <v>8871.24</v>
      </c>
    </row>
    <row r="79" spans="1:9" ht="31.5" customHeight="1">
      <c r="A79" s="29">
        <v>19</v>
      </c>
      <c r="B79" s="14" t="s">
        <v>76</v>
      </c>
      <c r="C79" s="16"/>
      <c r="D79" s="80" t="s">
        <v>54</v>
      </c>
      <c r="E79" s="47">
        <v>4224.3999999999996</v>
      </c>
      <c r="F79" s="13">
        <f>E79*12</f>
        <v>50692.799999999996</v>
      </c>
      <c r="G79" s="13">
        <v>1.63</v>
      </c>
      <c r="H79" s="76">
        <f>F79*G79/1000</f>
        <v>82.629263999999978</v>
      </c>
      <c r="I79" s="13">
        <f>F79/12*G79</f>
        <v>6885.771999999999</v>
      </c>
    </row>
    <row r="80" spans="1:9" ht="15.75" customHeight="1">
      <c r="A80" s="87"/>
      <c r="B80" s="34" t="s">
        <v>79</v>
      </c>
      <c r="C80" s="35"/>
      <c r="D80" s="15"/>
      <c r="E80" s="15"/>
      <c r="F80" s="15"/>
      <c r="G80" s="18"/>
      <c r="H80" s="18"/>
      <c r="I80" s="32">
        <f>SUM(I16+I17+I18+I20+I21+I26+I27+I38+I39+I41+I42+I43+I44+I50+I57+I60+I62+I78+I79)</f>
        <v>79445.988971333325</v>
      </c>
    </row>
    <row r="81" spans="1:9" ht="15.75" customHeight="1">
      <c r="A81" s="153" t="s">
        <v>59</v>
      </c>
      <c r="B81" s="154"/>
      <c r="C81" s="154"/>
      <c r="D81" s="154"/>
      <c r="E81" s="154"/>
      <c r="F81" s="154"/>
      <c r="G81" s="154"/>
      <c r="H81" s="154"/>
      <c r="I81" s="155"/>
    </row>
    <row r="82" spans="1:9" ht="15.75" customHeight="1">
      <c r="A82" s="29">
        <v>20</v>
      </c>
      <c r="B82" s="46" t="s">
        <v>185</v>
      </c>
      <c r="C82" s="48" t="s">
        <v>83</v>
      </c>
      <c r="D82" s="42"/>
      <c r="E82" s="13"/>
      <c r="F82" s="13">
        <v>2</v>
      </c>
      <c r="G82" s="13">
        <v>203.68</v>
      </c>
      <c r="H82" s="76">
        <f t="shared" ref="H82" si="8">G82*F82/1000</f>
        <v>0.40736</v>
      </c>
      <c r="I82" s="116">
        <f>G82</f>
        <v>203.68</v>
      </c>
    </row>
    <row r="83" spans="1:9" ht="15.75" customHeight="1">
      <c r="A83" s="29">
        <v>21</v>
      </c>
      <c r="B83" s="100" t="s">
        <v>81</v>
      </c>
      <c r="C83" s="101" t="s">
        <v>123</v>
      </c>
      <c r="D83" s="102"/>
      <c r="E83" s="103"/>
      <c r="F83" s="103">
        <v>5</v>
      </c>
      <c r="G83" s="103">
        <v>197.48</v>
      </c>
      <c r="H83" s="104">
        <f>G83*F83/1000</f>
        <v>0.98739999999999994</v>
      </c>
      <c r="I83" s="116">
        <f>G83</f>
        <v>197.48</v>
      </c>
    </row>
    <row r="84" spans="1:9" ht="15.75" customHeight="1">
      <c r="A84" s="29" t="s">
        <v>221</v>
      </c>
      <c r="B84" s="46" t="s">
        <v>158</v>
      </c>
      <c r="C84" s="48" t="s">
        <v>123</v>
      </c>
      <c r="D84" s="42"/>
      <c r="E84" s="13"/>
      <c r="F84" s="13">
        <v>160</v>
      </c>
      <c r="G84" s="13">
        <v>55.55</v>
      </c>
      <c r="H84" s="76">
        <f>G84*F84/1000</f>
        <v>8.8879999999999999</v>
      </c>
      <c r="I84" s="13">
        <f>G84*80</f>
        <v>4444</v>
      </c>
    </row>
    <row r="85" spans="1:9" ht="15.75" customHeight="1">
      <c r="A85" s="29">
        <v>23</v>
      </c>
      <c r="B85" s="100" t="s">
        <v>195</v>
      </c>
      <c r="C85" s="101" t="s">
        <v>123</v>
      </c>
      <c r="D85" s="102"/>
      <c r="E85" s="103"/>
      <c r="F85" s="103">
        <v>1</v>
      </c>
      <c r="G85" s="103">
        <v>845.21</v>
      </c>
      <c r="H85" s="104">
        <f>G85*F85/1000</f>
        <v>0.84521000000000002</v>
      </c>
      <c r="I85" s="13">
        <f>G85</f>
        <v>845.21</v>
      </c>
    </row>
    <row r="86" spans="1:9" ht="31.5" customHeight="1">
      <c r="A86" s="29">
        <v>24</v>
      </c>
      <c r="B86" s="100" t="s">
        <v>174</v>
      </c>
      <c r="C86" s="101" t="s">
        <v>92</v>
      </c>
      <c r="D86" s="102"/>
      <c r="E86" s="103"/>
      <c r="F86" s="103">
        <v>1</v>
      </c>
      <c r="G86" s="103">
        <v>755.74</v>
      </c>
      <c r="H86" s="104">
        <f t="shared" ref="H86:H91" si="9">G86*F86/1000</f>
        <v>0.75573999999999997</v>
      </c>
      <c r="I86" s="13">
        <f>G86*(1+1)</f>
        <v>1511.48</v>
      </c>
    </row>
    <row r="87" spans="1:9" ht="31.5" customHeight="1">
      <c r="A87" s="29">
        <v>25</v>
      </c>
      <c r="B87" s="100" t="s">
        <v>189</v>
      </c>
      <c r="C87" s="101" t="s">
        <v>92</v>
      </c>
      <c r="D87" s="102"/>
      <c r="E87" s="103"/>
      <c r="F87" s="103">
        <v>1</v>
      </c>
      <c r="G87" s="103">
        <v>699.74</v>
      </c>
      <c r="H87" s="104">
        <f t="shared" si="9"/>
        <v>0.69974000000000003</v>
      </c>
      <c r="I87" s="13">
        <f>G87*(1+1)</f>
        <v>1399.48</v>
      </c>
    </row>
    <row r="88" spans="1:9" ht="15.75" customHeight="1">
      <c r="A88" s="29">
        <v>26</v>
      </c>
      <c r="B88" s="46" t="s">
        <v>190</v>
      </c>
      <c r="C88" s="48" t="s">
        <v>123</v>
      </c>
      <c r="D88" s="105"/>
      <c r="E88" s="17"/>
      <c r="F88" s="103">
        <v>1</v>
      </c>
      <c r="G88" s="103">
        <v>50</v>
      </c>
      <c r="H88" s="104">
        <f t="shared" si="9"/>
        <v>0.05</v>
      </c>
      <c r="I88" s="13">
        <f>G88*(1+1)</f>
        <v>100</v>
      </c>
    </row>
    <row r="89" spans="1:9" ht="15.75" customHeight="1">
      <c r="A89" s="29">
        <v>27</v>
      </c>
      <c r="B89" s="46" t="s">
        <v>191</v>
      </c>
      <c r="C89" s="48" t="s">
        <v>123</v>
      </c>
      <c r="D89" s="102"/>
      <c r="E89" s="103"/>
      <c r="F89" s="103">
        <v>2</v>
      </c>
      <c r="G89" s="103">
        <v>22</v>
      </c>
      <c r="H89" s="104">
        <f t="shared" si="9"/>
        <v>4.3999999999999997E-2</v>
      </c>
      <c r="I89" s="13">
        <f>G89*(2+2)</f>
        <v>88</v>
      </c>
    </row>
    <row r="90" spans="1:9" ht="15.75" customHeight="1">
      <c r="A90" s="29">
        <v>28</v>
      </c>
      <c r="B90" s="46" t="s">
        <v>173</v>
      </c>
      <c r="C90" s="48" t="s">
        <v>123</v>
      </c>
      <c r="D90" s="102"/>
      <c r="E90" s="103"/>
      <c r="F90" s="103">
        <v>1</v>
      </c>
      <c r="G90" s="103">
        <v>62</v>
      </c>
      <c r="H90" s="104">
        <f t="shared" si="9"/>
        <v>6.2E-2</v>
      </c>
      <c r="I90" s="13">
        <f>G90*(1+2)</f>
        <v>186</v>
      </c>
    </row>
    <row r="91" spans="1:9" ht="31.5" customHeight="1">
      <c r="A91" s="29">
        <v>29</v>
      </c>
      <c r="B91" s="46" t="s">
        <v>138</v>
      </c>
      <c r="C91" s="48" t="s">
        <v>92</v>
      </c>
      <c r="D91" s="102"/>
      <c r="E91" s="103"/>
      <c r="F91" s="103">
        <v>1</v>
      </c>
      <c r="G91" s="103">
        <v>835.68</v>
      </c>
      <c r="H91" s="104">
        <f t="shared" si="9"/>
        <v>0.83567999999999998</v>
      </c>
      <c r="I91" s="13">
        <f>G91</f>
        <v>835.68</v>
      </c>
    </row>
    <row r="92" spans="1:9" ht="31.5" customHeight="1">
      <c r="A92" s="29">
        <v>30</v>
      </c>
      <c r="B92" s="46" t="s">
        <v>179</v>
      </c>
      <c r="C92" s="48" t="s">
        <v>153</v>
      </c>
      <c r="D92" s="102"/>
      <c r="E92" s="103"/>
      <c r="F92" s="103">
        <v>1</v>
      </c>
      <c r="G92" s="103">
        <v>1365</v>
      </c>
      <c r="H92" s="76">
        <f t="shared" ref="H92:H93" si="10">F92*G92/1000</f>
        <v>1.365</v>
      </c>
      <c r="I92" s="13">
        <f>G92</f>
        <v>1365</v>
      </c>
    </row>
    <row r="93" spans="1:9" ht="31.5" customHeight="1">
      <c r="A93" s="29">
        <v>31</v>
      </c>
      <c r="B93" s="46" t="s">
        <v>188</v>
      </c>
      <c r="C93" s="48" t="s">
        <v>153</v>
      </c>
      <c r="D93" s="102"/>
      <c r="E93" s="103"/>
      <c r="F93" s="103">
        <v>1.5</v>
      </c>
      <c r="G93" s="103">
        <v>1612</v>
      </c>
      <c r="H93" s="76">
        <f t="shared" si="10"/>
        <v>2.4180000000000001</v>
      </c>
      <c r="I93" s="13">
        <f>G93*1.5</f>
        <v>2418</v>
      </c>
    </row>
    <row r="94" spans="1:9" ht="31.5" customHeight="1">
      <c r="A94" s="29">
        <v>32</v>
      </c>
      <c r="B94" s="46" t="s">
        <v>165</v>
      </c>
      <c r="C94" s="48" t="s">
        <v>80</v>
      </c>
      <c r="D94" s="42"/>
      <c r="E94" s="103"/>
      <c r="F94" s="103">
        <v>2</v>
      </c>
      <c r="G94" s="103">
        <v>1272</v>
      </c>
      <c r="H94" s="104">
        <f>G94*F94/1000</f>
        <v>2.544</v>
      </c>
      <c r="I94" s="13">
        <f>G94*2</f>
        <v>2544</v>
      </c>
    </row>
    <row r="95" spans="1:9" ht="31.5" customHeight="1">
      <c r="A95" s="29">
        <v>33</v>
      </c>
      <c r="B95" s="46" t="s">
        <v>89</v>
      </c>
      <c r="C95" s="48" t="s">
        <v>92</v>
      </c>
      <c r="D95" s="102"/>
      <c r="E95" s="103"/>
      <c r="F95" s="103">
        <v>3</v>
      </c>
      <c r="G95" s="103">
        <v>613.44000000000005</v>
      </c>
      <c r="H95" s="104">
        <f t="shared" ref="H95" si="11">G95*F95/1000</f>
        <v>1.8403200000000002</v>
      </c>
      <c r="I95" s="13">
        <f>G95*(2+1)</f>
        <v>1840.3200000000002</v>
      </c>
    </row>
    <row r="96" spans="1:9" ht="15.75" customHeight="1">
      <c r="A96" s="29"/>
      <c r="B96" s="40" t="s">
        <v>50</v>
      </c>
      <c r="C96" s="36"/>
      <c r="D96" s="44"/>
      <c r="E96" s="36">
        <v>1</v>
      </c>
      <c r="F96" s="36"/>
      <c r="G96" s="36"/>
      <c r="H96" s="36"/>
      <c r="I96" s="32">
        <f>SUM(I82:I95)-I84</f>
        <v>13534.330000000002</v>
      </c>
    </row>
    <row r="97" spans="1:9" ht="15.75" customHeight="1">
      <c r="A97" s="29"/>
      <c r="B97" s="42" t="s">
        <v>77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5"/>
      <c r="B98" s="41" t="s">
        <v>192</v>
      </c>
      <c r="C98" s="33"/>
      <c r="D98" s="33"/>
      <c r="E98" s="33"/>
      <c r="F98" s="33"/>
      <c r="G98" s="33"/>
      <c r="H98" s="33"/>
      <c r="I98" s="39">
        <f>I80+I96</f>
        <v>92980.318971333327</v>
      </c>
    </row>
    <row r="99" spans="1:9" ht="15.75" customHeight="1">
      <c r="A99" s="122" t="s">
        <v>221</v>
      </c>
      <c r="B99" s="125" t="s">
        <v>220</v>
      </c>
      <c r="C99" s="123"/>
      <c r="D99" s="123"/>
      <c r="E99" s="123"/>
      <c r="F99" s="123"/>
      <c r="G99" s="123"/>
      <c r="H99" s="123"/>
      <c r="I99" s="124"/>
    </row>
    <row r="100" spans="1:9" ht="15.75" customHeight="1">
      <c r="A100" s="149" t="s">
        <v>254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55"/>
      <c r="B101" s="150" t="s">
        <v>255</v>
      </c>
      <c r="C101" s="150"/>
      <c r="D101" s="150"/>
      <c r="E101" s="150"/>
      <c r="F101" s="150"/>
      <c r="G101" s="150"/>
      <c r="H101" s="60"/>
      <c r="I101" s="3"/>
    </row>
    <row r="102" spans="1:9" ht="15.75" customHeight="1">
      <c r="A102" s="85"/>
      <c r="B102" s="151" t="s">
        <v>6</v>
      </c>
      <c r="C102" s="151"/>
      <c r="D102" s="151"/>
      <c r="E102" s="151"/>
      <c r="F102" s="151"/>
      <c r="G102" s="151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52" t="s">
        <v>7</v>
      </c>
      <c r="B104" s="152"/>
      <c r="C104" s="152"/>
      <c r="D104" s="152"/>
      <c r="E104" s="152"/>
      <c r="F104" s="152"/>
      <c r="G104" s="152"/>
      <c r="H104" s="152"/>
      <c r="I104" s="152"/>
    </row>
    <row r="105" spans="1:9" ht="15.75" customHeight="1">
      <c r="A105" s="152" t="s">
        <v>8</v>
      </c>
      <c r="B105" s="152"/>
      <c r="C105" s="152"/>
      <c r="D105" s="152"/>
      <c r="E105" s="152"/>
      <c r="F105" s="152"/>
      <c r="G105" s="152"/>
      <c r="H105" s="152"/>
      <c r="I105" s="152"/>
    </row>
    <row r="106" spans="1:9" ht="15.75" customHeight="1">
      <c r="A106" s="144" t="s">
        <v>60</v>
      </c>
      <c r="B106" s="144"/>
      <c r="C106" s="144"/>
      <c r="D106" s="144"/>
      <c r="E106" s="144"/>
      <c r="F106" s="144"/>
      <c r="G106" s="144"/>
      <c r="H106" s="144"/>
      <c r="I106" s="144"/>
    </row>
    <row r="107" spans="1:9" ht="15.75" customHeight="1">
      <c r="A107" s="11"/>
    </row>
    <row r="108" spans="1:9" ht="15.75" customHeight="1">
      <c r="A108" s="159" t="s">
        <v>9</v>
      </c>
      <c r="B108" s="159"/>
      <c r="C108" s="159"/>
      <c r="D108" s="159"/>
      <c r="E108" s="159"/>
      <c r="F108" s="159"/>
      <c r="G108" s="159"/>
      <c r="H108" s="159"/>
      <c r="I108" s="159"/>
    </row>
    <row r="109" spans="1:9" ht="15.75" customHeight="1">
      <c r="A109" s="4"/>
    </row>
    <row r="110" spans="1:9" ht="15.75" customHeight="1">
      <c r="B110" s="86" t="s">
        <v>10</v>
      </c>
      <c r="C110" s="160" t="s">
        <v>90</v>
      </c>
      <c r="D110" s="160"/>
      <c r="E110" s="160"/>
      <c r="F110" s="58"/>
      <c r="I110" s="84"/>
    </row>
    <row r="111" spans="1:9" ht="15.75" customHeight="1">
      <c r="A111" s="85"/>
      <c r="C111" s="151" t="s">
        <v>11</v>
      </c>
      <c r="D111" s="151"/>
      <c r="E111" s="151"/>
      <c r="F111" s="24"/>
      <c r="I111" s="83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86" t="s">
        <v>13</v>
      </c>
      <c r="C113" s="161"/>
      <c r="D113" s="161"/>
      <c r="E113" s="161"/>
      <c r="F113" s="59"/>
      <c r="I113" s="84"/>
    </row>
    <row r="114" spans="1:9" ht="15.75" customHeight="1">
      <c r="A114" s="85"/>
      <c r="C114" s="134" t="s">
        <v>11</v>
      </c>
      <c r="D114" s="134"/>
      <c r="E114" s="134"/>
      <c r="F114" s="85"/>
      <c r="I114" s="83" t="s">
        <v>12</v>
      </c>
    </row>
    <row r="115" spans="1:9" ht="15.75" customHeight="1">
      <c r="A115" s="4" t="s">
        <v>14</v>
      </c>
    </row>
    <row r="116" spans="1:9" ht="15.75" customHeight="1">
      <c r="A116" s="162" t="s">
        <v>15</v>
      </c>
      <c r="B116" s="162"/>
      <c r="C116" s="162"/>
      <c r="D116" s="162"/>
      <c r="E116" s="162"/>
      <c r="F116" s="162"/>
      <c r="G116" s="162"/>
      <c r="H116" s="162"/>
      <c r="I116" s="162"/>
    </row>
    <row r="117" spans="1:9" ht="45" customHeight="1">
      <c r="A117" s="158" t="s">
        <v>16</v>
      </c>
      <c r="B117" s="158"/>
      <c r="C117" s="158"/>
      <c r="D117" s="158"/>
      <c r="E117" s="158"/>
      <c r="F117" s="158"/>
      <c r="G117" s="158"/>
      <c r="H117" s="158"/>
      <c r="I117" s="158"/>
    </row>
    <row r="118" spans="1:9" ht="30" customHeight="1">
      <c r="A118" s="158" t="s">
        <v>17</v>
      </c>
      <c r="B118" s="158"/>
      <c r="C118" s="158"/>
      <c r="D118" s="158"/>
      <c r="E118" s="158"/>
      <c r="F118" s="158"/>
      <c r="G118" s="158"/>
      <c r="H118" s="158"/>
      <c r="I118" s="158"/>
    </row>
    <row r="119" spans="1:9" ht="30" customHeight="1">
      <c r="A119" s="158" t="s">
        <v>21</v>
      </c>
      <c r="B119" s="158"/>
      <c r="C119" s="158"/>
      <c r="D119" s="158"/>
      <c r="E119" s="158"/>
      <c r="F119" s="158"/>
      <c r="G119" s="158"/>
      <c r="H119" s="158"/>
      <c r="I119" s="158"/>
    </row>
    <row r="120" spans="1:9" ht="15" customHeight="1">
      <c r="A120" s="158" t="s">
        <v>20</v>
      </c>
      <c r="B120" s="158"/>
      <c r="C120" s="158"/>
      <c r="D120" s="158"/>
      <c r="E120" s="158"/>
      <c r="F120" s="158"/>
      <c r="G120" s="158"/>
      <c r="H120" s="158"/>
      <c r="I120" s="158"/>
    </row>
  </sheetData>
  <autoFilter ref="I12:I60"/>
  <mergeCells count="29">
    <mergeCell ref="A116:I116"/>
    <mergeCell ref="A117:I117"/>
    <mergeCell ref="A118:I118"/>
    <mergeCell ref="A119:I119"/>
    <mergeCell ref="A120:I120"/>
    <mergeCell ref="R64:U64"/>
    <mergeCell ref="C114:E114"/>
    <mergeCell ref="A81:I81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77:I7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B106" sqref="B106:G10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164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196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43190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1" t="s">
        <v>103</v>
      </c>
      <c r="C25" s="62" t="s">
        <v>51</v>
      </c>
      <c r="D25" s="61" t="s">
        <v>109</v>
      </c>
      <c r="E25" s="47">
        <v>17</v>
      </c>
      <c r="F25" s="63">
        <f>SUM(E25/100)</f>
        <v>0.17</v>
      </c>
      <c r="G25" s="63">
        <v>556.74</v>
      </c>
      <c r="H25" s="64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61" t="s">
        <v>63</v>
      </c>
      <c r="C26" s="62" t="s">
        <v>33</v>
      </c>
      <c r="D26" s="61" t="s">
        <v>137</v>
      </c>
      <c r="E26" s="47">
        <v>0.1</v>
      </c>
      <c r="F26" s="63">
        <f>SUM(E26*365)</f>
        <v>36.5</v>
      </c>
      <c r="G26" s="63">
        <v>147.03</v>
      </c>
      <c r="H26" s="64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68" t="s">
        <v>23</v>
      </c>
      <c r="C27" s="62" t="s">
        <v>24</v>
      </c>
      <c r="D27" s="68" t="s">
        <v>137</v>
      </c>
      <c r="E27" s="47">
        <v>4224.3999999999996</v>
      </c>
      <c r="F27" s="63">
        <f>SUM(E27*12)</f>
        <v>50692.799999999996</v>
      </c>
      <c r="G27" s="63">
        <v>4.59</v>
      </c>
      <c r="H27" s="64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45" t="s">
        <v>84</v>
      </c>
      <c r="B28" s="145"/>
      <c r="C28" s="145"/>
      <c r="D28" s="145"/>
      <c r="E28" s="145"/>
      <c r="F28" s="145"/>
      <c r="G28" s="145"/>
      <c r="H28" s="145"/>
      <c r="I28" s="145"/>
      <c r="J28" s="22"/>
      <c r="K28" s="8"/>
      <c r="L28" s="8"/>
      <c r="M28" s="8"/>
    </row>
    <row r="29" spans="1:13" ht="15.75" hidden="1" customHeight="1">
      <c r="A29" s="29"/>
      <c r="B29" s="81" t="s">
        <v>28</v>
      </c>
      <c r="C29" s="62"/>
      <c r="D29" s="61"/>
      <c r="E29" s="47"/>
      <c r="F29" s="63"/>
      <c r="G29" s="63"/>
      <c r="H29" s="64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1" t="s">
        <v>112</v>
      </c>
      <c r="C30" s="62" t="s">
        <v>113</v>
      </c>
      <c r="D30" s="61" t="s">
        <v>114</v>
      </c>
      <c r="E30" s="63">
        <v>1414.6</v>
      </c>
      <c r="F30" s="63">
        <f>SUM(E30*52/1000)</f>
        <v>73.559200000000004</v>
      </c>
      <c r="G30" s="63">
        <v>155.88999999999999</v>
      </c>
      <c r="H30" s="64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61" t="s">
        <v>141</v>
      </c>
      <c r="C31" s="62" t="s">
        <v>113</v>
      </c>
      <c r="D31" s="61" t="s">
        <v>115</v>
      </c>
      <c r="E31" s="63">
        <v>632.4</v>
      </c>
      <c r="F31" s="63">
        <f>SUM(E31*78/1000)</f>
        <v>49.327199999999998</v>
      </c>
      <c r="G31" s="63">
        <v>258.63</v>
      </c>
      <c r="H31" s="64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61" t="s">
        <v>146</v>
      </c>
      <c r="C32" s="62" t="s">
        <v>113</v>
      </c>
      <c r="D32" s="61" t="s">
        <v>91</v>
      </c>
      <c r="E32" s="47">
        <v>143.20000000000002</v>
      </c>
      <c r="F32" s="63">
        <v>0</v>
      </c>
      <c r="G32" s="63">
        <v>293.27999999999997</v>
      </c>
      <c r="H32" s="64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61" t="s">
        <v>27</v>
      </c>
      <c r="C33" s="62" t="s">
        <v>113</v>
      </c>
      <c r="D33" s="61" t="s">
        <v>52</v>
      </c>
      <c r="E33" s="63">
        <v>1414.6</v>
      </c>
      <c r="F33" s="63">
        <f>SUM(E33/1000)</f>
        <v>1.4145999999999999</v>
      </c>
      <c r="G33" s="63">
        <v>3020.33</v>
      </c>
      <c r="H33" s="64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61" t="s">
        <v>116</v>
      </c>
      <c r="C34" s="62" t="s">
        <v>39</v>
      </c>
      <c r="D34" s="61" t="s">
        <v>62</v>
      </c>
      <c r="E34" s="63">
        <v>6</v>
      </c>
      <c r="F34" s="63">
        <f>SUM(E34*155/100)</f>
        <v>9.3000000000000007</v>
      </c>
      <c r="G34" s="63">
        <v>1302.02</v>
      </c>
      <c r="H34" s="64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61" t="s">
        <v>64</v>
      </c>
      <c r="C35" s="62" t="s">
        <v>33</v>
      </c>
      <c r="D35" s="61" t="s">
        <v>66</v>
      </c>
      <c r="E35" s="47"/>
      <c r="F35" s="63">
        <v>4</v>
      </c>
      <c r="G35" s="63">
        <v>191.32</v>
      </c>
      <c r="H35" s="64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61" t="s">
        <v>65</v>
      </c>
      <c r="C36" s="62" t="s">
        <v>32</v>
      </c>
      <c r="D36" s="61" t="s">
        <v>66</v>
      </c>
      <c r="E36" s="47"/>
      <c r="F36" s="63">
        <v>3</v>
      </c>
      <c r="G36" s="63">
        <v>1136.33</v>
      </c>
      <c r="H36" s="64">
        <f t="shared" si="1"/>
        <v>3.4089899999999997</v>
      </c>
      <c r="I36" s="13">
        <v>0</v>
      </c>
      <c r="J36" s="23"/>
    </row>
    <row r="37" spans="1:14" ht="15.75" customHeight="1">
      <c r="A37" s="29"/>
      <c r="B37" s="81" t="s">
        <v>5</v>
      </c>
      <c r="C37" s="62"/>
      <c r="D37" s="61"/>
      <c r="E37" s="47"/>
      <c r="F37" s="63"/>
      <c r="G37" s="63"/>
      <c r="H37" s="64" t="s">
        <v>130</v>
      </c>
      <c r="I37" s="13"/>
      <c r="J37" s="23"/>
    </row>
    <row r="38" spans="1:14" ht="15.75" customHeight="1">
      <c r="A38" s="29">
        <v>8</v>
      </c>
      <c r="B38" s="61" t="s">
        <v>26</v>
      </c>
      <c r="C38" s="62" t="s">
        <v>32</v>
      </c>
      <c r="D38" s="61"/>
      <c r="E38" s="47"/>
      <c r="F38" s="63">
        <v>20</v>
      </c>
      <c r="G38" s="63">
        <v>1527.22</v>
      </c>
      <c r="H38" s="64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61" t="s">
        <v>67</v>
      </c>
      <c r="C39" s="62" t="s">
        <v>29</v>
      </c>
      <c r="D39" s="61" t="s">
        <v>147</v>
      </c>
      <c r="E39" s="63">
        <v>632.4</v>
      </c>
      <c r="F39" s="63">
        <f>SUM(E39*50/1000)</f>
        <v>31.62</v>
      </c>
      <c r="G39" s="63">
        <v>2102.71</v>
      </c>
      <c r="H39" s="64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61" t="s">
        <v>95</v>
      </c>
      <c r="C40" s="62" t="s">
        <v>118</v>
      </c>
      <c r="D40" s="61" t="s">
        <v>66</v>
      </c>
      <c r="E40" s="47"/>
      <c r="F40" s="63">
        <v>30</v>
      </c>
      <c r="G40" s="63">
        <v>213.2</v>
      </c>
      <c r="H40" s="64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61" t="s">
        <v>68</v>
      </c>
      <c r="C41" s="62" t="s">
        <v>29</v>
      </c>
      <c r="D41" s="61" t="s">
        <v>119</v>
      </c>
      <c r="E41" s="63">
        <v>106</v>
      </c>
      <c r="F41" s="63">
        <f>SUM(E41*155/1000)</f>
        <v>16.43</v>
      </c>
      <c r="G41" s="63">
        <v>350.75</v>
      </c>
      <c r="H41" s="64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61" t="s">
        <v>82</v>
      </c>
      <c r="C42" s="62" t="s">
        <v>113</v>
      </c>
      <c r="D42" s="61" t="s">
        <v>148</v>
      </c>
      <c r="E42" s="63">
        <v>106</v>
      </c>
      <c r="F42" s="63">
        <f>SUM(E42*70/1000)</f>
        <v>7.42</v>
      </c>
      <c r="G42" s="63">
        <v>5803.28</v>
      </c>
      <c r="H42" s="64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120</v>
      </c>
      <c r="C43" s="62" t="s">
        <v>113</v>
      </c>
      <c r="D43" s="61" t="s">
        <v>69</v>
      </c>
      <c r="E43" s="63">
        <v>106</v>
      </c>
      <c r="F43" s="63">
        <f>SUM(E43*45/1000)</f>
        <v>4.7699999999999996</v>
      </c>
      <c r="G43" s="63">
        <v>428.7</v>
      </c>
      <c r="H43" s="64">
        <f t="shared" si="2"/>
        <v>2.0448989999999996</v>
      </c>
      <c r="I43" s="13">
        <f>(F43/7.5*1.5)*G43</f>
        <v>408.9797999999999</v>
      </c>
      <c r="J43" s="23"/>
      <c r="L43" s="19"/>
      <c r="M43" s="20"/>
      <c r="N43" s="21"/>
    </row>
    <row r="44" spans="1:14" ht="15.75" customHeight="1">
      <c r="A44" s="29">
        <v>13</v>
      </c>
      <c r="B44" s="61" t="s">
        <v>70</v>
      </c>
      <c r="C44" s="62" t="s">
        <v>33</v>
      </c>
      <c r="D44" s="61"/>
      <c r="E44" s="47"/>
      <c r="F44" s="63">
        <v>0.9</v>
      </c>
      <c r="G44" s="63">
        <v>798</v>
      </c>
      <c r="H44" s="64">
        <f t="shared" si="2"/>
        <v>0.71820000000000006</v>
      </c>
      <c r="I44" s="13">
        <f>(F44/7.5*1.5)*G44</f>
        <v>143.64000000000001</v>
      </c>
      <c r="J44" s="23"/>
      <c r="L44" s="19"/>
      <c r="M44" s="20"/>
      <c r="N44" s="21"/>
    </row>
    <row r="45" spans="1:14" ht="15.75" hidden="1" customHeight="1">
      <c r="A45" s="146" t="s">
        <v>133</v>
      </c>
      <c r="B45" s="147"/>
      <c r="C45" s="147"/>
      <c r="D45" s="147"/>
      <c r="E45" s="147"/>
      <c r="F45" s="147"/>
      <c r="G45" s="147"/>
      <c r="H45" s="147"/>
      <c r="I45" s="148"/>
      <c r="J45" s="23"/>
      <c r="L45" s="19"/>
      <c r="M45" s="20"/>
      <c r="N45" s="21"/>
    </row>
    <row r="46" spans="1:14" ht="15.75" hidden="1" customHeight="1">
      <c r="A46" s="29"/>
      <c r="B46" s="61" t="s">
        <v>149</v>
      </c>
      <c r="C46" s="62" t="s">
        <v>113</v>
      </c>
      <c r="D46" s="61" t="s">
        <v>41</v>
      </c>
      <c r="E46" s="47">
        <v>1150.5999999999999</v>
      </c>
      <c r="F46" s="63">
        <f>SUM(E46*2/1000)</f>
        <v>2.3011999999999997</v>
      </c>
      <c r="G46" s="13">
        <v>849.49</v>
      </c>
      <c r="H46" s="64">
        <f t="shared" ref="H46:H54" si="3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1" t="s">
        <v>34</v>
      </c>
      <c r="C47" s="62" t="s">
        <v>113</v>
      </c>
      <c r="D47" s="61" t="s">
        <v>41</v>
      </c>
      <c r="E47" s="47">
        <v>108.96</v>
      </c>
      <c r="F47" s="63">
        <f>SUM(E47*2/1000)</f>
        <v>0.21791999999999997</v>
      </c>
      <c r="G47" s="13">
        <v>579.48</v>
      </c>
      <c r="H47" s="64">
        <f t="shared" si="3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1" t="s">
        <v>35</v>
      </c>
      <c r="C48" s="62" t="s">
        <v>113</v>
      </c>
      <c r="D48" s="61" t="s">
        <v>41</v>
      </c>
      <c r="E48" s="47">
        <v>4224.3999999999996</v>
      </c>
      <c r="F48" s="63">
        <f>SUM(E48*2/1000)</f>
        <v>8.4487999999999985</v>
      </c>
      <c r="G48" s="13">
        <v>579.48</v>
      </c>
      <c r="H48" s="64">
        <f t="shared" si="3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1" t="s">
        <v>36</v>
      </c>
      <c r="C49" s="62" t="s">
        <v>113</v>
      </c>
      <c r="D49" s="61" t="s">
        <v>41</v>
      </c>
      <c r="E49" s="47">
        <v>3059.7</v>
      </c>
      <c r="F49" s="63">
        <f>SUM(E49*2/1000)</f>
        <v>6.1193999999999997</v>
      </c>
      <c r="G49" s="13">
        <v>606.77</v>
      </c>
      <c r="H49" s="64">
        <f t="shared" si="3"/>
        <v>3.7130683379999998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61" t="s">
        <v>55</v>
      </c>
      <c r="C50" s="62" t="s">
        <v>113</v>
      </c>
      <c r="D50" s="61" t="s">
        <v>150</v>
      </c>
      <c r="E50" s="47">
        <v>1150.5999999999999</v>
      </c>
      <c r="F50" s="63">
        <f>SUM(E50*5/1000)</f>
        <v>5.7530000000000001</v>
      </c>
      <c r="G50" s="13">
        <v>1213.55</v>
      </c>
      <c r="H50" s="64">
        <f t="shared" si="3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61" t="s">
        <v>121</v>
      </c>
      <c r="C51" s="62" t="s">
        <v>113</v>
      </c>
      <c r="D51" s="61" t="s">
        <v>41</v>
      </c>
      <c r="E51" s="47">
        <v>1150.5999999999999</v>
      </c>
      <c r="F51" s="63">
        <f>SUM(E51*2/1000)</f>
        <v>2.3011999999999997</v>
      </c>
      <c r="G51" s="13">
        <v>1213.55</v>
      </c>
      <c r="H51" s="64">
        <f t="shared" si="3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61" t="s">
        <v>122</v>
      </c>
      <c r="C52" s="62" t="s">
        <v>37</v>
      </c>
      <c r="D52" s="61" t="s">
        <v>41</v>
      </c>
      <c r="E52" s="47">
        <v>30</v>
      </c>
      <c r="F52" s="63">
        <f>SUM(E52*2/100)</f>
        <v>0.6</v>
      </c>
      <c r="G52" s="13">
        <v>2730.49</v>
      </c>
      <c r="H52" s="64">
        <f t="shared" si="3"/>
        <v>1.6382939999999999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14</v>
      </c>
      <c r="B53" s="61" t="s">
        <v>38</v>
      </c>
      <c r="C53" s="62" t="s">
        <v>39</v>
      </c>
      <c r="D53" s="61" t="s">
        <v>41</v>
      </c>
      <c r="E53" s="47">
        <v>1</v>
      </c>
      <c r="F53" s="63">
        <v>0.02</v>
      </c>
      <c r="G53" s="13">
        <v>5652.13</v>
      </c>
      <c r="H53" s="64">
        <f t="shared" si="3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29">
        <v>15</v>
      </c>
      <c r="B54" s="61" t="s">
        <v>40</v>
      </c>
      <c r="C54" s="62" t="s">
        <v>123</v>
      </c>
      <c r="D54" s="61" t="s">
        <v>71</v>
      </c>
      <c r="E54" s="47">
        <v>158</v>
      </c>
      <c r="F54" s="63">
        <f>SUM(E54)*3</f>
        <v>474</v>
      </c>
      <c r="G54" s="13">
        <v>65.67</v>
      </c>
      <c r="H54" s="64">
        <f t="shared" si="3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146" t="s">
        <v>171</v>
      </c>
      <c r="B55" s="147"/>
      <c r="C55" s="147"/>
      <c r="D55" s="147"/>
      <c r="E55" s="147"/>
      <c r="F55" s="147"/>
      <c r="G55" s="147"/>
      <c r="H55" s="147"/>
      <c r="I55" s="148"/>
      <c r="J55" s="23"/>
      <c r="L55" s="19"/>
      <c r="M55" s="20"/>
      <c r="N55" s="21"/>
    </row>
    <row r="56" spans="1:22" ht="15.75" customHeight="1">
      <c r="A56" s="29"/>
      <c r="B56" s="81" t="s">
        <v>42</v>
      </c>
      <c r="C56" s="62"/>
      <c r="D56" s="61"/>
      <c r="E56" s="47"/>
      <c r="F56" s="63"/>
      <c r="G56" s="63"/>
      <c r="H56" s="64"/>
      <c r="I56" s="13"/>
      <c r="J56" s="23"/>
      <c r="L56" s="19"/>
      <c r="M56" s="20"/>
      <c r="N56" s="21"/>
    </row>
    <row r="57" spans="1:22" ht="31.5" customHeight="1">
      <c r="A57" s="29">
        <v>14</v>
      </c>
      <c r="B57" s="61" t="s">
        <v>151</v>
      </c>
      <c r="C57" s="62" t="s">
        <v>104</v>
      </c>
      <c r="D57" s="61" t="s">
        <v>152</v>
      </c>
      <c r="E57" s="90">
        <v>6</v>
      </c>
      <c r="F57" s="13">
        <f>E57*8/100</f>
        <v>0.48</v>
      </c>
      <c r="G57" s="63">
        <v>1547.28</v>
      </c>
      <c r="H57" s="64">
        <f>SUM(F57*G57/1000)</f>
        <v>0.74269439999999998</v>
      </c>
      <c r="I57" s="13">
        <f>G57*0.27</f>
        <v>417.76560000000001</v>
      </c>
      <c r="J57" s="23"/>
      <c r="L57" s="19"/>
      <c r="M57" s="20"/>
      <c r="N57" s="21"/>
    </row>
    <row r="58" spans="1:22" ht="15.75" customHeight="1">
      <c r="A58" s="91">
        <v>15</v>
      </c>
      <c r="B58" s="61" t="s">
        <v>100</v>
      </c>
      <c r="C58" s="62" t="s">
        <v>101</v>
      </c>
      <c r="D58" s="61" t="s">
        <v>41</v>
      </c>
      <c r="E58" s="47">
        <v>6</v>
      </c>
      <c r="F58" s="63">
        <v>12</v>
      </c>
      <c r="G58" s="69">
        <v>180.78</v>
      </c>
      <c r="H58" s="64">
        <f t="shared" ref="H58" si="4">SUM(F58*G58/1000)</f>
        <v>2.1693600000000002</v>
      </c>
      <c r="I58" s="13">
        <f>F58/2*G58</f>
        <v>1084.68</v>
      </c>
      <c r="J58" s="23"/>
      <c r="L58" s="19"/>
      <c r="M58" s="20"/>
      <c r="N58" s="21"/>
    </row>
    <row r="59" spans="1:22" ht="15.75" customHeight="1">
      <c r="A59" s="29"/>
      <c r="B59" s="82" t="s">
        <v>43</v>
      </c>
      <c r="C59" s="70"/>
      <c r="D59" s="71"/>
      <c r="E59" s="72"/>
      <c r="F59" s="74"/>
      <c r="G59" s="13"/>
      <c r="H59" s="75"/>
      <c r="I59" s="13"/>
      <c r="J59" s="23"/>
      <c r="L59" s="19"/>
      <c r="M59" s="20"/>
      <c r="N59" s="21"/>
    </row>
    <row r="60" spans="1:22" ht="15.75" customHeight="1">
      <c r="A60" s="29">
        <v>16</v>
      </c>
      <c r="B60" s="71" t="s">
        <v>96</v>
      </c>
      <c r="C60" s="70" t="s">
        <v>25</v>
      </c>
      <c r="D60" s="110"/>
      <c r="E60" s="112">
        <v>200</v>
      </c>
      <c r="F60" s="113">
        <f>E60*12</f>
        <v>2400</v>
      </c>
      <c r="G60" s="114">
        <v>1.2</v>
      </c>
      <c r="H60" s="74">
        <f>G60*F60</f>
        <v>2880</v>
      </c>
      <c r="I60" s="13">
        <f>F60/12*G60</f>
        <v>240</v>
      </c>
      <c r="J60" s="23"/>
      <c r="L60" s="19"/>
    </row>
    <row r="61" spans="1:22" ht="15.75" customHeight="1">
      <c r="A61" s="29"/>
      <c r="B61" s="82" t="s">
        <v>44</v>
      </c>
      <c r="C61" s="70"/>
      <c r="D61" s="71"/>
      <c r="E61" s="72"/>
      <c r="F61" s="73"/>
      <c r="G61" s="73"/>
      <c r="H61" s="74" t="s">
        <v>130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29">
        <v>17</v>
      </c>
      <c r="B62" s="14" t="s">
        <v>45</v>
      </c>
      <c r="C62" s="16" t="s">
        <v>123</v>
      </c>
      <c r="D62" s="14" t="s">
        <v>66</v>
      </c>
      <c r="E62" s="18">
        <v>15</v>
      </c>
      <c r="F62" s="63">
        <v>15</v>
      </c>
      <c r="G62" s="13">
        <v>209.41</v>
      </c>
      <c r="H62" s="76">
        <f t="shared" ref="H62:H69" si="5">SUM(F62*G62/1000)</f>
        <v>3.1411500000000001</v>
      </c>
      <c r="I62" s="13">
        <f>G62</f>
        <v>209.41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123</v>
      </c>
      <c r="D63" s="14" t="s">
        <v>66</v>
      </c>
      <c r="E63" s="18">
        <v>5</v>
      </c>
      <c r="F63" s="63">
        <v>5</v>
      </c>
      <c r="G63" s="13">
        <v>71.790000000000006</v>
      </c>
      <c r="H63" s="76">
        <f t="shared" si="5"/>
        <v>0.35895000000000005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124</v>
      </c>
      <c r="D64" s="14" t="s">
        <v>52</v>
      </c>
      <c r="E64" s="47">
        <v>18281</v>
      </c>
      <c r="F64" s="13">
        <f>SUM(E64/100)</f>
        <v>182.81</v>
      </c>
      <c r="G64" s="13">
        <v>199.77</v>
      </c>
      <c r="H64" s="76">
        <f t="shared" si="5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34"/>
      <c r="S64" s="134"/>
      <c r="T64" s="134"/>
      <c r="U64" s="134"/>
    </row>
    <row r="65" spans="1:9" ht="15.75" hidden="1" customHeight="1">
      <c r="A65" s="29"/>
      <c r="B65" s="14" t="s">
        <v>48</v>
      </c>
      <c r="C65" s="16" t="s">
        <v>125</v>
      </c>
      <c r="D65" s="14"/>
      <c r="E65" s="47">
        <v>18281</v>
      </c>
      <c r="F65" s="13">
        <f>SUM(E65/1000)</f>
        <v>18.280999999999999</v>
      </c>
      <c r="G65" s="13">
        <v>155.57</v>
      </c>
      <c r="H65" s="76">
        <f t="shared" si="5"/>
        <v>2.8439751699999998</v>
      </c>
      <c r="I65" s="13">
        <v>0</v>
      </c>
    </row>
    <row r="66" spans="1:9" ht="15.75" hidden="1" customHeight="1">
      <c r="A66" s="29"/>
      <c r="B66" s="14" t="s">
        <v>49</v>
      </c>
      <c r="C66" s="16" t="s">
        <v>75</v>
      </c>
      <c r="D66" s="14" t="s">
        <v>52</v>
      </c>
      <c r="E66" s="47">
        <v>2730</v>
      </c>
      <c r="F66" s="13">
        <f>SUM(E66/100)</f>
        <v>27.3</v>
      </c>
      <c r="G66" s="13">
        <v>1953.52</v>
      </c>
      <c r="H66" s="76">
        <f t="shared" si="5"/>
        <v>53.331095999999995</v>
      </c>
      <c r="I66" s="13">
        <v>0</v>
      </c>
    </row>
    <row r="67" spans="1:9" ht="15.75" hidden="1" customHeight="1">
      <c r="A67" s="29"/>
      <c r="B67" s="77" t="s">
        <v>126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40.270000000000003</v>
      </c>
      <c r="H67" s="76">
        <f t="shared" si="5"/>
        <v>0.66042800000000002</v>
      </c>
      <c r="I67" s="13">
        <v>0</v>
      </c>
    </row>
    <row r="68" spans="1:9" ht="15.75" hidden="1" customHeight="1">
      <c r="A68" s="29"/>
      <c r="B68" s="77" t="s">
        <v>127</v>
      </c>
      <c r="C68" s="16" t="s">
        <v>33</v>
      </c>
      <c r="D68" s="14"/>
      <c r="E68" s="47">
        <v>16.399999999999999</v>
      </c>
      <c r="F68" s="13">
        <f>SUM(E68)</f>
        <v>16.399999999999999</v>
      </c>
      <c r="G68" s="13">
        <v>37.71</v>
      </c>
      <c r="H68" s="76">
        <f t="shared" si="5"/>
        <v>0.61844399999999999</v>
      </c>
      <c r="I68" s="13">
        <v>0</v>
      </c>
    </row>
    <row r="69" spans="1:9" ht="15.75" hidden="1" customHeight="1">
      <c r="A69" s="29"/>
      <c r="B69" s="14" t="s">
        <v>56</v>
      </c>
      <c r="C69" s="16" t="s">
        <v>57</v>
      </c>
      <c r="D69" s="14" t="s">
        <v>52</v>
      </c>
      <c r="E69" s="18">
        <v>7</v>
      </c>
      <c r="F69" s="63">
        <f>SUM(E69)</f>
        <v>7</v>
      </c>
      <c r="G69" s="13">
        <v>46.97</v>
      </c>
      <c r="H69" s="76">
        <f t="shared" si="5"/>
        <v>0.32878999999999997</v>
      </c>
      <c r="I69" s="13">
        <v>0</v>
      </c>
    </row>
    <row r="70" spans="1:9" ht="15.75" hidden="1" customHeight="1">
      <c r="A70" s="29"/>
      <c r="B70" s="89" t="s">
        <v>72</v>
      </c>
      <c r="C70" s="16"/>
      <c r="D70" s="14"/>
      <c r="E70" s="18"/>
      <c r="F70" s="13"/>
      <c r="G70" s="13"/>
      <c r="H70" s="76" t="s">
        <v>130</v>
      </c>
      <c r="I70" s="13"/>
    </row>
    <row r="71" spans="1:9" ht="15.75" hidden="1" customHeight="1">
      <c r="A71" s="29"/>
      <c r="B71" s="14" t="s">
        <v>88</v>
      </c>
      <c r="C71" s="16" t="s">
        <v>31</v>
      </c>
      <c r="D71" s="14"/>
      <c r="E71" s="18">
        <v>1</v>
      </c>
      <c r="F71" s="63">
        <f>SUM(E71)</f>
        <v>1</v>
      </c>
      <c r="G71" s="13">
        <v>337.58</v>
      </c>
      <c r="H71" s="76">
        <f t="shared" ref="H71" si="6">SUM(F71*G71/1000)</f>
        <v>0.33757999999999999</v>
      </c>
      <c r="I71" s="13">
        <v>0</v>
      </c>
    </row>
    <row r="72" spans="1:9" ht="15.75" hidden="1" customHeight="1">
      <c r="A72" s="29"/>
      <c r="B72" s="14" t="s">
        <v>73</v>
      </c>
      <c r="C72" s="16" t="s">
        <v>31</v>
      </c>
      <c r="D72" s="14"/>
      <c r="E72" s="18">
        <v>2</v>
      </c>
      <c r="F72" s="13">
        <v>2</v>
      </c>
      <c r="G72" s="13">
        <v>803.19</v>
      </c>
      <c r="H72" s="76">
        <f>F72*G72/1000</f>
        <v>1.6063800000000001</v>
      </c>
      <c r="I72" s="13">
        <v>0</v>
      </c>
    </row>
    <row r="73" spans="1:9" ht="15.75" hidden="1" customHeight="1">
      <c r="A73" s="29"/>
      <c r="B73" s="78" t="s">
        <v>74</v>
      </c>
      <c r="C73" s="16"/>
      <c r="D73" s="14"/>
      <c r="E73" s="18"/>
      <c r="F73" s="13"/>
      <c r="G73" s="13" t="s">
        <v>130</v>
      </c>
      <c r="H73" s="76" t="s">
        <v>130</v>
      </c>
      <c r="I73" s="13"/>
    </row>
    <row r="74" spans="1:9" ht="15.75" hidden="1" customHeight="1">
      <c r="A74" s="29"/>
      <c r="B74" s="42" t="s">
        <v>131</v>
      </c>
      <c r="C74" s="16" t="s">
        <v>75</v>
      </c>
      <c r="D74" s="14"/>
      <c r="E74" s="18"/>
      <c r="F74" s="13">
        <v>1.35</v>
      </c>
      <c r="G74" s="13">
        <v>2494</v>
      </c>
      <c r="H74" s="76">
        <f t="shared" ref="H74" si="7">SUM(F74*G74/1000)</f>
        <v>3.3669000000000002</v>
      </c>
      <c r="I74" s="13">
        <v>0</v>
      </c>
    </row>
    <row r="75" spans="1:9" ht="15.75" hidden="1" customHeight="1">
      <c r="A75" s="29"/>
      <c r="B75" s="65" t="s">
        <v>128</v>
      </c>
      <c r="C75" s="78"/>
      <c r="D75" s="31"/>
      <c r="E75" s="32"/>
      <c r="F75" s="66"/>
      <c r="G75" s="66"/>
      <c r="H75" s="79">
        <f>SUM(H57:H74)</f>
        <v>2986.0257012699999</v>
      </c>
      <c r="I75" s="66"/>
    </row>
    <row r="76" spans="1:9" ht="15.75" hidden="1" customHeight="1">
      <c r="A76" s="29"/>
      <c r="B76" s="61" t="s">
        <v>129</v>
      </c>
      <c r="C76" s="16"/>
      <c r="D76" s="14"/>
      <c r="E76" s="56"/>
      <c r="F76" s="13">
        <v>1</v>
      </c>
      <c r="G76" s="13">
        <v>17359.8</v>
      </c>
      <c r="H76" s="76">
        <f>G76*F76/1000</f>
        <v>17.3598</v>
      </c>
      <c r="I76" s="13">
        <v>0</v>
      </c>
    </row>
    <row r="77" spans="1:9" ht="15.75" customHeight="1">
      <c r="A77" s="135" t="s">
        <v>172</v>
      </c>
      <c r="B77" s="136"/>
      <c r="C77" s="136"/>
      <c r="D77" s="136"/>
      <c r="E77" s="136"/>
      <c r="F77" s="136"/>
      <c r="G77" s="136"/>
      <c r="H77" s="136"/>
      <c r="I77" s="137"/>
    </row>
    <row r="78" spans="1:9" ht="15.75" customHeight="1">
      <c r="A78" s="29">
        <v>18</v>
      </c>
      <c r="B78" s="61" t="s">
        <v>132</v>
      </c>
      <c r="C78" s="16" t="s">
        <v>53</v>
      </c>
      <c r="D78" s="80" t="s">
        <v>54</v>
      </c>
      <c r="E78" s="13">
        <v>4224.3999999999996</v>
      </c>
      <c r="F78" s="13">
        <f>SUM(E78*12)</f>
        <v>50692.799999999996</v>
      </c>
      <c r="G78" s="13">
        <v>2.1</v>
      </c>
      <c r="H78" s="76">
        <f>SUM(F78*G78/1000)</f>
        <v>106.45487999999999</v>
      </c>
      <c r="I78" s="13">
        <f>F78/12*G78</f>
        <v>8871.24</v>
      </c>
    </row>
    <row r="79" spans="1:9" ht="31.5" customHeight="1">
      <c r="A79" s="29">
        <v>19</v>
      </c>
      <c r="B79" s="14" t="s">
        <v>76</v>
      </c>
      <c r="C79" s="16"/>
      <c r="D79" s="80" t="s">
        <v>54</v>
      </c>
      <c r="E79" s="47">
        <v>4224.3999999999996</v>
      </c>
      <c r="F79" s="13">
        <f>E79*12</f>
        <v>50692.799999999996</v>
      </c>
      <c r="G79" s="13">
        <v>1.63</v>
      </c>
      <c r="H79" s="76">
        <f>F79*G79/1000</f>
        <v>82.629263999999978</v>
      </c>
      <c r="I79" s="13">
        <f>F79/12*G79</f>
        <v>6885.771999999999</v>
      </c>
    </row>
    <row r="80" spans="1:9" ht="15.75" customHeight="1">
      <c r="A80" s="87"/>
      <c r="B80" s="34" t="s">
        <v>79</v>
      </c>
      <c r="C80" s="35"/>
      <c r="D80" s="15"/>
      <c r="E80" s="15"/>
      <c r="F80" s="15"/>
      <c r="G80" s="18"/>
      <c r="H80" s="18"/>
      <c r="I80" s="32">
        <f>SUM(I16+I17+I18+I20+I21+I26+I27+I38+I39+I41+I42+I43+I44+I57+I58+I60+I62+I78+I79)</f>
        <v>78387.033741333318</v>
      </c>
    </row>
    <row r="81" spans="1:9" ht="15.75" customHeight="1">
      <c r="A81" s="153" t="s">
        <v>59</v>
      </c>
      <c r="B81" s="154"/>
      <c r="C81" s="154"/>
      <c r="D81" s="154"/>
      <c r="E81" s="154"/>
      <c r="F81" s="154"/>
      <c r="G81" s="154"/>
      <c r="H81" s="154"/>
      <c r="I81" s="155"/>
    </row>
    <row r="82" spans="1:9" ht="15.75" customHeight="1">
      <c r="A82" s="29">
        <v>20</v>
      </c>
      <c r="B82" s="46" t="s">
        <v>193</v>
      </c>
      <c r="C82" s="48" t="s">
        <v>92</v>
      </c>
      <c r="D82" s="102"/>
      <c r="E82" s="103"/>
      <c r="F82" s="103">
        <v>6</v>
      </c>
      <c r="G82" s="103">
        <v>784.36</v>
      </c>
      <c r="H82" s="104">
        <f>G82*F82/1000</f>
        <v>4.7061599999999997</v>
      </c>
      <c r="I82" s="13">
        <f>G82</f>
        <v>784.36</v>
      </c>
    </row>
    <row r="83" spans="1:9" ht="15.75" customHeight="1">
      <c r="A83" s="29">
        <v>21</v>
      </c>
      <c r="B83" s="46" t="s">
        <v>194</v>
      </c>
      <c r="C83" s="48" t="s">
        <v>92</v>
      </c>
      <c r="D83" s="102"/>
      <c r="E83" s="103"/>
      <c r="F83" s="103">
        <v>2</v>
      </c>
      <c r="G83" s="103">
        <v>1008.38</v>
      </c>
      <c r="H83" s="104">
        <f>G83*F83/1000</f>
        <v>2.0167600000000001</v>
      </c>
      <c r="I83" s="13">
        <f t="shared" ref="I83:I84" si="8">G83</f>
        <v>1008.38</v>
      </c>
    </row>
    <row r="84" spans="1:9" ht="31.5" customHeight="1">
      <c r="A84" s="29">
        <v>22</v>
      </c>
      <c r="B84" s="46" t="s">
        <v>89</v>
      </c>
      <c r="C84" s="48" t="s">
        <v>92</v>
      </c>
      <c r="D84" s="102"/>
      <c r="E84" s="103"/>
      <c r="F84" s="103">
        <v>7</v>
      </c>
      <c r="G84" s="103">
        <v>613.44000000000005</v>
      </c>
      <c r="H84" s="104">
        <f>G84*F84/1000</f>
        <v>4.2940800000000001</v>
      </c>
      <c r="I84" s="13">
        <f t="shared" si="8"/>
        <v>613.44000000000005</v>
      </c>
    </row>
    <row r="85" spans="1:9" ht="15.75" customHeight="1">
      <c r="A85" s="29">
        <v>23</v>
      </c>
      <c r="B85" s="100" t="s">
        <v>184</v>
      </c>
      <c r="C85" s="101" t="s">
        <v>153</v>
      </c>
      <c r="D85" s="105"/>
      <c r="E85" s="17"/>
      <c r="F85" s="103">
        <v>105</v>
      </c>
      <c r="G85" s="103">
        <v>134.12</v>
      </c>
      <c r="H85" s="104">
        <f t="shared" ref="H85:H86" si="9">G85*F85/1000</f>
        <v>14.082600000000001</v>
      </c>
      <c r="I85" s="116">
        <f>G85*10</f>
        <v>1341.2</v>
      </c>
    </row>
    <row r="86" spans="1:9" ht="31.5" customHeight="1">
      <c r="A86" s="29">
        <v>24</v>
      </c>
      <c r="B86" s="46" t="s">
        <v>78</v>
      </c>
      <c r="C86" s="48" t="s">
        <v>123</v>
      </c>
      <c r="D86" s="105"/>
      <c r="E86" s="17"/>
      <c r="F86" s="103">
        <v>2</v>
      </c>
      <c r="G86" s="103">
        <v>86.69</v>
      </c>
      <c r="H86" s="104">
        <f t="shared" si="9"/>
        <v>0.17338000000000001</v>
      </c>
      <c r="I86" s="13">
        <f>G86</f>
        <v>86.69</v>
      </c>
    </row>
    <row r="87" spans="1:9" ht="15.75" customHeight="1">
      <c r="A87" s="29">
        <v>25</v>
      </c>
      <c r="B87" s="100" t="s">
        <v>81</v>
      </c>
      <c r="C87" s="101" t="s">
        <v>123</v>
      </c>
      <c r="D87" s="102"/>
      <c r="E87" s="103"/>
      <c r="F87" s="103">
        <v>5</v>
      </c>
      <c r="G87" s="103">
        <v>197.48</v>
      </c>
      <c r="H87" s="104">
        <f>G87*F87/1000</f>
        <v>0.98739999999999994</v>
      </c>
      <c r="I87" s="13">
        <f>G87*2</f>
        <v>394.96</v>
      </c>
    </row>
    <row r="88" spans="1:9" ht="15.75" customHeight="1">
      <c r="A88" s="29" t="s">
        <v>219</v>
      </c>
      <c r="B88" s="100" t="s">
        <v>158</v>
      </c>
      <c r="C88" s="101" t="s">
        <v>123</v>
      </c>
      <c r="D88" s="42"/>
      <c r="E88" s="103"/>
      <c r="F88" s="103">
        <v>240</v>
      </c>
      <c r="G88" s="103">
        <v>55.55</v>
      </c>
      <c r="H88" s="104">
        <f>G88*F88/1000</f>
        <v>13.332000000000001</v>
      </c>
      <c r="I88" s="13">
        <f>G88*80</f>
        <v>4444</v>
      </c>
    </row>
    <row r="89" spans="1:9" ht="31.5" customHeight="1">
      <c r="A89" s="29">
        <v>27</v>
      </c>
      <c r="B89" s="46" t="s">
        <v>138</v>
      </c>
      <c r="C89" s="48" t="s">
        <v>92</v>
      </c>
      <c r="D89" s="102"/>
      <c r="E89" s="103"/>
      <c r="F89" s="103">
        <v>3</v>
      </c>
      <c r="G89" s="103">
        <v>835.68</v>
      </c>
      <c r="H89" s="104">
        <f t="shared" ref="H89" si="10">G89*F89/1000</f>
        <v>2.5070399999999999</v>
      </c>
      <c r="I89" s="13">
        <f>G89*2</f>
        <v>1671.36</v>
      </c>
    </row>
    <row r="90" spans="1:9" ht="31.5" customHeight="1">
      <c r="A90" s="29">
        <v>28</v>
      </c>
      <c r="B90" s="46" t="s">
        <v>179</v>
      </c>
      <c r="C90" s="48" t="s">
        <v>153</v>
      </c>
      <c r="D90" s="102"/>
      <c r="E90" s="103"/>
      <c r="F90" s="103">
        <v>2</v>
      </c>
      <c r="G90" s="103">
        <v>1365</v>
      </c>
      <c r="H90" s="76">
        <f t="shared" ref="H90" si="11">F90*G90/1000</f>
        <v>2.73</v>
      </c>
      <c r="I90" s="13">
        <f>G90</f>
        <v>1365</v>
      </c>
    </row>
    <row r="91" spans="1:9" ht="15.75" customHeight="1">
      <c r="A91" s="29">
        <v>29</v>
      </c>
      <c r="B91" s="46" t="s">
        <v>159</v>
      </c>
      <c r="C91" s="48" t="s">
        <v>154</v>
      </c>
      <c r="D91" s="42"/>
      <c r="E91" s="103"/>
      <c r="F91" s="103">
        <v>1</v>
      </c>
      <c r="G91" s="103">
        <v>1078.9000000000001</v>
      </c>
      <c r="H91" s="104">
        <f t="shared" ref="H91:H98" si="12">G91*F91/1000</f>
        <v>1.0789000000000002</v>
      </c>
      <c r="I91" s="13">
        <f>G91</f>
        <v>1078.9000000000001</v>
      </c>
    </row>
    <row r="92" spans="1:9" ht="15.75" customHeight="1">
      <c r="A92" s="29">
        <v>30</v>
      </c>
      <c r="B92" s="46" t="s">
        <v>161</v>
      </c>
      <c r="C92" s="48" t="s">
        <v>123</v>
      </c>
      <c r="D92" s="105"/>
      <c r="E92" s="17"/>
      <c r="F92" s="103">
        <v>2</v>
      </c>
      <c r="G92" s="103">
        <v>140</v>
      </c>
      <c r="H92" s="104">
        <f t="shared" si="12"/>
        <v>0.28000000000000003</v>
      </c>
      <c r="I92" s="13">
        <f>G92*2</f>
        <v>280</v>
      </c>
    </row>
    <row r="93" spans="1:9" ht="15.75" customHeight="1">
      <c r="A93" s="29">
        <v>31</v>
      </c>
      <c r="B93" s="46" t="s">
        <v>160</v>
      </c>
      <c r="C93" s="48" t="s">
        <v>123</v>
      </c>
      <c r="D93" s="42"/>
      <c r="E93" s="103"/>
      <c r="F93" s="103">
        <v>1</v>
      </c>
      <c r="G93" s="103">
        <v>108</v>
      </c>
      <c r="H93" s="104">
        <f t="shared" si="12"/>
        <v>0.108</v>
      </c>
      <c r="I93" s="13">
        <f>G93</f>
        <v>108</v>
      </c>
    </row>
    <row r="94" spans="1:9" ht="15.75" customHeight="1">
      <c r="A94" s="29">
        <v>32</v>
      </c>
      <c r="B94" s="46" t="s">
        <v>162</v>
      </c>
      <c r="C94" s="48" t="s">
        <v>123</v>
      </c>
      <c r="D94" s="102"/>
      <c r="E94" s="103"/>
      <c r="F94" s="103">
        <v>1</v>
      </c>
      <c r="G94" s="103">
        <v>70</v>
      </c>
      <c r="H94" s="104">
        <f t="shared" si="12"/>
        <v>7.0000000000000007E-2</v>
      </c>
      <c r="I94" s="13">
        <f>G94</f>
        <v>70</v>
      </c>
    </row>
    <row r="95" spans="1:9" ht="15.75" customHeight="1">
      <c r="A95" s="29">
        <v>33</v>
      </c>
      <c r="B95" s="46" t="s">
        <v>155</v>
      </c>
      <c r="C95" s="48" t="s">
        <v>123</v>
      </c>
      <c r="D95" s="102"/>
      <c r="E95" s="103"/>
      <c r="F95" s="103">
        <v>3</v>
      </c>
      <c r="G95" s="103">
        <v>27.36</v>
      </c>
      <c r="H95" s="104">
        <f t="shared" si="12"/>
        <v>8.208E-2</v>
      </c>
      <c r="I95" s="13">
        <f>G95*3</f>
        <v>82.08</v>
      </c>
    </row>
    <row r="96" spans="1:9" ht="31.5" customHeight="1">
      <c r="A96" s="29">
        <v>34</v>
      </c>
      <c r="B96" s="46" t="s">
        <v>169</v>
      </c>
      <c r="C96" s="48" t="s">
        <v>80</v>
      </c>
      <c r="D96" s="42"/>
      <c r="E96" s="103"/>
      <c r="F96" s="103">
        <v>7</v>
      </c>
      <c r="G96" s="103">
        <f>1187</f>
        <v>1187</v>
      </c>
      <c r="H96" s="104">
        <f t="shared" si="12"/>
        <v>8.3089999999999993</v>
      </c>
      <c r="I96" s="13">
        <f>G96*7</f>
        <v>8309</v>
      </c>
    </row>
    <row r="97" spans="1:9" ht="15.75" customHeight="1">
      <c r="A97" s="29">
        <v>35</v>
      </c>
      <c r="B97" s="100" t="s">
        <v>197</v>
      </c>
      <c r="C97" s="101" t="s">
        <v>123</v>
      </c>
      <c r="D97" s="42"/>
      <c r="E97" s="103"/>
      <c r="F97" s="103">
        <v>1</v>
      </c>
      <c r="G97" s="103">
        <v>531.27</v>
      </c>
      <c r="H97" s="104">
        <f t="shared" si="12"/>
        <v>0.53127000000000002</v>
      </c>
      <c r="I97" s="13">
        <f>G97</f>
        <v>531.27</v>
      </c>
    </row>
    <row r="98" spans="1:9" ht="15.75" customHeight="1">
      <c r="A98" s="29">
        <v>36</v>
      </c>
      <c r="B98" s="46" t="s">
        <v>156</v>
      </c>
      <c r="C98" s="48" t="s">
        <v>157</v>
      </c>
      <c r="D98" s="102"/>
      <c r="E98" s="103"/>
      <c r="F98" s="103">
        <v>0.5</v>
      </c>
      <c r="G98" s="103">
        <v>300.61</v>
      </c>
      <c r="H98" s="104">
        <f t="shared" si="12"/>
        <v>0.15030499999999999</v>
      </c>
      <c r="I98" s="13">
        <f>G98*0.5</f>
        <v>150.30500000000001</v>
      </c>
    </row>
    <row r="99" spans="1:9" ht="15.75" customHeight="1">
      <c r="A99" s="29">
        <v>37</v>
      </c>
      <c r="B99" s="61" t="s">
        <v>181</v>
      </c>
      <c r="C99" s="62" t="s">
        <v>123</v>
      </c>
      <c r="D99" s="105"/>
      <c r="E99" s="17"/>
      <c r="F99" s="103">
        <v>1</v>
      </c>
      <c r="G99" s="103">
        <v>89.59</v>
      </c>
      <c r="H99" s="104">
        <f>G99*F99/1000</f>
        <v>8.9590000000000003E-2</v>
      </c>
      <c r="I99" s="13">
        <f t="shared" ref="I99" si="13">G99</f>
        <v>89.59</v>
      </c>
    </row>
    <row r="100" spans="1:9" ht="47.25" customHeight="1">
      <c r="A100" s="29">
        <v>38</v>
      </c>
      <c r="B100" s="100" t="s">
        <v>198</v>
      </c>
      <c r="C100" s="101" t="s">
        <v>97</v>
      </c>
      <c r="D100" s="105"/>
      <c r="E100" s="17"/>
      <c r="F100" s="106">
        <f>0.01/10</f>
        <v>1E-3</v>
      </c>
      <c r="G100" s="103">
        <v>10226.44</v>
      </c>
      <c r="H100" s="104">
        <f t="shared" ref="H100" si="14">G100*F100/1000</f>
        <v>1.022644E-2</v>
      </c>
      <c r="I100" s="13">
        <f>G100*0.001</f>
        <v>10.22644</v>
      </c>
    </row>
    <row r="101" spans="1:9" ht="15.75" customHeight="1">
      <c r="A101" s="29"/>
      <c r="B101" s="40" t="s">
        <v>50</v>
      </c>
      <c r="C101" s="36"/>
      <c r="D101" s="44"/>
      <c r="E101" s="36">
        <v>1</v>
      </c>
      <c r="F101" s="36"/>
      <c r="G101" s="36"/>
      <c r="H101" s="36"/>
      <c r="I101" s="32">
        <f>SUM(I82:I100)-I88</f>
        <v>17974.761439999998</v>
      </c>
    </row>
    <row r="102" spans="1:9" ht="15.75" customHeight="1">
      <c r="A102" s="29"/>
      <c r="B102" s="42" t="s">
        <v>77</v>
      </c>
      <c r="C102" s="15"/>
      <c r="D102" s="15"/>
      <c r="E102" s="37"/>
      <c r="F102" s="37"/>
      <c r="G102" s="38"/>
      <c r="H102" s="38"/>
      <c r="I102" s="17">
        <v>0</v>
      </c>
    </row>
    <row r="103" spans="1:9" ht="15.75" customHeight="1">
      <c r="A103" s="45"/>
      <c r="B103" s="41" t="s">
        <v>145</v>
      </c>
      <c r="C103" s="33"/>
      <c r="D103" s="33"/>
      <c r="E103" s="33"/>
      <c r="F103" s="33"/>
      <c r="G103" s="33"/>
      <c r="H103" s="33"/>
      <c r="I103" s="39">
        <f>I80+I101</f>
        <v>96361.79518133332</v>
      </c>
    </row>
    <row r="104" spans="1:9" ht="15.75" customHeight="1">
      <c r="A104" s="122" t="s">
        <v>219</v>
      </c>
      <c r="B104" s="125" t="s">
        <v>220</v>
      </c>
      <c r="C104" s="123"/>
      <c r="D104" s="123"/>
      <c r="E104" s="123"/>
      <c r="F104" s="123"/>
      <c r="G104" s="123"/>
      <c r="H104" s="123"/>
      <c r="I104" s="124"/>
    </row>
    <row r="105" spans="1:9" ht="15.75" customHeight="1">
      <c r="A105" s="149" t="s">
        <v>258</v>
      </c>
      <c r="B105" s="149"/>
      <c r="C105" s="149"/>
      <c r="D105" s="149"/>
      <c r="E105" s="149"/>
      <c r="F105" s="149"/>
      <c r="G105" s="149"/>
      <c r="H105" s="149"/>
      <c r="I105" s="149"/>
    </row>
    <row r="106" spans="1:9" ht="15.75" customHeight="1">
      <c r="A106" s="55"/>
      <c r="B106" s="150" t="s">
        <v>259</v>
      </c>
      <c r="C106" s="150"/>
      <c r="D106" s="150"/>
      <c r="E106" s="150"/>
      <c r="F106" s="150"/>
      <c r="G106" s="150"/>
      <c r="H106" s="60"/>
      <c r="I106" s="3"/>
    </row>
    <row r="107" spans="1:9" ht="15.75" customHeight="1">
      <c r="A107" s="85"/>
      <c r="B107" s="151" t="s">
        <v>6</v>
      </c>
      <c r="C107" s="151"/>
      <c r="D107" s="151"/>
      <c r="E107" s="151"/>
      <c r="F107" s="151"/>
      <c r="G107" s="151"/>
      <c r="H107" s="24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152" t="s">
        <v>7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ht="15.75" customHeight="1">
      <c r="A110" s="152" t="s">
        <v>8</v>
      </c>
      <c r="B110" s="152"/>
      <c r="C110" s="152"/>
      <c r="D110" s="152"/>
      <c r="E110" s="152"/>
      <c r="F110" s="152"/>
      <c r="G110" s="152"/>
      <c r="H110" s="152"/>
      <c r="I110" s="152"/>
    </row>
    <row r="111" spans="1:9" ht="15.75" customHeight="1">
      <c r="A111" s="144" t="s">
        <v>60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15.75" customHeight="1">
      <c r="A112" s="11"/>
    </row>
    <row r="113" spans="1:9" ht="15.75" customHeight="1">
      <c r="A113" s="159" t="s">
        <v>9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.75" customHeight="1">
      <c r="A114" s="4"/>
    </row>
    <row r="115" spans="1:9" ht="15.75" customHeight="1">
      <c r="B115" s="86" t="s">
        <v>10</v>
      </c>
      <c r="C115" s="160" t="s">
        <v>90</v>
      </c>
      <c r="D115" s="160"/>
      <c r="E115" s="160"/>
      <c r="F115" s="58"/>
      <c r="I115" s="84"/>
    </row>
    <row r="116" spans="1:9" ht="15.75" customHeight="1">
      <c r="A116" s="85"/>
      <c r="C116" s="151" t="s">
        <v>11</v>
      </c>
      <c r="D116" s="151"/>
      <c r="E116" s="151"/>
      <c r="F116" s="24"/>
      <c r="I116" s="83" t="s">
        <v>12</v>
      </c>
    </row>
    <row r="117" spans="1:9" ht="15.75" customHeight="1">
      <c r="A117" s="25"/>
      <c r="C117" s="12"/>
      <c r="D117" s="12"/>
      <c r="G117" s="12"/>
      <c r="H117" s="12"/>
    </row>
    <row r="118" spans="1:9" ht="15.75" customHeight="1">
      <c r="B118" s="86" t="s">
        <v>13</v>
      </c>
      <c r="C118" s="161"/>
      <c r="D118" s="161"/>
      <c r="E118" s="161"/>
      <c r="F118" s="59"/>
      <c r="I118" s="84"/>
    </row>
    <row r="119" spans="1:9" ht="15.75" customHeight="1">
      <c r="A119" s="85"/>
      <c r="C119" s="134" t="s">
        <v>11</v>
      </c>
      <c r="D119" s="134"/>
      <c r="E119" s="134"/>
      <c r="F119" s="85"/>
      <c r="I119" s="83" t="s">
        <v>12</v>
      </c>
    </row>
    <row r="120" spans="1:9" ht="15.75" customHeight="1">
      <c r="A120" s="4" t="s">
        <v>14</v>
      </c>
    </row>
    <row r="121" spans="1:9" ht="15.75" customHeight="1">
      <c r="A121" s="162" t="s">
        <v>15</v>
      </c>
      <c r="B121" s="162"/>
      <c r="C121" s="162"/>
      <c r="D121" s="162"/>
      <c r="E121" s="162"/>
      <c r="F121" s="162"/>
      <c r="G121" s="162"/>
      <c r="H121" s="162"/>
      <c r="I121" s="162"/>
    </row>
    <row r="122" spans="1:9" ht="45" customHeight="1">
      <c r="A122" s="158" t="s">
        <v>16</v>
      </c>
      <c r="B122" s="158"/>
      <c r="C122" s="158"/>
      <c r="D122" s="158"/>
      <c r="E122" s="158"/>
      <c r="F122" s="158"/>
      <c r="G122" s="158"/>
      <c r="H122" s="158"/>
      <c r="I122" s="158"/>
    </row>
    <row r="123" spans="1:9" ht="30" customHeight="1">
      <c r="A123" s="158" t="s">
        <v>17</v>
      </c>
      <c r="B123" s="158"/>
      <c r="C123" s="158"/>
      <c r="D123" s="158"/>
      <c r="E123" s="158"/>
      <c r="F123" s="158"/>
      <c r="G123" s="158"/>
      <c r="H123" s="158"/>
      <c r="I123" s="158"/>
    </row>
    <row r="124" spans="1:9" ht="30" customHeight="1">
      <c r="A124" s="158" t="s">
        <v>21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15" customHeight="1">
      <c r="A125" s="158" t="s">
        <v>20</v>
      </c>
      <c r="B125" s="158"/>
      <c r="C125" s="158"/>
      <c r="D125" s="158"/>
      <c r="E125" s="158"/>
      <c r="F125" s="158"/>
      <c r="G125" s="158"/>
      <c r="H125" s="158"/>
      <c r="I125" s="158"/>
    </row>
  </sheetData>
  <autoFilter ref="I12:I60"/>
  <mergeCells count="29">
    <mergeCell ref="A121:I121"/>
    <mergeCell ref="A122:I122"/>
    <mergeCell ref="A123:I123"/>
    <mergeCell ref="A124:I124"/>
    <mergeCell ref="A125:I125"/>
    <mergeCell ref="R64:U64"/>
    <mergeCell ref="C119:E119"/>
    <mergeCell ref="A81:I81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77:I7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3"/>
  <sheetViews>
    <sheetView topLeftCell="A96" workbookViewId="0">
      <selection activeCell="B104" sqref="B104:G104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166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199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43220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7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/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/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1" t="s">
        <v>103</v>
      </c>
      <c r="C25" s="62" t="s">
        <v>51</v>
      </c>
      <c r="D25" s="61" t="s">
        <v>109</v>
      </c>
      <c r="E25" s="47">
        <v>17</v>
      </c>
      <c r="F25" s="63">
        <f>SUM(E25/100)</f>
        <v>0.17</v>
      </c>
      <c r="G25" s="63">
        <v>556.74</v>
      </c>
      <c r="H25" s="64">
        <f t="shared" si="0"/>
        <v>9.4645800000000002E-2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61" t="s">
        <v>63</v>
      </c>
      <c r="C26" s="62" t="s">
        <v>33</v>
      </c>
      <c r="D26" s="61" t="s">
        <v>137</v>
      </c>
      <c r="E26" s="47">
        <v>0.1</v>
      </c>
      <c r="F26" s="63">
        <f>SUM(E26*365)</f>
        <v>36.5</v>
      </c>
      <c r="G26" s="63">
        <v>147.03</v>
      </c>
      <c r="H26" s="64">
        <f t="shared" si="0"/>
        <v>5.3665950000000002</v>
      </c>
      <c r="I26" s="13">
        <f>F26/12*G26</f>
        <v>447.21625</v>
      </c>
      <c r="J26" s="23"/>
    </row>
    <row r="27" spans="1:13" ht="15.75" customHeight="1">
      <c r="A27" s="29">
        <v>7</v>
      </c>
      <c r="B27" s="68" t="s">
        <v>23</v>
      </c>
      <c r="C27" s="62" t="s">
        <v>24</v>
      </c>
      <c r="D27" s="68" t="s">
        <v>137</v>
      </c>
      <c r="E27" s="47">
        <v>4224.3999999999996</v>
      </c>
      <c r="F27" s="63">
        <f>SUM(E27*12)</f>
        <v>50692.799999999996</v>
      </c>
      <c r="G27" s="63">
        <v>4.59</v>
      </c>
      <c r="H27" s="64">
        <f t="shared" si="0"/>
        <v>232.67995199999996</v>
      </c>
      <c r="I27" s="13">
        <f>F27/12*G27</f>
        <v>19389.995999999999</v>
      </c>
      <c r="J27" s="23"/>
    </row>
    <row r="28" spans="1:13" ht="15.75" customHeight="1">
      <c r="A28" s="145" t="s">
        <v>84</v>
      </c>
      <c r="B28" s="145"/>
      <c r="C28" s="145"/>
      <c r="D28" s="145"/>
      <c r="E28" s="145"/>
      <c r="F28" s="145"/>
      <c r="G28" s="145"/>
      <c r="H28" s="145"/>
      <c r="I28" s="145"/>
      <c r="J28" s="22"/>
      <c r="K28" s="8"/>
      <c r="L28" s="8"/>
      <c r="M28" s="8"/>
    </row>
    <row r="29" spans="1:13" ht="15.75" hidden="1" customHeight="1">
      <c r="A29" s="29"/>
      <c r="B29" s="81" t="s">
        <v>28</v>
      </c>
      <c r="C29" s="62"/>
      <c r="D29" s="61"/>
      <c r="E29" s="47"/>
      <c r="F29" s="63"/>
      <c r="G29" s="63"/>
      <c r="H29" s="64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1" t="s">
        <v>112</v>
      </c>
      <c r="C30" s="62" t="s">
        <v>113</v>
      </c>
      <c r="D30" s="61" t="s">
        <v>114</v>
      </c>
      <c r="E30" s="63">
        <v>1414.6</v>
      </c>
      <c r="F30" s="63">
        <f>SUM(E30*52/1000)</f>
        <v>73.559200000000004</v>
      </c>
      <c r="G30" s="63">
        <v>155.88999999999999</v>
      </c>
      <c r="H30" s="64">
        <f t="shared" ref="H30:H36" si="1">SUM(F30*G30/1000)</f>
        <v>11.467143688</v>
      </c>
      <c r="I30" s="13">
        <v>0</v>
      </c>
      <c r="J30" s="22"/>
      <c r="K30" s="8"/>
      <c r="L30" s="8"/>
      <c r="M30" s="8"/>
    </row>
    <row r="31" spans="1:13" ht="31.5" hidden="1" customHeight="1">
      <c r="A31" s="29">
        <v>8</v>
      </c>
      <c r="B31" s="61" t="s">
        <v>141</v>
      </c>
      <c r="C31" s="62" t="s">
        <v>113</v>
      </c>
      <c r="D31" s="61" t="s">
        <v>115</v>
      </c>
      <c r="E31" s="63">
        <v>632.4</v>
      </c>
      <c r="F31" s="63">
        <f>SUM(E31*78/1000)</f>
        <v>49.327199999999998</v>
      </c>
      <c r="G31" s="63">
        <v>258.63</v>
      </c>
      <c r="H31" s="64">
        <f t="shared" si="1"/>
        <v>12.757493735999999</v>
      </c>
      <c r="I31" s="13">
        <v>0</v>
      </c>
      <c r="J31" s="22"/>
      <c r="K31" s="8"/>
      <c r="L31" s="8"/>
      <c r="M31" s="8"/>
    </row>
    <row r="32" spans="1:13" ht="15.75" hidden="1" customHeight="1">
      <c r="A32" s="29"/>
      <c r="B32" s="61" t="s">
        <v>146</v>
      </c>
      <c r="C32" s="62" t="s">
        <v>113</v>
      </c>
      <c r="D32" s="61" t="s">
        <v>91</v>
      </c>
      <c r="E32" s="47">
        <v>143.20000000000002</v>
      </c>
      <c r="F32" s="63">
        <v>0</v>
      </c>
      <c r="G32" s="63">
        <v>293.27999999999997</v>
      </c>
      <c r="H32" s="64">
        <f t="shared" si="1"/>
        <v>0</v>
      </c>
      <c r="I32" s="13"/>
      <c r="J32" s="22"/>
      <c r="K32" s="8"/>
      <c r="L32" s="8"/>
      <c r="M32" s="8"/>
    </row>
    <row r="33" spans="1:14" ht="15.75" hidden="1" customHeight="1">
      <c r="A33" s="29">
        <v>9</v>
      </c>
      <c r="B33" s="61" t="s">
        <v>27</v>
      </c>
      <c r="C33" s="62" t="s">
        <v>113</v>
      </c>
      <c r="D33" s="61" t="s">
        <v>52</v>
      </c>
      <c r="E33" s="63">
        <v>1414.6</v>
      </c>
      <c r="F33" s="63">
        <f>SUM(E33/1000)</f>
        <v>1.4145999999999999</v>
      </c>
      <c r="G33" s="63">
        <v>3020.33</v>
      </c>
      <c r="H33" s="64">
        <f t="shared" si="1"/>
        <v>4.2725588179999994</v>
      </c>
      <c r="I33" s="13">
        <v>0</v>
      </c>
      <c r="J33" s="22"/>
      <c r="K33" s="8"/>
      <c r="L33" s="8"/>
      <c r="M33" s="8"/>
    </row>
    <row r="34" spans="1:14" ht="15.75" hidden="1" customHeight="1">
      <c r="A34" s="29">
        <v>10</v>
      </c>
      <c r="B34" s="61" t="s">
        <v>116</v>
      </c>
      <c r="C34" s="62" t="s">
        <v>39</v>
      </c>
      <c r="D34" s="61" t="s">
        <v>62</v>
      </c>
      <c r="E34" s="63">
        <v>6</v>
      </c>
      <c r="F34" s="63">
        <f>SUM(E34*155/100)</f>
        <v>9.3000000000000007</v>
      </c>
      <c r="G34" s="63">
        <v>1302.02</v>
      </c>
      <c r="H34" s="64">
        <f t="shared" si="1"/>
        <v>12.108786</v>
      </c>
      <c r="I34" s="13">
        <v>0</v>
      </c>
      <c r="J34" s="22"/>
      <c r="K34" s="8"/>
    </row>
    <row r="35" spans="1:14" ht="15.75" hidden="1" customHeight="1">
      <c r="A35" s="29"/>
      <c r="B35" s="61" t="s">
        <v>64</v>
      </c>
      <c r="C35" s="62" t="s">
        <v>33</v>
      </c>
      <c r="D35" s="61" t="s">
        <v>66</v>
      </c>
      <c r="E35" s="47"/>
      <c r="F35" s="63">
        <v>4</v>
      </c>
      <c r="G35" s="63">
        <v>191.32</v>
      </c>
      <c r="H35" s="64">
        <f t="shared" si="1"/>
        <v>0.76527999999999996</v>
      </c>
      <c r="I35" s="13">
        <v>0</v>
      </c>
      <c r="J35" s="23"/>
    </row>
    <row r="36" spans="1:14" ht="15.75" hidden="1" customHeight="1">
      <c r="A36" s="29"/>
      <c r="B36" s="61" t="s">
        <v>65</v>
      </c>
      <c r="C36" s="62" t="s">
        <v>32</v>
      </c>
      <c r="D36" s="61" t="s">
        <v>66</v>
      </c>
      <c r="E36" s="47"/>
      <c r="F36" s="63">
        <v>3</v>
      </c>
      <c r="G36" s="63">
        <v>1136.33</v>
      </c>
      <c r="H36" s="64">
        <f t="shared" si="1"/>
        <v>3.4089899999999997</v>
      </c>
      <c r="I36" s="13">
        <v>0</v>
      </c>
      <c r="J36" s="23"/>
    </row>
    <row r="37" spans="1:14" ht="15.75" customHeight="1">
      <c r="A37" s="29"/>
      <c r="B37" s="81" t="s">
        <v>5</v>
      </c>
      <c r="C37" s="62"/>
      <c r="D37" s="61"/>
      <c r="E37" s="47"/>
      <c r="F37" s="63"/>
      <c r="G37" s="63"/>
      <c r="H37" s="64" t="s">
        <v>130</v>
      </c>
      <c r="I37" s="13"/>
      <c r="J37" s="23"/>
    </row>
    <row r="38" spans="1:14" ht="15.75" customHeight="1">
      <c r="A38" s="29">
        <v>8</v>
      </c>
      <c r="B38" s="61" t="s">
        <v>26</v>
      </c>
      <c r="C38" s="62" t="s">
        <v>32</v>
      </c>
      <c r="D38" s="61"/>
      <c r="E38" s="47"/>
      <c r="F38" s="63">
        <v>20</v>
      </c>
      <c r="G38" s="63">
        <v>1527.22</v>
      </c>
      <c r="H38" s="64">
        <f t="shared" ref="H38:H44" si="2">SUM(F38*G38/1000)</f>
        <v>30.544400000000003</v>
      </c>
      <c r="I38" s="13">
        <f>F38/6*G38</f>
        <v>5090.7333333333336</v>
      </c>
      <c r="J38" s="23"/>
    </row>
    <row r="39" spans="1:14" ht="15.75" customHeight="1">
      <c r="A39" s="29">
        <v>9</v>
      </c>
      <c r="B39" s="61" t="s">
        <v>67</v>
      </c>
      <c r="C39" s="62" t="s">
        <v>29</v>
      </c>
      <c r="D39" s="61" t="s">
        <v>147</v>
      </c>
      <c r="E39" s="63">
        <v>632.4</v>
      </c>
      <c r="F39" s="63">
        <f>SUM(E39*50/1000)</f>
        <v>31.62</v>
      </c>
      <c r="G39" s="63">
        <v>2102.71</v>
      </c>
      <c r="H39" s="64">
        <f t="shared" si="2"/>
        <v>66.487690200000003</v>
      </c>
      <c r="I39" s="13">
        <f>F39/6*G39</f>
        <v>11081.281700000001</v>
      </c>
      <c r="J39" s="23"/>
      <c r="L39" s="19"/>
      <c r="M39" s="20"/>
      <c r="N39" s="21"/>
    </row>
    <row r="40" spans="1:14" ht="15.75" hidden="1" customHeight="1">
      <c r="A40" s="29"/>
      <c r="B40" s="61" t="s">
        <v>95</v>
      </c>
      <c r="C40" s="62" t="s">
        <v>118</v>
      </c>
      <c r="D40" s="61" t="s">
        <v>66</v>
      </c>
      <c r="E40" s="47"/>
      <c r="F40" s="63">
        <v>30</v>
      </c>
      <c r="G40" s="63">
        <v>213.2</v>
      </c>
      <c r="H40" s="64">
        <f t="shared" si="2"/>
        <v>6.3959999999999999</v>
      </c>
      <c r="I40" s="13">
        <f>0</f>
        <v>0</v>
      </c>
      <c r="J40" s="23"/>
      <c r="L40" s="19"/>
      <c r="M40" s="20"/>
      <c r="N40" s="21"/>
    </row>
    <row r="41" spans="1:14" ht="15.75" customHeight="1">
      <c r="A41" s="29">
        <v>10</v>
      </c>
      <c r="B41" s="61" t="s">
        <v>68</v>
      </c>
      <c r="C41" s="62" t="s">
        <v>29</v>
      </c>
      <c r="D41" s="61" t="s">
        <v>119</v>
      </c>
      <c r="E41" s="63">
        <v>106</v>
      </c>
      <c r="F41" s="63">
        <f>SUM(E41*155/1000)</f>
        <v>16.43</v>
      </c>
      <c r="G41" s="63">
        <v>350.75</v>
      </c>
      <c r="H41" s="64">
        <f t="shared" si="2"/>
        <v>5.7628225000000004</v>
      </c>
      <c r="I41" s="13">
        <f>F41/6*G41</f>
        <v>960.47041666666667</v>
      </c>
      <c r="J41" s="23"/>
      <c r="L41" s="19"/>
      <c r="M41" s="20"/>
      <c r="N41" s="21"/>
    </row>
    <row r="42" spans="1:14" ht="47.25" customHeight="1">
      <c r="A42" s="29">
        <v>11</v>
      </c>
      <c r="B42" s="61" t="s">
        <v>82</v>
      </c>
      <c r="C42" s="62" t="s">
        <v>113</v>
      </c>
      <c r="D42" s="61" t="s">
        <v>148</v>
      </c>
      <c r="E42" s="63">
        <v>106</v>
      </c>
      <c r="F42" s="63">
        <f>SUM(E42*70/1000)</f>
        <v>7.42</v>
      </c>
      <c r="G42" s="63">
        <v>5803.28</v>
      </c>
      <c r="H42" s="64">
        <f t="shared" si="2"/>
        <v>43.060337599999997</v>
      </c>
      <c r="I42" s="13">
        <f>F42/6*G42</f>
        <v>7176.7229333333325</v>
      </c>
      <c r="J42" s="23"/>
      <c r="L42" s="19"/>
      <c r="M42" s="20"/>
      <c r="N42" s="21"/>
    </row>
    <row r="43" spans="1:14" ht="15.75" customHeight="1">
      <c r="A43" s="29">
        <v>12</v>
      </c>
      <c r="B43" s="61" t="s">
        <v>120</v>
      </c>
      <c r="C43" s="62" t="s">
        <v>113</v>
      </c>
      <c r="D43" s="61" t="s">
        <v>69</v>
      </c>
      <c r="E43" s="63">
        <v>106</v>
      </c>
      <c r="F43" s="63">
        <f>SUM(E43*45/1000)</f>
        <v>4.7699999999999996</v>
      </c>
      <c r="G43" s="63">
        <v>428.7</v>
      </c>
      <c r="H43" s="64">
        <f t="shared" si="2"/>
        <v>2.0448989999999996</v>
      </c>
      <c r="I43" s="13">
        <f>F43/7.5*1.5*G43</f>
        <v>408.9797999999999</v>
      </c>
      <c r="J43" s="23"/>
      <c r="L43" s="19"/>
      <c r="M43" s="20"/>
      <c r="N43" s="21"/>
    </row>
    <row r="44" spans="1:14" ht="13.5" customHeight="1">
      <c r="A44" s="29">
        <v>13</v>
      </c>
      <c r="B44" s="61" t="s">
        <v>70</v>
      </c>
      <c r="C44" s="62" t="s">
        <v>33</v>
      </c>
      <c r="D44" s="61"/>
      <c r="E44" s="47"/>
      <c r="F44" s="63">
        <v>0.9</v>
      </c>
      <c r="G44" s="63">
        <v>798</v>
      </c>
      <c r="H44" s="64">
        <f t="shared" si="2"/>
        <v>0.71820000000000006</v>
      </c>
      <c r="I44" s="13">
        <f>F44/7.5*1.5*G44</f>
        <v>143.64000000000001</v>
      </c>
      <c r="J44" s="23"/>
      <c r="L44" s="19"/>
      <c r="M44" s="20"/>
      <c r="N44" s="21"/>
    </row>
    <row r="45" spans="1:14" ht="13.5" customHeight="1">
      <c r="A45" s="146" t="s">
        <v>133</v>
      </c>
      <c r="B45" s="147"/>
      <c r="C45" s="147"/>
      <c r="D45" s="147"/>
      <c r="E45" s="147"/>
      <c r="F45" s="147"/>
      <c r="G45" s="147"/>
      <c r="H45" s="147"/>
      <c r="I45" s="148"/>
      <c r="J45" s="23"/>
      <c r="L45" s="19"/>
      <c r="M45" s="20"/>
      <c r="N45" s="21"/>
    </row>
    <row r="46" spans="1:14" ht="31.5" customHeight="1">
      <c r="A46" s="29">
        <v>14</v>
      </c>
      <c r="B46" s="108" t="s">
        <v>121</v>
      </c>
      <c r="C46" s="109" t="s">
        <v>113</v>
      </c>
      <c r="D46" s="108" t="s">
        <v>41</v>
      </c>
      <c r="E46" s="47"/>
      <c r="F46" s="121">
        <v>2.3012000000000001</v>
      </c>
      <c r="G46" s="103">
        <v>1213.55</v>
      </c>
      <c r="H46" s="119"/>
      <c r="I46" s="13">
        <f>F46/2*G46</f>
        <v>1396.3106299999999</v>
      </c>
      <c r="J46" s="23"/>
      <c r="L46" s="19"/>
      <c r="M46" s="20"/>
      <c r="N46" s="21"/>
    </row>
    <row r="47" spans="1:14" ht="38.25" customHeight="1">
      <c r="A47" s="29">
        <v>15</v>
      </c>
      <c r="B47" s="108" t="s">
        <v>122</v>
      </c>
      <c r="C47" s="109" t="s">
        <v>37</v>
      </c>
      <c r="D47" s="108" t="s">
        <v>41</v>
      </c>
      <c r="E47" s="47"/>
      <c r="F47" s="121">
        <v>0.6</v>
      </c>
      <c r="G47" s="103">
        <v>2730.49</v>
      </c>
      <c r="H47" s="119"/>
      <c r="I47" s="13">
        <f>F47/2*G47</f>
        <v>819.14699999999993</v>
      </c>
      <c r="J47" s="23"/>
      <c r="L47" s="19"/>
      <c r="M47" s="20"/>
      <c r="N47" s="21"/>
    </row>
    <row r="48" spans="1:14" ht="17.25" customHeight="1">
      <c r="A48" s="29">
        <v>16</v>
      </c>
      <c r="B48" s="61" t="s">
        <v>38</v>
      </c>
      <c r="C48" s="62" t="s">
        <v>39</v>
      </c>
      <c r="D48" s="61" t="s">
        <v>41</v>
      </c>
      <c r="E48" s="47">
        <v>1</v>
      </c>
      <c r="F48" s="120">
        <v>0.02</v>
      </c>
      <c r="G48" s="118">
        <v>5652.13</v>
      </c>
      <c r="H48" s="64">
        <f t="shared" ref="H48:H49" si="3">SUM(F48*G48/1000)</f>
        <v>0.11304260000000001</v>
      </c>
      <c r="I48" s="13">
        <f>F48/2*G48</f>
        <v>56.521300000000004</v>
      </c>
      <c r="J48" s="23"/>
      <c r="L48" s="19"/>
      <c r="M48" s="20"/>
      <c r="N48" s="21"/>
    </row>
    <row r="49" spans="1:22" ht="36" hidden="1" customHeight="1">
      <c r="A49" s="29">
        <v>15</v>
      </c>
      <c r="B49" s="61" t="s">
        <v>40</v>
      </c>
      <c r="C49" s="62" t="s">
        <v>123</v>
      </c>
      <c r="D49" s="61" t="s">
        <v>71</v>
      </c>
      <c r="E49" s="47">
        <v>158</v>
      </c>
      <c r="F49" s="63">
        <f>SUM(E49)*3</f>
        <v>474</v>
      </c>
      <c r="G49" s="13">
        <v>65.67</v>
      </c>
      <c r="H49" s="64">
        <f t="shared" si="3"/>
        <v>31.127580000000002</v>
      </c>
      <c r="I49" s="13">
        <f>E49*G49</f>
        <v>10375.86</v>
      </c>
      <c r="J49" s="23"/>
      <c r="L49" s="19"/>
      <c r="M49" s="20"/>
      <c r="N49" s="21"/>
    </row>
    <row r="50" spans="1:22" ht="15.75" customHeight="1">
      <c r="A50" s="146" t="s">
        <v>134</v>
      </c>
      <c r="B50" s="147"/>
      <c r="C50" s="147"/>
      <c r="D50" s="147"/>
      <c r="E50" s="147"/>
      <c r="F50" s="147"/>
      <c r="G50" s="147"/>
      <c r="H50" s="147"/>
      <c r="I50" s="148"/>
      <c r="J50" s="23"/>
      <c r="L50" s="19"/>
      <c r="M50" s="20"/>
      <c r="N50" s="21"/>
    </row>
    <row r="51" spans="1:22" ht="15.75" customHeight="1">
      <c r="A51" s="29"/>
      <c r="B51" s="81" t="s">
        <v>42</v>
      </c>
      <c r="C51" s="62"/>
      <c r="D51" s="61"/>
      <c r="E51" s="47"/>
      <c r="F51" s="63"/>
      <c r="G51" s="63"/>
      <c r="H51" s="64"/>
      <c r="I51" s="13"/>
      <c r="J51" s="23"/>
      <c r="L51" s="19"/>
      <c r="M51" s="20"/>
      <c r="N51" s="21"/>
    </row>
    <row r="52" spans="1:22" ht="31.5" customHeight="1">
      <c r="A52" s="29">
        <v>17</v>
      </c>
      <c r="B52" s="61" t="s">
        <v>151</v>
      </c>
      <c r="C52" s="62" t="s">
        <v>104</v>
      </c>
      <c r="D52" s="61" t="s">
        <v>152</v>
      </c>
      <c r="E52" s="90">
        <v>6</v>
      </c>
      <c r="F52" s="13">
        <f>E52*8/100</f>
        <v>0.48</v>
      </c>
      <c r="G52" s="63">
        <v>1547.28</v>
      </c>
      <c r="H52" s="64">
        <f>SUM(F52*G52/1000)</f>
        <v>0.74269439999999998</v>
      </c>
      <c r="I52" s="13">
        <f>G52*0.635</f>
        <v>982.52279999999996</v>
      </c>
      <c r="J52" s="23"/>
      <c r="L52" s="19"/>
      <c r="M52" s="20"/>
      <c r="N52" s="21"/>
    </row>
    <row r="53" spans="1:22" ht="15.75" hidden="1" customHeight="1">
      <c r="A53" s="91"/>
      <c r="B53" s="61" t="s">
        <v>100</v>
      </c>
      <c r="C53" s="62" t="s">
        <v>101</v>
      </c>
      <c r="D53" s="61" t="s">
        <v>41</v>
      </c>
      <c r="E53" s="47">
        <v>6</v>
      </c>
      <c r="F53" s="63">
        <v>12</v>
      </c>
      <c r="G53" s="69">
        <v>180.78</v>
      </c>
      <c r="H53" s="64">
        <f t="shared" ref="H53" si="4">SUM(F53*G53/1000)</f>
        <v>2.1693600000000002</v>
      </c>
      <c r="I53" s="13">
        <v>0</v>
      </c>
      <c r="J53" s="23"/>
      <c r="L53" s="19"/>
      <c r="M53" s="20"/>
      <c r="N53" s="21"/>
    </row>
    <row r="54" spans="1:22" ht="15.75" customHeight="1">
      <c r="A54" s="29"/>
      <c r="B54" s="82" t="s">
        <v>43</v>
      </c>
      <c r="C54" s="70"/>
      <c r="D54" s="71"/>
      <c r="E54" s="72"/>
      <c r="F54" s="74"/>
      <c r="G54" s="13"/>
      <c r="H54" s="75"/>
      <c r="I54" s="13"/>
      <c r="J54" s="23"/>
      <c r="L54" s="19"/>
      <c r="M54" s="20"/>
      <c r="N54" s="21"/>
    </row>
    <row r="55" spans="1:22" ht="15.75" customHeight="1">
      <c r="A55" s="29">
        <v>18</v>
      </c>
      <c r="B55" s="71" t="s">
        <v>96</v>
      </c>
      <c r="C55" s="70" t="s">
        <v>25</v>
      </c>
      <c r="D55" s="71"/>
      <c r="E55" s="72">
        <v>232.6</v>
      </c>
      <c r="F55" s="73">
        <f>E55*12</f>
        <v>2791.2</v>
      </c>
      <c r="G55" s="117">
        <v>1.2</v>
      </c>
      <c r="H55" s="74">
        <f>G55*F55</f>
        <v>3349.4399999999996</v>
      </c>
      <c r="I55" s="13">
        <f>2400/12*G55</f>
        <v>240</v>
      </c>
      <c r="J55" s="23"/>
      <c r="L55" s="19"/>
    </row>
    <row r="56" spans="1:22" ht="15.75" hidden="1" customHeight="1">
      <c r="A56" s="29"/>
      <c r="B56" s="82" t="s">
        <v>44</v>
      </c>
      <c r="C56" s="70"/>
      <c r="D56" s="71"/>
      <c r="E56" s="72"/>
      <c r="F56" s="73"/>
      <c r="G56" s="73"/>
      <c r="H56" s="74" t="s">
        <v>130</v>
      </c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hidden="1" customHeight="1">
      <c r="A57" s="29">
        <v>17</v>
      </c>
      <c r="B57" s="14" t="s">
        <v>45</v>
      </c>
      <c r="C57" s="16" t="s">
        <v>123</v>
      </c>
      <c r="D57" s="14" t="s">
        <v>66</v>
      </c>
      <c r="E57" s="18">
        <v>15</v>
      </c>
      <c r="F57" s="63">
        <v>15</v>
      </c>
      <c r="G57" s="13">
        <v>209.41</v>
      </c>
      <c r="H57" s="76">
        <f t="shared" ref="H57:H64" si="5">SUM(F57*G57/1000)</f>
        <v>3.1411500000000001</v>
      </c>
      <c r="I57" s="13">
        <f>G57</f>
        <v>209.41</v>
      </c>
      <c r="J57" s="25"/>
      <c r="K57" s="25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29"/>
      <c r="B58" s="14" t="s">
        <v>46</v>
      </c>
      <c r="C58" s="16" t="s">
        <v>123</v>
      </c>
      <c r="D58" s="14" t="s">
        <v>66</v>
      </c>
      <c r="E58" s="18">
        <v>5</v>
      </c>
      <c r="F58" s="63">
        <v>5</v>
      </c>
      <c r="G58" s="13">
        <v>71.790000000000006</v>
      </c>
      <c r="H58" s="76">
        <f t="shared" si="5"/>
        <v>0.35895000000000005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hidden="1" customHeight="1">
      <c r="A59" s="29"/>
      <c r="B59" s="14" t="s">
        <v>47</v>
      </c>
      <c r="C59" s="16" t="s">
        <v>124</v>
      </c>
      <c r="D59" s="14" t="s">
        <v>52</v>
      </c>
      <c r="E59" s="47">
        <v>18281</v>
      </c>
      <c r="F59" s="13">
        <f>SUM(E59/100)</f>
        <v>182.81</v>
      </c>
      <c r="G59" s="13">
        <v>199.77</v>
      </c>
      <c r="H59" s="76">
        <f t="shared" si="5"/>
        <v>36.519953700000002</v>
      </c>
      <c r="I59" s="13">
        <v>0</v>
      </c>
      <c r="J59" s="5"/>
      <c r="K59" s="5"/>
      <c r="L59" s="5"/>
      <c r="M59" s="5"/>
      <c r="N59" s="5"/>
      <c r="O59" s="5"/>
      <c r="P59" s="5"/>
      <c r="Q59" s="5"/>
      <c r="R59" s="134"/>
      <c r="S59" s="134"/>
      <c r="T59" s="134"/>
      <c r="U59" s="134"/>
    </row>
    <row r="60" spans="1:22" ht="15.75" hidden="1" customHeight="1">
      <c r="A60" s="29"/>
      <c r="B60" s="14" t="s">
        <v>48</v>
      </c>
      <c r="C60" s="16" t="s">
        <v>125</v>
      </c>
      <c r="D60" s="14"/>
      <c r="E60" s="47">
        <v>18281</v>
      </c>
      <c r="F60" s="13">
        <f>SUM(E60/1000)</f>
        <v>18.280999999999999</v>
      </c>
      <c r="G60" s="13">
        <v>155.57</v>
      </c>
      <c r="H60" s="76">
        <f t="shared" si="5"/>
        <v>2.8439751699999998</v>
      </c>
      <c r="I60" s="13">
        <v>0</v>
      </c>
    </row>
    <row r="61" spans="1:22" ht="15.75" hidden="1" customHeight="1">
      <c r="A61" s="29"/>
      <c r="B61" s="14" t="s">
        <v>49</v>
      </c>
      <c r="C61" s="16" t="s">
        <v>75</v>
      </c>
      <c r="D61" s="14" t="s">
        <v>52</v>
      </c>
      <c r="E61" s="47">
        <v>2730</v>
      </c>
      <c r="F61" s="13">
        <f>SUM(E61/100)</f>
        <v>27.3</v>
      </c>
      <c r="G61" s="13">
        <v>1953.52</v>
      </c>
      <c r="H61" s="76">
        <f t="shared" si="5"/>
        <v>53.331095999999995</v>
      </c>
      <c r="I61" s="13">
        <v>0</v>
      </c>
    </row>
    <row r="62" spans="1:22" ht="15.75" hidden="1" customHeight="1">
      <c r="A62" s="29"/>
      <c r="B62" s="77" t="s">
        <v>126</v>
      </c>
      <c r="C62" s="16" t="s">
        <v>33</v>
      </c>
      <c r="D62" s="14"/>
      <c r="E62" s="47">
        <v>16.399999999999999</v>
      </c>
      <c r="F62" s="13">
        <f>SUM(E62)</f>
        <v>16.399999999999999</v>
      </c>
      <c r="G62" s="13">
        <v>40.270000000000003</v>
      </c>
      <c r="H62" s="76">
        <f t="shared" si="5"/>
        <v>0.66042800000000002</v>
      </c>
      <c r="I62" s="13">
        <v>0</v>
      </c>
    </row>
    <row r="63" spans="1:22" ht="15.75" hidden="1" customHeight="1">
      <c r="A63" s="29"/>
      <c r="B63" s="77" t="s">
        <v>127</v>
      </c>
      <c r="C63" s="16" t="s">
        <v>33</v>
      </c>
      <c r="D63" s="14"/>
      <c r="E63" s="47">
        <v>16.399999999999999</v>
      </c>
      <c r="F63" s="13">
        <f>SUM(E63)</f>
        <v>16.399999999999999</v>
      </c>
      <c r="G63" s="13">
        <v>37.71</v>
      </c>
      <c r="H63" s="76">
        <f t="shared" si="5"/>
        <v>0.61844399999999999</v>
      </c>
      <c r="I63" s="13">
        <v>0</v>
      </c>
    </row>
    <row r="64" spans="1:22" ht="15.75" hidden="1" customHeight="1">
      <c r="A64" s="29"/>
      <c r="B64" s="14" t="s">
        <v>56</v>
      </c>
      <c r="C64" s="16" t="s">
        <v>57</v>
      </c>
      <c r="D64" s="14" t="s">
        <v>52</v>
      </c>
      <c r="E64" s="18">
        <v>7</v>
      </c>
      <c r="F64" s="63">
        <f>SUM(E64)</f>
        <v>7</v>
      </c>
      <c r="G64" s="13">
        <v>46.97</v>
      </c>
      <c r="H64" s="76">
        <f t="shared" si="5"/>
        <v>0.32878999999999997</v>
      </c>
      <c r="I64" s="13">
        <v>0</v>
      </c>
    </row>
    <row r="65" spans="1:9" ht="15.75" hidden="1" customHeight="1">
      <c r="A65" s="29"/>
      <c r="B65" s="89" t="s">
        <v>72</v>
      </c>
      <c r="C65" s="16"/>
      <c r="D65" s="14"/>
      <c r="E65" s="18"/>
      <c r="F65" s="13"/>
      <c r="G65" s="13"/>
      <c r="H65" s="76" t="s">
        <v>130</v>
      </c>
      <c r="I65" s="13"/>
    </row>
    <row r="66" spans="1:9" ht="15.75" hidden="1" customHeight="1">
      <c r="A66" s="29"/>
      <c r="B66" s="14" t="s">
        <v>88</v>
      </c>
      <c r="C66" s="16" t="s">
        <v>31</v>
      </c>
      <c r="D66" s="14"/>
      <c r="E66" s="18">
        <v>1</v>
      </c>
      <c r="F66" s="63">
        <f>SUM(E66)</f>
        <v>1</v>
      </c>
      <c r="G66" s="13">
        <v>337.58</v>
      </c>
      <c r="H66" s="76">
        <f t="shared" ref="H66" si="6">SUM(F66*G66/1000)</f>
        <v>0.33757999999999999</v>
      </c>
      <c r="I66" s="13">
        <v>0</v>
      </c>
    </row>
    <row r="67" spans="1:9" ht="15.75" hidden="1" customHeight="1">
      <c r="A67" s="29"/>
      <c r="B67" s="14" t="s">
        <v>73</v>
      </c>
      <c r="C67" s="16" t="s">
        <v>31</v>
      </c>
      <c r="D67" s="14"/>
      <c r="E67" s="18">
        <v>2</v>
      </c>
      <c r="F67" s="13">
        <v>2</v>
      </c>
      <c r="G67" s="13">
        <v>803.19</v>
      </c>
      <c r="H67" s="76">
        <f>F67*G67/1000</f>
        <v>1.6063800000000001</v>
      </c>
      <c r="I67" s="13">
        <v>0</v>
      </c>
    </row>
    <row r="68" spans="1:9" ht="15.75" hidden="1" customHeight="1">
      <c r="A68" s="29"/>
      <c r="B68" s="78" t="s">
        <v>74</v>
      </c>
      <c r="C68" s="16"/>
      <c r="D68" s="14"/>
      <c r="E68" s="18"/>
      <c r="F68" s="13"/>
      <c r="G68" s="13" t="s">
        <v>130</v>
      </c>
      <c r="H68" s="76" t="s">
        <v>130</v>
      </c>
      <c r="I68" s="13"/>
    </row>
    <row r="69" spans="1:9" ht="15.75" hidden="1" customHeight="1">
      <c r="A69" s="29"/>
      <c r="B69" s="42" t="s">
        <v>131</v>
      </c>
      <c r="C69" s="16" t="s">
        <v>75</v>
      </c>
      <c r="D69" s="14"/>
      <c r="E69" s="18"/>
      <c r="F69" s="13">
        <v>1.35</v>
      </c>
      <c r="G69" s="13">
        <v>2494</v>
      </c>
      <c r="H69" s="76">
        <f t="shared" ref="H69" si="7">SUM(F69*G69/1000)</f>
        <v>3.3669000000000002</v>
      </c>
      <c r="I69" s="13">
        <v>0</v>
      </c>
    </row>
    <row r="70" spans="1:9" ht="15.75" hidden="1" customHeight="1">
      <c r="A70" s="29"/>
      <c r="B70" s="65" t="s">
        <v>128</v>
      </c>
      <c r="C70" s="78"/>
      <c r="D70" s="31"/>
      <c r="E70" s="32"/>
      <c r="F70" s="66"/>
      <c r="G70" s="66"/>
      <c r="H70" s="79">
        <f>SUM(H52:H69)</f>
        <v>3455.4657012699995</v>
      </c>
      <c r="I70" s="66"/>
    </row>
    <row r="71" spans="1:9" ht="15.75" hidden="1" customHeight="1">
      <c r="A71" s="29"/>
      <c r="B71" s="61" t="s">
        <v>129</v>
      </c>
      <c r="C71" s="16"/>
      <c r="D71" s="14"/>
      <c r="E71" s="56"/>
      <c r="F71" s="13">
        <v>1</v>
      </c>
      <c r="G71" s="13">
        <v>17359.8</v>
      </c>
      <c r="H71" s="76">
        <f>G71*F71/1000</f>
        <v>17.3598</v>
      </c>
      <c r="I71" s="13">
        <v>0</v>
      </c>
    </row>
    <row r="72" spans="1:9" ht="15.75" customHeight="1">
      <c r="A72" s="135" t="s">
        <v>135</v>
      </c>
      <c r="B72" s="136"/>
      <c r="C72" s="136"/>
      <c r="D72" s="136"/>
      <c r="E72" s="136"/>
      <c r="F72" s="136"/>
      <c r="G72" s="136"/>
      <c r="H72" s="136"/>
      <c r="I72" s="137"/>
    </row>
    <row r="73" spans="1:9" ht="15.75" customHeight="1">
      <c r="A73" s="29">
        <v>19</v>
      </c>
      <c r="B73" s="61" t="s">
        <v>132</v>
      </c>
      <c r="C73" s="16" t="s">
        <v>53</v>
      </c>
      <c r="D73" s="80" t="s">
        <v>54</v>
      </c>
      <c r="E73" s="13">
        <v>4224.3999999999996</v>
      </c>
      <c r="F73" s="13">
        <f>SUM(E73*12)</f>
        <v>50692.799999999996</v>
      </c>
      <c r="G73" s="13">
        <v>2.1</v>
      </c>
      <c r="H73" s="76">
        <f>SUM(F73*G73/1000)</f>
        <v>106.45487999999999</v>
      </c>
      <c r="I73" s="13">
        <f>F73/12*G73</f>
        <v>8871.24</v>
      </c>
    </row>
    <row r="74" spans="1:9" ht="31.5" customHeight="1">
      <c r="A74" s="29">
        <v>20</v>
      </c>
      <c r="B74" s="14" t="s">
        <v>76</v>
      </c>
      <c r="C74" s="16"/>
      <c r="D74" s="80" t="s">
        <v>54</v>
      </c>
      <c r="E74" s="47">
        <v>4224.3999999999996</v>
      </c>
      <c r="F74" s="13">
        <f>E74*12</f>
        <v>50692.799999999996</v>
      </c>
      <c r="G74" s="13">
        <v>1.63</v>
      </c>
      <c r="H74" s="76">
        <f>F74*G74/1000</f>
        <v>82.629263999999978</v>
      </c>
      <c r="I74" s="13">
        <f>F74/12*G74</f>
        <v>6885.771999999999</v>
      </c>
    </row>
    <row r="75" spans="1:9" ht="15.75" customHeight="1">
      <c r="A75" s="87"/>
      <c r="B75" s="34" t="s">
        <v>79</v>
      </c>
      <c r="C75" s="35"/>
      <c r="D75" s="15"/>
      <c r="E75" s="15"/>
      <c r="F75" s="15"/>
      <c r="G75" s="18"/>
      <c r="H75" s="18"/>
      <c r="I75" s="32">
        <f>I74+I73+I55+I52+I48+I47+I46+I44+I43+I42+I41+I39+I38+I27+I26+I21+I20+I18+I17+I16</f>
        <v>79929.679871333341</v>
      </c>
    </row>
    <row r="76" spans="1:9" ht="15.75" customHeight="1">
      <c r="A76" s="153" t="s">
        <v>59</v>
      </c>
      <c r="B76" s="154"/>
      <c r="C76" s="154"/>
      <c r="D76" s="154"/>
      <c r="E76" s="154"/>
      <c r="F76" s="154"/>
      <c r="G76" s="154"/>
      <c r="H76" s="154"/>
      <c r="I76" s="155"/>
    </row>
    <row r="77" spans="1:9" ht="15.75" customHeight="1">
      <c r="A77" s="29">
        <v>21</v>
      </c>
      <c r="B77" s="102" t="s">
        <v>200</v>
      </c>
      <c r="C77" s="126" t="s">
        <v>154</v>
      </c>
      <c r="D77" s="42"/>
      <c r="E77" s="13"/>
      <c r="F77" s="13">
        <f>(3*7+5+10+10+10+10+20+20+5+10+20+3)/3</f>
        <v>48</v>
      </c>
      <c r="G77" s="103">
        <v>1253.56</v>
      </c>
      <c r="H77" s="76">
        <f t="shared" ref="H77:H79" si="8">G77*F77/1000</f>
        <v>60.170879999999997</v>
      </c>
      <c r="I77" s="13">
        <f>G77*1</f>
        <v>1253.56</v>
      </c>
    </row>
    <row r="78" spans="1:9" ht="15.75" customHeight="1">
      <c r="A78" s="29">
        <v>22</v>
      </c>
      <c r="B78" s="102" t="s">
        <v>184</v>
      </c>
      <c r="C78" s="126" t="s">
        <v>153</v>
      </c>
      <c r="D78" s="42"/>
      <c r="E78" s="13"/>
      <c r="F78" s="13">
        <v>640</v>
      </c>
      <c r="G78" s="103">
        <v>134.12</v>
      </c>
      <c r="H78" s="76">
        <f t="shared" si="8"/>
        <v>85.836799999999997</v>
      </c>
      <c r="I78" s="13">
        <f>G78*7</f>
        <v>938.84</v>
      </c>
    </row>
    <row r="79" spans="1:9" ht="19.5" customHeight="1">
      <c r="A79" s="29">
        <v>23</v>
      </c>
      <c r="B79" s="102" t="s">
        <v>201</v>
      </c>
      <c r="C79" s="126" t="s">
        <v>154</v>
      </c>
      <c r="D79" s="42"/>
      <c r="E79" s="13"/>
      <c r="F79" s="13">
        <v>4</v>
      </c>
      <c r="G79" s="103">
        <v>377</v>
      </c>
      <c r="H79" s="76">
        <f t="shared" si="8"/>
        <v>1.508</v>
      </c>
      <c r="I79" s="13">
        <f>G79*1</f>
        <v>377</v>
      </c>
    </row>
    <row r="80" spans="1:9" ht="33" customHeight="1">
      <c r="A80" s="29">
        <v>24</v>
      </c>
      <c r="B80" s="46" t="s">
        <v>89</v>
      </c>
      <c r="C80" s="48" t="s">
        <v>92</v>
      </c>
      <c r="D80" s="42"/>
      <c r="E80" s="13"/>
      <c r="F80" s="13">
        <v>4</v>
      </c>
      <c r="G80" s="103">
        <v>613.44000000000005</v>
      </c>
      <c r="H80" s="76">
        <f>G80*F80/1000</f>
        <v>2.4537600000000004</v>
      </c>
      <c r="I80" s="13">
        <f>G80*1</f>
        <v>613.44000000000005</v>
      </c>
    </row>
    <row r="81" spans="1:9" ht="15.75" customHeight="1">
      <c r="A81" s="29">
        <v>25</v>
      </c>
      <c r="B81" s="100" t="s">
        <v>202</v>
      </c>
      <c r="C81" s="101" t="s">
        <v>113</v>
      </c>
      <c r="D81" s="42"/>
      <c r="E81" s="13"/>
      <c r="F81" s="13"/>
      <c r="G81" s="103">
        <v>1213.55</v>
      </c>
      <c r="H81" s="76"/>
      <c r="I81" s="13">
        <f>G81*1.1506</f>
        <v>1396.3106299999999</v>
      </c>
    </row>
    <row r="82" spans="1:9" ht="33.75" customHeight="1">
      <c r="A82" s="29">
        <v>26</v>
      </c>
      <c r="B82" s="46" t="s">
        <v>139</v>
      </c>
      <c r="C82" s="48" t="s">
        <v>37</v>
      </c>
      <c r="D82" s="42"/>
      <c r="E82" s="13"/>
      <c r="F82" s="13"/>
      <c r="G82" s="103">
        <v>3724.37</v>
      </c>
      <c r="H82" s="76"/>
      <c r="I82" s="13">
        <f>G82*0.01</f>
        <v>37.243699999999997</v>
      </c>
    </row>
    <row r="83" spans="1:9" ht="15.75" customHeight="1">
      <c r="A83" s="29" t="s">
        <v>218</v>
      </c>
      <c r="B83" s="100" t="s">
        <v>158</v>
      </c>
      <c r="C83" s="101" t="s">
        <v>123</v>
      </c>
      <c r="D83" s="42"/>
      <c r="E83" s="13"/>
      <c r="F83" s="13"/>
      <c r="G83" s="103">
        <v>55.55</v>
      </c>
      <c r="H83" s="76"/>
      <c r="I83" s="13">
        <f>G83*80</f>
        <v>4444</v>
      </c>
    </row>
    <row r="84" spans="1:9" ht="15.75" customHeight="1">
      <c r="A84" s="29">
        <v>28</v>
      </c>
      <c r="B84" s="100" t="s">
        <v>203</v>
      </c>
      <c r="C84" s="101" t="s">
        <v>153</v>
      </c>
      <c r="D84" s="42"/>
      <c r="E84" s="13"/>
      <c r="F84" s="13"/>
      <c r="G84" s="103">
        <v>1272</v>
      </c>
      <c r="H84" s="76"/>
      <c r="I84" s="13">
        <f>G84*7</f>
        <v>8904</v>
      </c>
    </row>
    <row r="85" spans="1:9" ht="15.75" customHeight="1">
      <c r="A85" s="29">
        <v>29</v>
      </c>
      <c r="B85" s="100" t="s">
        <v>204</v>
      </c>
      <c r="C85" s="101" t="s">
        <v>123</v>
      </c>
      <c r="D85" s="42"/>
      <c r="E85" s="13"/>
      <c r="F85" s="13"/>
      <c r="G85" s="103">
        <v>8.44</v>
      </c>
      <c r="H85" s="76"/>
      <c r="I85" s="13">
        <f>G85*7</f>
        <v>59.08</v>
      </c>
    </row>
    <row r="86" spans="1:9" ht="15.75" customHeight="1">
      <c r="A86" s="29">
        <v>30</v>
      </c>
      <c r="B86" s="100" t="s">
        <v>205</v>
      </c>
      <c r="C86" s="101" t="s">
        <v>123</v>
      </c>
      <c r="D86" s="42"/>
      <c r="E86" s="13"/>
      <c r="F86" s="13"/>
      <c r="G86" s="103">
        <v>5.42</v>
      </c>
      <c r="H86" s="76"/>
      <c r="I86" s="13">
        <f>G86*3</f>
        <v>16.259999999999998</v>
      </c>
    </row>
    <row r="87" spans="1:9" ht="15.75" customHeight="1">
      <c r="A87" s="29">
        <v>31</v>
      </c>
      <c r="B87" s="100" t="s">
        <v>206</v>
      </c>
      <c r="C87" s="101" t="s">
        <v>123</v>
      </c>
      <c r="D87" s="42"/>
      <c r="E87" s="13"/>
      <c r="F87" s="13"/>
      <c r="G87" s="103">
        <v>12.8</v>
      </c>
      <c r="H87" s="76"/>
      <c r="I87" s="13">
        <f>G87*1</f>
        <v>12.8</v>
      </c>
    </row>
    <row r="88" spans="1:9" ht="15.75" customHeight="1">
      <c r="A88" s="29">
        <v>32</v>
      </c>
      <c r="B88" s="100" t="s">
        <v>207</v>
      </c>
      <c r="C88" s="101" t="s">
        <v>123</v>
      </c>
      <c r="D88" s="42"/>
      <c r="E88" s="13"/>
      <c r="F88" s="13"/>
      <c r="G88" s="103">
        <v>169.24</v>
      </c>
      <c r="H88" s="76"/>
      <c r="I88" s="13">
        <f>G88*3</f>
        <v>507.72</v>
      </c>
    </row>
    <row r="89" spans="1:9" ht="15.75" customHeight="1">
      <c r="A89" s="29">
        <v>33</v>
      </c>
      <c r="B89" s="100" t="s">
        <v>208</v>
      </c>
      <c r="C89" s="101" t="s">
        <v>123</v>
      </c>
      <c r="D89" s="42"/>
      <c r="E89" s="13"/>
      <c r="F89" s="13"/>
      <c r="G89" s="103">
        <v>55.46</v>
      </c>
      <c r="H89" s="76"/>
      <c r="I89" s="13">
        <f>G89*2</f>
        <v>110.92</v>
      </c>
    </row>
    <row r="90" spans="1:9" ht="15.75" customHeight="1">
      <c r="A90" s="29">
        <v>34</v>
      </c>
      <c r="B90" s="46" t="s">
        <v>169</v>
      </c>
      <c r="C90" s="48" t="s">
        <v>80</v>
      </c>
      <c r="D90" s="42"/>
      <c r="E90" s="13"/>
      <c r="F90" s="13"/>
      <c r="G90" s="103">
        <f>1187</f>
        <v>1187</v>
      </c>
      <c r="H90" s="76"/>
      <c r="I90" s="13">
        <f>G90*2</f>
        <v>2374</v>
      </c>
    </row>
    <row r="91" spans="1:9" ht="15.75" customHeight="1">
      <c r="A91" s="29">
        <v>35</v>
      </c>
      <c r="B91" s="46" t="s">
        <v>209</v>
      </c>
      <c r="C91" s="48" t="s">
        <v>123</v>
      </c>
      <c r="D91" s="42"/>
      <c r="E91" s="13"/>
      <c r="F91" s="13"/>
      <c r="G91" s="103">
        <v>23.29</v>
      </c>
      <c r="H91" s="76"/>
      <c r="I91" s="13">
        <f>G91*1</f>
        <v>23.29</v>
      </c>
    </row>
    <row r="92" spans="1:9" ht="15.75" customHeight="1">
      <c r="A92" s="29">
        <v>36</v>
      </c>
      <c r="B92" s="46" t="s">
        <v>210</v>
      </c>
      <c r="C92" s="48" t="s">
        <v>123</v>
      </c>
      <c r="D92" s="42"/>
      <c r="E92" s="13"/>
      <c r="F92" s="13"/>
      <c r="G92" s="103">
        <v>5.42</v>
      </c>
      <c r="H92" s="76"/>
      <c r="I92" s="13">
        <f>G92*3</f>
        <v>16.259999999999998</v>
      </c>
    </row>
    <row r="93" spans="1:9" ht="15.75" customHeight="1">
      <c r="A93" s="29">
        <v>37</v>
      </c>
      <c r="B93" s="46" t="s">
        <v>211</v>
      </c>
      <c r="C93" s="48" t="s">
        <v>123</v>
      </c>
      <c r="D93" s="42"/>
      <c r="E93" s="13"/>
      <c r="F93" s="13"/>
      <c r="G93" s="103">
        <v>4.46</v>
      </c>
      <c r="H93" s="76"/>
      <c r="I93" s="13">
        <f>G93*2</f>
        <v>8.92</v>
      </c>
    </row>
    <row r="94" spans="1:9" ht="15.75" customHeight="1">
      <c r="A94" s="29">
        <v>38</v>
      </c>
      <c r="B94" s="46" t="s">
        <v>212</v>
      </c>
      <c r="C94" s="48" t="s">
        <v>123</v>
      </c>
      <c r="D94" s="42"/>
      <c r="E94" s="13"/>
      <c r="F94" s="13"/>
      <c r="G94" s="103">
        <v>95.25</v>
      </c>
      <c r="H94" s="76"/>
      <c r="I94" s="13">
        <f>G94*1</f>
        <v>95.25</v>
      </c>
    </row>
    <row r="95" spans="1:9" ht="15.75" customHeight="1">
      <c r="A95" s="29">
        <v>39</v>
      </c>
      <c r="B95" s="14" t="s">
        <v>213</v>
      </c>
      <c r="C95" s="16" t="s">
        <v>108</v>
      </c>
      <c r="D95" s="42"/>
      <c r="E95" s="13"/>
      <c r="F95" s="13"/>
      <c r="G95" s="103">
        <v>343.88</v>
      </c>
      <c r="H95" s="76"/>
      <c r="I95" s="13">
        <f>G95*0.4</f>
        <v>137.55199999999999</v>
      </c>
    </row>
    <row r="96" spans="1:9" ht="15.75" customHeight="1">
      <c r="A96" s="29">
        <v>40</v>
      </c>
      <c r="B96" s="14" t="s">
        <v>214</v>
      </c>
      <c r="C96" s="16" t="s">
        <v>108</v>
      </c>
      <c r="D96" s="42"/>
      <c r="E96" s="13"/>
      <c r="F96" s="13"/>
      <c r="G96" s="103">
        <v>2538.9299999999998</v>
      </c>
      <c r="H96" s="76"/>
      <c r="I96" s="13">
        <f>G96*0.4</f>
        <v>1015.572</v>
      </c>
    </row>
    <row r="97" spans="1:9" ht="15.75" customHeight="1">
      <c r="A97" s="29">
        <v>41</v>
      </c>
      <c r="B97" s="14" t="s">
        <v>215</v>
      </c>
      <c r="C97" s="16" t="s">
        <v>153</v>
      </c>
      <c r="D97" s="42"/>
      <c r="E97" s="13"/>
      <c r="F97" s="13"/>
      <c r="G97" s="103">
        <v>202.21</v>
      </c>
      <c r="H97" s="76"/>
      <c r="I97" s="13">
        <f>G97*0.5</f>
        <v>101.105</v>
      </c>
    </row>
    <row r="98" spans="1:9" ht="46.5" customHeight="1">
      <c r="A98" s="29">
        <v>42</v>
      </c>
      <c r="B98" s="100" t="s">
        <v>216</v>
      </c>
      <c r="C98" s="101" t="s">
        <v>108</v>
      </c>
      <c r="D98" s="42"/>
      <c r="E98" s="13"/>
      <c r="F98" s="13"/>
      <c r="G98" s="103">
        <v>7987.62</v>
      </c>
      <c r="H98" s="76"/>
      <c r="I98" s="13">
        <f>G98*0.4</f>
        <v>3195.0480000000002</v>
      </c>
    </row>
    <row r="99" spans="1:9" ht="15.75" customHeight="1">
      <c r="A99" s="29"/>
      <c r="B99" s="40" t="s">
        <v>50</v>
      </c>
      <c r="C99" s="36"/>
      <c r="D99" s="44"/>
      <c r="E99" s="36">
        <v>1</v>
      </c>
      <c r="F99" s="36"/>
      <c r="G99" s="36"/>
      <c r="H99" s="36"/>
      <c r="I99" s="32">
        <f>I98+I97+I96+I95+I94+I93+I92+I91+I90+I89+I88+I87+I86+I85+I84+I82+I81+I80+I79+I78+I77</f>
        <v>21194.171330000001</v>
      </c>
    </row>
    <row r="100" spans="1:9" ht="15.75" customHeight="1">
      <c r="A100" s="29"/>
      <c r="B100" s="42" t="s">
        <v>77</v>
      </c>
      <c r="C100" s="15"/>
      <c r="D100" s="15"/>
      <c r="E100" s="37"/>
      <c r="F100" s="37"/>
      <c r="G100" s="38"/>
      <c r="H100" s="38"/>
      <c r="I100" s="17">
        <v>0</v>
      </c>
    </row>
    <row r="101" spans="1:9" ht="15.75" customHeight="1">
      <c r="A101" s="45"/>
      <c r="B101" s="41" t="s">
        <v>145</v>
      </c>
      <c r="C101" s="33"/>
      <c r="D101" s="33"/>
      <c r="E101" s="33"/>
      <c r="F101" s="33"/>
      <c r="G101" s="33"/>
      <c r="H101" s="33"/>
      <c r="I101" s="39">
        <f>I75+I99</f>
        <v>101123.85120133334</v>
      </c>
    </row>
    <row r="102" spans="1:9" ht="15.75" customHeight="1">
      <c r="A102" s="122" t="s">
        <v>218</v>
      </c>
      <c r="B102" s="125" t="s">
        <v>217</v>
      </c>
      <c r="C102" s="123"/>
      <c r="D102" s="123"/>
      <c r="E102" s="123"/>
      <c r="F102" s="123"/>
      <c r="G102" s="123"/>
      <c r="H102" s="123"/>
      <c r="I102" s="124"/>
    </row>
    <row r="103" spans="1:9" ht="15.75" customHeight="1">
      <c r="A103" s="149" t="s">
        <v>260</v>
      </c>
      <c r="B103" s="149"/>
      <c r="C103" s="149"/>
      <c r="D103" s="149"/>
      <c r="E103" s="149"/>
      <c r="F103" s="149"/>
      <c r="G103" s="149"/>
      <c r="H103" s="149"/>
      <c r="I103" s="149"/>
    </row>
    <row r="104" spans="1:9" ht="15.75" customHeight="1">
      <c r="A104" s="55"/>
      <c r="B104" s="150" t="s">
        <v>261</v>
      </c>
      <c r="C104" s="150"/>
      <c r="D104" s="150"/>
      <c r="E104" s="150"/>
      <c r="F104" s="150"/>
      <c r="G104" s="150"/>
      <c r="H104" s="60"/>
      <c r="I104" s="3"/>
    </row>
    <row r="105" spans="1:9" ht="15.75" customHeight="1">
      <c r="A105" s="85"/>
      <c r="B105" s="151" t="s">
        <v>6</v>
      </c>
      <c r="C105" s="151"/>
      <c r="D105" s="151"/>
      <c r="E105" s="151"/>
      <c r="F105" s="151"/>
      <c r="G105" s="151"/>
      <c r="H105" s="24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152" t="s">
        <v>7</v>
      </c>
      <c r="B107" s="152"/>
      <c r="C107" s="152"/>
      <c r="D107" s="152"/>
      <c r="E107" s="152"/>
      <c r="F107" s="152"/>
      <c r="G107" s="152"/>
      <c r="H107" s="152"/>
      <c r="I107" s="152"/>
    </row>
    <row r="108" spans="1:9" ht="15.75" customHeight="1">
      <c r="A108" s="152" t="s">
        <v>8</v>
      </c>
      <c r="B108" s="152"/>
      <c r="C108" s="152"/>
      <c r="D108" s="152"/>
      <c r="E108" s="152"/>
      <c r="F108" s="152"/>
      <c r="G108" s="152"/>
      <c r="H108" s="152"/>
      <c r="I108" s="152"/>
    </row>
    <row r="109" spans="1:9" ht="15.75" customHeight="1">
      <c r="A109" s="144" t="s">
        <v>60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15.75" customHeight="1">
      <c r="A110" s="11"/>
    </row>
    <row r="111" spans="1:9" ht="15.75" customHeight="1">
      <c r="A111" s="159" t="s">
        <v>9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15.75" customHeight="1">
      <c r="A112" s="4"/>
    </row>
    <row r="113" spans="1:9" ht="15.75" customHeight="1">
      <c r="B113" s="86" t="s">
        <v>10</v>
      </c>
      <c r="C113" s="160" t="s">
        <v>90</v>
      </c>
      <c r="D113" s="160"/>
      <c r="E113" s="160"/>
      <c r="F113" s="58"/>
      <c r="I113" s="84"/>
    </row>
    <row r="114" spans="1:9" ht="15.75" customHeight="1">
      <c r="A114" s="85"/>
      <c r="C114" s="151" t="s">
        <v>11</v>
      </c>
      <c r="D114" s="151"/>
      <c r="E114" s="151"/>
      <c r="F114" s="24"/>
      <c r="I114" s="83" t="s">
        <v>12</v>
      </c>
    </row>
    <row r="115" spans="1:9" ht="15.75" customHeight="1">
      <c r="A115" s="25"/>
      <c r="C115" s="12"/>
      <c r="D115" s="12"/>
      <c r="G115" s="12"/>
      <c r="H115" s="12"/>
    </row>
    <row r="116" spans="1:9" ht="15.75" customHeight="1">
      <c r="B116" s="86" t="s">
        <v>13</v>
      </c>
      <c r="C116" s="161"/>
      <c r="D116" s="161"/>
      <c r="E116" s="161"/>
      <c r="F116" s="59"/>
      <c r="I116" s="84"/>
    </row>
    <row r="117" spans="1:9" ht="15.75" customHeight="1">
      <c r="A117" s="85"/>
      <c r="C117" s="134" t="s">
        <v>11</v>
      </c>
      <c r="D117" s="134"/>
      <c r="E117" s="134"/>
      <c r="F117" s="85"/>
      <c r="I117" s="83" t="s">
        <v>12</v>
      </c>
    </row>
    <row r="118" spans="1:9" ht="15.75" customHeight="1">
      <c r="A118" s="4" t="s">
        <v>14</v>
      </c>
    </row>
    <row r="119" spans="1:9" ht="15.75" customHeight="1">
      <c r="A119" s="162" t="s">
        <v>15</v>
      </c>
      <c r="B119" s="162"/>
      <c r="C119" s="162"/>
      <c r="D119" s="162"/>
      <c r="E119" s="162"/>
      <c r="F119" s="162"/>
      <c r="G119" s="162"/>
      <c r="H119" s="162"/>
      <c r="I119" s="162"/>
    </row>
    <row r="120" spans="1:9" ht="45" customHeight="1">
      <c r="A120" s="158" t="s">
        <v>16</v>
      </c>
      <c r="B120" s="158"/>
      <c r="C120" s="158"/>
      <c r="D120" s="158"/>
      <c r="E120" s="158"/>
      <c r="F120" s="158"/>
      <c r="G120" s="158"/>
      <c r="H120" s="158"/>
      <c r="I120" s="158"/>
    </row>
    <row r="121" spans="1:9" ht="30" customHeight="1">
      <c r="A121" s="158" t="s">
        <v>17</v>
      </c>
      <c r="B121" s="158"/>
      <c r="C121" s="158"/>
      <c r="D121" s="158"/>
      <c r="E121" s="158"/>
      <c r="F121" s="158"/>
      <c r="G121" s="158"/>
      <c r="H121" s="158"/>
      <c r="I121" s="158"/>
    </row>
    <row r="122" spans="1:9" ht="30" customHeight="1">
      <c r="A122" s="158" t="s">
        <v>21</v>
      </c>
      <c r="B122" s="158"/>
      <c r="C122" s="158"/>
      <c r="D122" s="158"/>
      <c r="E122" s="158"/>
      <c r="F122" s="158"/>
      <c r="G122" s="158"/>
      <c r="H122" s="158"/>
      <c r="I122" s="158"/>
    </row>
    <row r="123" spans="1:9" ht="15" customHeight="1">
      <c r="A123" s="158" t="s">
        <v>20</v>
      </c>
      <c r="B123" s="158"/>
      <c r="C123" s="158"/>
      <c r="D123" s="158"/>
      <c r="E123" s="158"/>
      <c r="F123" s="158"/>
      <c r="G123" s="158"/>
      <c r="H123" s="158"/>
      <c r="I123" s="158"/>
    </row>
  </sheetData>
  <autoFilter ref="I12:I55"/>
  <mergeCells count="29">
    <mergeCell ref="A119:I119"/>
    <mergeCell ref="A120:I120"/>
    <mergeCell ref="A121:I121"/>
    <mergeCell ref="A122:I122"/>
    <mergeCell ref="A123:I123"/>
    <mergeCell ref="R59:U59"/>
    <mergeCell ref="C117:E117"/>
    <mergeCell ref="A76:I76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72:I72"/>
    <mergeCell ref="A3:I3"/>
    <mergeCell ref="A4:I4"/>
    <mergeCell ref="A5:I5"/>
    <mergeCell ref="A8:I8"/>
    <mergeCell ref="A10:I10"/>
    <mergeCell ref="A14:I14"/>
    <mergeCell ref="A15:I15"/>
    <mergeCell ref="A28:I28"/>
    <mergeCell ref="A50:I50"/>
    <mergeCell ref="A45:I4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K85" sqref="K8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167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224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43251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F19*G19</f>
        <v>653.4144</v>
      </c>
      <c r="J19" s="22"/>
      <c r="K19" s="8"/>
      <c r="L19" s="8"/>
      <c r="M19" s="8"/>
    </row>
    <row r="20" spans="1:13" ht="15.75" customHeight="1">
      <c r="A20" s="29">
        <v>5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6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10</v>
      </c>
      <c r="B25" s="61" t="s">
        <v>63</v>
      </c>
      <c r="C25" s="62" t="s">
        <v>33</v>
      </c>
      <c r="D25" s="61" t="s">
        <v>137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11</v>
      </c>
      <c r="B26" s="68" t="s">
        <v>23</v>
      </c>
      <c r="C26" s="62" t="s">
        <v>24</v>
      </c>
      <c r="D26" s="68" t="s">
        <v>137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12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3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13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15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16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ref="H34:H35" si="4">SUM(F34*G34/1000)</f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4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5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5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5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5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5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5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5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customHeight="1">
      <c r="A45" s="29">
        <v>17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6">SUM(F45*G45/1000)</f>
        <v>1.9548463879999998</v>
      </c>
      <c r="I45" s="13">
        <f t="shared" ref="I45:I47" si="7">F45/2*G45</f>
        <v>977.42319399999985</v>
      </c>
      <c r="J45" s="23"/>
      <c r="L45" s="19"/>
      <c r="M45" s="20"/>
      <c r="N45" s="21"/>
    </row>
    <row r="46" spans="1:14" ht="15.75" customHeight="1">
      <c r="A46" s="29">
        <v>18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6"/>
        <v>0.12628028159999999</v>
      </c>
      <c r="I46" s="13">
        <f t="shared" si="7"/>
        <v>63.140140799999998</v>
      </c>
      <c r="J46" s="23"/>
      <c r="L46" s="19"/>
      <c r="M46" s="20"/>
      <c r="N46" s="21"/>
    </row>
    <row r="47" spans="1:14" ht="15.75" customHeight="1">
      <c r="A47" s="29">
        <v>19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6"/>
        <v>4.895910623999999</v>
      </c>
      <c r="I47" s="13">
        <f t="shared" si="7"/>
        <v>2447.9553119999996</v>
      </c>
      <c r="J47" s="23"/>
      <c r="L47" s="19"/>
      <c r="M47" s="20"/>
      <c r="N47" s="21"/>
    </row>
    <row r="48" spans="1:14" ht="15.75" customHeight="1">
      <c r="A48" s="29">
        <v>20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6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21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6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6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6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6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6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134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8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22</v>
      </c>
      <c r="B59" s="71" t="s">
        <v>96</v>
      </c>
      <c r="C59" s="70" t="s">
        <v>25</v>
      </c>
      <c r="D59" s="71"/>
      <c r="E59" s="72">
        <v>232.6</v>
      </c>
      <c r="F59" s="73">
        <f>E59*12</f>
        <v>2791.2</v>
      </c>
      <c r="G59" s="92">
        <v>1.2</v>
      </c>
      <c r="H59" s="74">
        <f>G59*F59</f>
        <v>3349.4399999999996</v>
      </c>
      <c r="I59" s="13">
        <f>2400/12*G59</f>
        <v>240</v>
      </c>
      <c r="J59" s="23"/>
      <c r="L59" s="19"/>
    </row>
    <row r="60" spans="1:22" ht="15.75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23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9">SUM(F61*G61/1000)</f>
        <v>3.1411500000000001</v>
      </c>
      <c r="I61" s="13">
        <f>G61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9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9"/>
        <v>2.8439751699999998</v>
      </c>
      <c r="I64" s="13">
        <f t="shared" ref="I64:I67" si="10">F64*G64</f>
        <v>2843.9751699999997</v>
      </c>
    </row>
    <row r="65" spans="1:9" ht="15.75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9"/>
        <v>53.331095999999995</v>
      </c>
      <c r="I65" s="13">
        <f t="shared" si="10"/>
        <v>53331.095999999998</v>
      </c>
    </row>
    <row r="66" spans="1:9" ht="15.75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9"/>
        <v>0.66042800000000002</v>
      </c>
      <c r="I66" s="13">
        <f t="shared" si="10"/>
        <v>660.428</v>
      </c>
    </row>
    <row r="67" spans="1:9" ht="15.75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9"/>
        <v>0.61844399999999999</v>
      </c>
      <c r="I67" s="13">
        <f t="shared" si="10"/>
        <v>618.44399999999996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9"/>
        <v>0.32878999999999997</v>
      </c>
      <c r="I68" s="13">
        <v>0</v>
      </c>
    </row>
    <row r="69" spans="1:9" ht="15.75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1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2">SUM(F73*G73/1000)</f>
        <v>3.3669000000000002</v>
      </c>
      <c r="I73" s="13">
        <v>0</v>
      </c>
    </row>
    <row r="74" spans="1:9" ht="15.7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3455.4657012699995</v>
      </c>
      <c r="I74" s="66"/>
    </row>
    <row r="75" spans="1:9" ht="15.7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135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29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30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I78+I77+I67+I66+I65+I64+I63+I61+I59+I49+I48+I47+I46+I45+I33+I32+I31+I30+I29+I26+I25+I24+I23+I22+I21+I20+I19+I18+I17+I16</f>
        <v>166462.26644735559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32.25" customHeight="1">
      <c r="A81" s="29">
        <v>31</v>
      </c>
      <c r="B81" s="127" t="s">
        <v>227</v>
      </c>
      <c r="C81" s="128" t="s">
        <v>92</v>
      </c>
      <c r="D81" s="102"/>
      <c r="E81" s="103"/>
      <c r="F81" s="103">
        <f>(3*7+5+10+10+10+10+20+20+5+10+20+3)/3</f>
        <v>48</v>
      </c>
      <c r="G81" s="118">
        <v>546.01</v>
      </c>
      <c r="H81" s="104">
        <f t="shared" ref="H81:H82" si="13">G81*F81/1000</f>
        <v>26.208479999999998</v>
      </c>
      <c r="I81" s="13">
        <f>G81*1</f>
        <v>546.01</v>
      </c>
    </row>
    <row r="82" spans="1:9" ht="15.75" customHeight="1">
      <c r="A82" s="29" t="s">
        <v>225</v>
      </c>
      <c r="B82" s="100" t="s">
        <v>158</v>
      </c>
      <c r="C82" s="101" t="s">
        <v>123</v>
      </c>
      <c r="D82" s="42"/>
      <c r="E82" s="103"/>
      <c r="F82" s="103">
        <v>640</v>
      </c>
      <c r="G82" s="103">
        <v>55.55</v>
      </c>
      <c r="H82" s="104">
        <f t="shared" si="13"/>
        <v>35.552</v>
      </c>
      <c r="I82" s="13">
        <f>G82*80</f>
        <v>4444</v>
      </c>
    </row>
    <row r="83" spans="1:9" ht="31.5" customHeight="1">
      <c r="A83" s="29">
        <v>33</v>
      </c>
      <c r="B83" s="46" t="s">
        <v>165</v>
      </c>
      <c r="C83" s="48" t="s">
        <v>80</v>
      </c>
      <c r="D83" s="42"/>
      <c r="E83" s="103"/>
      <c r="F83" s="103">
        <v>20.5</v>
      </c>
      <c r="G83" s="103">
        <v>1272</v>
      </c>
      <c r="H83" s="104">
        <f>G83*F83/1000</f>
        <v>26.076000000000001</v>
      </c>
      <c r="I83" s="13">
        <f t="shared" ref="I83" si="14">G83</f>
        <v>1272</v>
      </c>
    </row>
    <row r="84" spans="1:9" ht="30" customHeight="1">
      <c r="A84" s="29">
        <v>34</v>
      </c>
      <c r="B84" s="46" t="s">
        <v>78</v>
      </c>
      <c r="C84" s="48" t="s">
        <v>123</v>
      </c>
      <c r="D84" s="42"/>
      <c r="E84" s="13"/>
      <c r="F84" s="13">
        <v>4</v>
      </c>
      <c r="G84" s="103">
        <v>86.69</v>
      </c>
      <c r="H84" s="76">
        <f>G84*F84/1000</f>
        <v>0.34676000000000001</v>
      </c>
      <c r="I84" s="13">
        <f>G84*1</f>
        <v>86.69</v>
      </c>
    </row>
    <row r="85" spans="1:9" ht="15.75" customHeight="1">
      <c r="A85" s="29">
        <v>35</v>
      </c>
      <c r="B85" s="100" t="s">
        <v>222</v>
      </c>
      <c r="C85" s="101" t="s">
        <v>123</v>
      </c>
      <c r="D85" s="42"/>
      <c r="E85" s="13"/>
      <c r="F85" s="13">
        <v>1</v>
      </c>
      <c r="G85" s="103">
        <v>190</v>
      </c>
      <c r="H85" s="76">
        <f>G85*F85/1000</f>
        <v>0.19</v>
      </c>
      <c r="I85" s="13">
        <f>G85*1</f>
        <v>190</v>
      </c>
    </row>
    <row r="86" spans="1:9" ht="19.5" customHeight="1">
      <c r="A86" s="29">
        <v>36</v>
      </c>
      <c r="B86" s="100" t="s">
        <v>223</v>
      </c>
      <c r="C86" s="101" t="s">
        <v>123</v>
      </c>
      <c r="D86" s="42"/>
      <c r="E86" s="13"/>
      <c r="F86" s="13">
        <v>1</v>
      </c>
      <c r="G86" s="103">
        <v>200</v>
      </c>
      <c r="H86" s="76">
        <f t="shared" ref="H86" si="15">G86*F86/1000</f>
        <v>0.2</v>
      </c>
      <c r="I86" s="13">
        <f>G86*1</f>
        <v>200</v>
      </c>
    </row>
    <row r="87" spans="1:9" ht="15.75" customHeight="1">
      <c r="A87" s="29"/>
      <c r="B87" s="40" t="s">
        <v>50</v>
      </c>
      <c r="C87" s="36"/>
      <c r="D87" s="44"/>
      <c r="E87" s="36">
        <v>1</v>
      </c>
      <c r="F87" s="36"/>
      <c r="G87" s="36"/>
      <c r="H87" s="36"/>
      <c r="I87" s="32">
        <f>I86+I85+I84+I83+I81</f>
        <v>2294.6999999999998</v>
      </c>
    </row>
    <row r="88" spans="1:9" ht="15.75" customHeight="1">
      <c r="A88" s="29"/>
      <c r="B88" s="42" t="s">
        <v>77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5"/>
      <c r="B89" s="41" t="s">
        <v>145</v>
      </c>
      <c r="C89" s="33"/>
      <c r="D89" s="33"/>
      <c r="E89" s="33"/>
      <c r="F89" s="33"/>
      <c r="G89" s="33"/>
      <c r="H89" s="33"/>
      <c r="I89" s="39">
        <f>I79+I87</f>
        <v>168756.9664473556</v>
      </c>
    </row>
    <row r="90" spans="1:9" ht="15.75" customHeight="1">
      <c r="A90" s="156" t="s">
        <v>226</v>
      </c>
      <c r="B90" s="157"/>
      <c r="C90" s="157"/>
      <c r="D90" s="157"/>
      <c r="E90" s="157"/>
      <c r="F90" s="157"/>
      <c r="G90" s="157"/>
      <c r="H90" s="157"/>
      <c r="I90" s="157"/>
    </row>
    <row r="91" spans="1:9" ht="15.75" customHeight="1">
      <c r="A91" s="149" t="s">
        <v>228</v>
      </c>
      <c r="B91" s="149"/>
      <c r="C91" s="149"/>
      <c r="D91" s="149"/>
      <c r="E91" s="149"/>
      <c r="F91" s="149"/>
      <c r="G91" s="149"/>
      <c r="H91" s="149"/>
      <c r="I91" s="149"/>
    </row>
    <row r="92" spans="1:9" ht="15.75" customHeight="1">
      <c r="A92" s="55"/>
      <c r="B92" s="150" t="s">
        <v>229</v>
      </c>
      <c r="C92" s="150"/>
      <c r="D92" s="150"/>
      <c r="E92" s="150"/>
      <c r="F92" s="150"/>
      <c r="G92" s="150"/>
      <c r="H92" s="60"/>
      <c r="I92" s="3"/>
    </row>
    <row r="93" spans="1:9" ht="15.75" customHeight="1">
      <c r="A93" s="85"/>
      <c r="B93" s="151" t="s">
        <v>6</v>
      </c>
      <c r="C93" s="151"/>
      <c r="D93" s="151"/>
      <c r="E93" s="151"/>
      <c r="F93" s="151"/>
      <c r="G93" s="151"/>
      <c r="H93" s="24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52" t="s">
        <v>7</v>
      </c>
      <c r="B95" s="152"/>
      <c r="C95" s="152"/>
      <c r="D95" s="152"/>
      <c r="E95" s="152"/>
      <c r="F95" s="152"/>
      <c r="G95" s="152"/>
      <c r="H95" s="152"/>
      <c r="I95" s="152"/>
    </row>
    <row r="96" spans="1:9" ht="15.75" customHeight="1">
      <c r="A96" s="152" t="s">
        <v>8</v>
      </c>
      <c r="B96" s="152"/>
      <c r="C96" s="152"/>
      <c r="D96" s="152"/>
      <c r="E96" s="152"/>
      <c r="F96" s="152"/>
      <c r="G96" s="152"/>
      <c r="H96" s="152"/>
      <c r="I96" s="152"/>
    </row>
    <row r="97" spans="1:9" ht="15.75" customHeight="1">
      <c r="A97" s="144" t="s">
        <v>60</v>
      </c>
      <c r="B97" s="144"/>
      <c r="C97" s="144"/>
      <c r="D97" s="144"/>
      <c r="E97" s="144"/>
      <c r="F97" s="144"/>
      <c r="G97" s="144"/>
      <c r="H97" s="144"/>
      <c r="I97" s="144"/>
    </row>
    <row r="98" spans="1:9" ht="15.75" customHeight="1">
      <c r="A98" s="11"/>
    </row>
    <row r="99" spans="1:9" ht="15.75" customHeight="1">
      <c r="A99" s="159" t="s">
        <v>9</v>
      </c>
      <c r="B99" s="159"/>
      <c r="C99" s="159"/>
      <c r="D99" s="159"/>
      <c r="E99" s="159"/>
      <c r="F99" s="159"/>
      <c r="G99" s="159"/>
      <c r="H99" s="159"/>
      <c r="I99" s="159"/>
    </row>
    <row r="100" spans="1:9" ht="15.75" customHeight="1">
      <c r="A100" s="4"/>
    </row>
    <row r="101" spans="1:9" ht="15.75" customHeight="1">
      <c r="B101" s="86" t="s">
        <v>10</v>
      </c>
      <c r="C101" s="160" t="s">
        <v>90</v>
      </c>
      <c r="D101" s="160"/>
      <c r="E101" s="160"/>
      <c r="F101" s="58"/>
      <c r="I101" s="84"/>
    </row>
    <row r="102" spans="1:9" ht="15.75" customHeight="1">
      <c r="A102" s="85"/>
      <c r="C102" s="151" t="s">
        <v>11</v>
      </c>
      <c r="D102" s="151"/>
      <c r="E102" s="151"/>
      <c r="F102" s="24"/>
      <c r="I102" s="83" t="s">
        <v>12</v>
      </c>
    </row>
    <row r="103" spans="1:9" ht="15.75" customHeight="1">
      <c r="A103" s="25"/>
      <c r="C103" s="12"/>
      <c r="D103" s="12"/>
      <c r="G103" s="12"/>
      <c r="H103" s="12"/>
    </row>
    <row r="104" spans="1:9" ht="15.75" customHeight="1">
      <c r="B104" s="86" t="s">
        <v>13</v>
      </c>
      <c r="C104" s="161"/>
      <c r="D104" s="161"/>
      <c r="E104" s="161"/>
      <c r="F104" s="59"/>
      <c r="I104" s="84"/>
    </row>
    <row r="105" spans="1:9" ht="15.75" customHeight="1">
      <c r="A105" s="85"/>
      <c r="C105" s="134" t="s">
        <v>11</v>
      </c>
      <c r="D105" s="134"/>
      <c r="E105" s="134"/>
      <c r="F105" s="85"/>
      <c r="I105" s="83" t="s">
        <v>12</v>
      </c>
    </row>
    <row r="106" spans="1:9" ht="15.75" customHeight="1">
      <c r="A106" s="4" t="s">
        <v>14</v>
      </c>
    </row>
    <row r="107" spans="1:9" ht="15.75" customHeight="1">
      <c r="A107" s="162" t="s">
        <v>15</v>
      </c>
      <c r="B107" s="162"/>
      <c r="C107" s="162"/>
      <c r="D107" s="162"/>
      <c r="E107" s="162"/>
      <c r="F107" s="162"/>
      <c r="G107" s="162"/>
      <c r="H107" s="162"/>
      <c r="I107" s="162"/>
    </row>
    <row r="108" spans="1:9" ht="45" customHeight="1">
      <c r="A108" s="158" t="s">
        <v>16</v>
      </c>
      <c r="B108" s="158"/>
      <c r="C108" s="158"/>
      <c r="D108" s="158"/>
      <c r="E108" s="158"/>
      <c r="F108" s="158"/>
      <c r="G108" s="158"/>
      <c r="H108" s="158"/>
      <c r="I108" s="158"/>
    </row>
    <row r="109" spans="1:9" ht="30" customHeight="1">
      <c r="A109" s="158" t="s">
        <v>17</v>
      </c>
      <c r="B109" s="158"/>
      <c r="C109" s="158"/>
      <c r="D109" s="158"/>
      <c r="E109" s="158"/>
      <c r="F109" s="158"/>
      <c r="G109" s="158"/>
      <c r="H109" s="158"/>
      <c r="I109" s="158"/>
    </row>
    <row r="110" spans="1:9" ht="30" customHeight="1">
      <c r="A110" s="158" t="s">
        <v>21</v>
      </c>
      <c r="B110" s="158"/>
      <c r="C110" s="158"/>
      <c r="D110" s="158"/>
      <c r="E110" s="158"/>
      <c r="F110" s="158"/>
      <c r="G110" s="158"/>
      <c r="H110" s="158"/>
      <c r="I110" s="158"/>
    </row>
    <row r="111" spans="1:9" ht="15" customHeight="1">
      <c r="A111" s="158" t="s">
        <v>20</v>
      </c>
      <c r="B111" s="158"/>
      <c r="C111" s="158"/>
      <c r="D111" s="158"/>
      <c r="E111" s="158"/>
      <c r="F111" s="158"/>
      <c r="G111" s="158"/>
      <c r="H111" s="158"/>
      <c r="I111" s="158"/>
    </row>
  </sheetData>
  <autoFilter ref="I12:I59"/>
  <mergeCells count="30">
    <mergeCell ref="A107:I107"/>
    <mergeCell ref="A108:I108"/>
    <mergeCell ref="A109:I109"/>
    <mergeCell ref="A110:I110"/>
    <mergeCell ref="A111:I111"/>
    <mergeCell ref="R63:U63"/>
    <mergeCell ref="C105:E105"/>
    <mergeCell ref="A80:I80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76:I76"/>
    <mergeCell ref="A90:I90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8"/>
  <sheetViews>
    <sheetView topLeftCell="A94" workbookViewId="0">
      <selection activeCell="B102" sqref="B102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85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168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230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43281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144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137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68" t="s">
        <v>23</v>
      </c>
      <c r="C26" s="62" t="s">
        <v>24</v>
      </c>
      <c r="D26" s="68" t="s">
        <v>137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17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customHeight="1">
      <c r="A53" s="29">
        <v>12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134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13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hidden="1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14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G61*6</f>
        <v>1256.46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23.25" hidden="1" customHeight="1">
      <c r="A68" s="29">
        <v>14</v>
      </c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f>G68*F68</f>
        <v>328.78999999999996</v>
      </c>
    </row>
    <row r="69" spans="1:9" ht="27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25.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25.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24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23.2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22.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22.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135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14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15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I78+I77+I59+I53+I33+I32+I30+I29+I26+I25+I21+I20+I18+I17+I16</f>
        <v>68732.944417555555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20.25" customHeight="1">
      <c r="A81" s="29">
        <v>16</v>
      </c>
      <c r="B81" s="14" t="s">
        <v>231</v>
      </c>
      <c r="C81" s="16" t="s">
        <v>123</v>
      </c>
      <c r="D81" s="42"/>
      <c r="E81" s="13"/>
      <c r="F81" s="13">
        <v>11</v>
      </c>
      <c r="G81" s="103">
        <v>4879</v>
      </c>
      <c r="H81" s="76">
        <f t="shared" ref="H81:H83" si="12">G81*F81/1000</f>
        <v>53.668999999999997</v>
      </c>
      <c r="I81" s="13">
        <f>G81*1</f>
        <v>4879</v>
      </c>
    </row>
    <row r="82" spans="1:9" ht="18" customHeight="1">
      <c r="A82" s="29">
        <v>17</v>
      </c>
      <c r="B82" s="100" t="s">
        <v>81</v>
      </c>
      <c r="C82" s="101" t="s">
        <v>123</v>
      </c>
      <c r="D82" s="42"/>
      <c r="E82" s="13"/>
      <c r="F82" s="13">
        <v>640</v>
      </c>
      <c r="G82" s="103">
        <v>197.48</v>
      </c>
      <c r="H82" s="76">
        <f t="shared" si="12"/>
        <v>126.38719999999999</v>
      </c>
      <c r="I82" s="13">
        <f>G82*1</f>
        <v>197.48</v>
      </c>
    </row>
    <row r="83" spans="1:9" ht="15.75" customHeight="1">
      <c r="A83" s="29" t="s">
        <v>232</v>
      </c>
      <c r="B83" s="100" t="s">
        <v>158</v>
      </c>
      <c r="C83" s="101" t="s">
        <v>123</v>
      </c>
      <c r="D83" s="42"/>
      <c r="E83" s="13"/>
      <c r="F83" s="13">
        <v>6</v>
      </c>
      <c r="G83" s="103">
        <v>55.55</v>
      </c>
      <c r="H83" s="76">
        <f t="shared" si="12"/>
        <v>0.33329999999999993</v>
      </c>
      <c r="I83" s="13">
        <f>G83*80</f>
        <v>4444</v>
      </c>
    </row>
    <row r="84" spans="1:9" ht="15.75" customHeight="1">
      <c r="A84" s="29"/>
      <c r="B84" s="40" t="s">
        <v>50</v>
      </c>
      <c r="C84" s="36"/>
      <c r="D84" s="44"/>
      <c r="E84" s="36">
        <v>1</v>
      </c>
      <c r="F84" s="36"/>
      <c r="G84" s="36"/>
      <c r="H84" s="36"/>
      <c r="I84" s="32">
        <f>I82+I81</f>
        <v>5076.4799999999996</v>
      </c>
    </row>
    <row r="85" spans="1:9" ht="15.75" customHeight="1">
      <c r="A85" s="29"/>
      <c r="B85" s="42" t="s">
        <v>77</v>
      </c>
      <c r="C85" s="15"/>
      <c r="D85" s="15"/>
      <c r="E85" s="37"/>
      <c r="F85" s="37"/>
      <c r="G85" s="38"/>
      <c r="H85" s="38"/>
      <c r="I85" s="17">
        <v>0</v>
      </c>
    </row>
    <row r="86" spans="1:9" ht="15.75" customHeight="1">
      <c r="A86" s="45"/>
      <c r="B86" s="41" t="s">
        <v>145</v>
      </c>
      <c r="C86" s="33"/>
      <c r="D86" s="33"/>
      <c r="E86" s="33"/>
      <c r="F86" s="33"/>
      <c r="G86" s="33"/>
      <c r="H86" s="33"/>
      <c r="I86" s="39">
        <f>I79+I84</f>
        <v>73809.42441755555</v>
      </c>
    </row>
    <row r="87" spans="1:9" ht="15.75" customHeight="1">
      <c r="A87" s="156" t="s">
        <v>233</v>
      </c>
      <c r="B87" s="157"/>
      <c r="C87" s="157"/>
      <c r="D87" s="157"/>
      <c r="E87" s="157"/>
      <c r="F87" s="157"/>
      <c r="G87" s="157"/>
      <c r="H87" s="157"/>
      <c r="I87" s="157"/>
    </row>
    <row r="88" spans="1:9" ht="15.75" customHeight="1">
      <c r="A88" s="149" t="s">
        <v>234</v>
      </c>
      <c r="B88" s="149"/>
      <c r="C88" s="149"/>
      <c r="D88" s="149"/>
      <c r="E88" s="149"/>
      <c r="F88" s="149"/>
      <c r="G88" s="149"/>
      <c r="H88" s="149"/>
      <c r="I88" s="149"/>
    </row>
    <row r="89" spans="1:9" ht="15.75" customHeight="1">
      <c r="A89" s="55"/>
      <c r="B89" s="150" t="s">
        <v>235</v>
      </c>
      <c r="C89" s="150"/>
      <c r="D89" s="150"/>
      <c r="E89" s="150"/>
      <c r="F89" s="150"/>
      <c r="G89" s="150"/>
      <c r="H89" s="60"/>
      <c r="I89" s="3"/>
    </row>
    <row r="90" spans="1:9" ht="15.75" customHeight="1">
      <c r="A90" s="85"/>
      <c r="B90" s="151" t="s">
        <v>6</v>
      </c>
      <c r="C90" s="151"/>
      <c r="D90" s="151"/>
      <c r="E90" s="151"/>
      <c r="F90" s="151"/>
      <c r="G90" s="151"/>
      <c r="H90" s="24"/>
      <c r="I90" s="5"/>
    </row>
    <row r="91" spans="1:9" ht="15.75" customHeight="1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5.75" customHeight="1">
      <c r="A92" s="152" t="s">
        <v>7</v>
      </c>
      <c r="B92" s="152"/>
      <c r="C92" s="152"/>
      <c r="D92" s="152"/>
      <c r="E92" s="152"/>
      <c r="F92" s="152"/>
      <c r="G92" s="152"/>
      <c r="H92" s="152"/>
      <c r="I92" s="152"/>
    </row>
    <row r="93" spans="1:9" ht="15.75" customHeight="1">
      <c r="A93" s="152" t="s">
        <v>8</v>
      </c>
      <c r="B93" s="152"/>
      <c r="C93" s="152"/>
      <c r="D93" s="152"/>
      <c r="E93" s="152"/>
      <c r="F93" s="152"/>
      <c r="G93" s="152"/>
      <c r="H93" s="152"/>
      <c r="I93" s="152"/>
    </row>
    <row r="94" spans="1:9" ht="15.75" customHeight="1">
      <c r="A94" s="144" t="s">
        <v>60</v>
      </c>
      <c r="B94" s="144"/>
      <c r="C94" s="144"/>
      <c r="D94" s="144"/>
      <c r="E94" s="144"/>
      <c r="F94" s="144"/>
      <c r="G94" s="144"/>
      <c r="H94" s="144"/>
      <c r="I94" s="144"/>
    </row>
    <row r="95" spans="1:9" ht="15.75" customHeight="1">
      <c r="A95" s="11"/>
    </row>
    <row r="96" spans="1:9" ht="15.75" customHeight="1">
      <c r="A96" s="159" t="s">
        <v>9</v>
      </c>
      <c r="B96" s="159"/>
      <c r="C96" s="159"/>
      <c r="D96" s="159"/>
      <c r="E96" s="159"/>
      <c r="F96" s="159"/>
      <c r="G96" s="159"/>
      <c r="H96" s="159"/>
      <c r="I96" s="159"/>
    </row>
    <row r="97" spans="1:9" ht="15.75" customHeight="1">
      <c r="A97" s="4"/>
    </row>
    <row r="98" spans="1:9" ht="15.75" customHeight="1">
      <c r="B98" s="86" t="s">
        <v>10</v>
      </c>
      <c r="C98" s="160" t="s">
        <v>90</v>
      </c>
      <c r="D98" s="160"/>
      <c r="E98" s="160"/>
      <c r="F98" s="58"/>
      <c r="I98" s="84"/>
    </row>
    <row r="99" spans="1:9" ht="15.75" customHeight="1">
      <c r="A99" s="85"/>
      <c r="C99" s="151" t="s">
        <v>11</v>
      </c>
      <c r="D99" s="151"/>
      <c r="E99" s="151"/>
      <c r="F99" s="24"/>
      <c r="I99" s="83" t="s">
        <v>12</v>
      </c>
    </row>
    <row r="100" spans="1:9" ht="15.75" customHeight="1">
      <c r="A100" s="25"/>
      <c r="C100" s="12"/>
      <c r="D100" s="12"/>
      <c r="G100" s="12"/>
      <c r="H100" s="12"/>
    </row>
    <row r="101" spans="1:9" ht="15.75" customHeight="1">
      <c r="B101" s="86" t="s">
        <v>13</v>
      </c>
      <c r="C101" s="161"/>
      <c r="D101" s="161"/>
      <c r="E101" s="161"/>
      <c r="F101" s="59"/>
      <c r="I101" s="84"/>
    </row>
    <row r="102" spans="1:9" ht="15.75" customHeight="1">
      <c r="A102" s="85"/>
      <c r="C102" s="134" t="s">
        <v>11</v>
      </c>
      <c r="D102" s="134"/>
      <c r="E102" s="134"/>
      <c r="F102" s="85"/>
      <c r="I102" s="83" t="s">
        <v>12</v>
      </c>
    </row>
    <row r="103" spans="1:9" ht="15.75" customHeight="1">
      <c r="A103" s="4" t="s">
        <v>14</v>
      </c>
    </row>
    <row r="104" spans="1:9" ht="15.75" customHeight="1">
      <c r="A104" s="162" t="s">
        <v>15</v>
      </c>
      <c r="B104" s="162"/>
      <c r="C104" s="162"/>
      <c r="D104" s="162"/>
      <c r="E104" s="162"/>
      <c r="F104" s="162"/>
      <c r="G104" s="162"/>
      <c r="H104" s="162"/>
      <c r="I104" s="162"/>
    </row>
    <row r="105" spans="1:9" ht="45" customHeight="1">
      <c r="A105" s="158" t="s">
        <v>16</v>
      </c>
      <c r="B105" s="158"/>
      <c r="C105" s="158"/>
      <c r="D105" s="158"/>
      <c r="E105" s="158"/>
      <c r="F105" s="158"/>
      <c r="G105" s="158"/>
      <c r="H105" s="158"/>
      <c r="I105" s="158"/>
    </row>
    <row r="106" spans="1:9" ht="30" customHeight="1">
      <c r="A106" s="158" t="s">
        <v>17</v>
      </c>
      <c r="B106" s="158"/>
      <c r="C106" s="158"/>
      <c r="D106" s="158"/>
      <c r="E106" s="158"/>
      <c r="F106" s="158"/>
      <c r="G106" s="158"/>
      <c r="H106" s="158"/>
      <c r="I106" s="158"/>
    </row>
    <row r="107" spans="1:9" ht="30" customHeight="1">
      <c r="A107" s="158" t="s">
        <v>21</v>
      </c>
      <c r="B107" s="158"/>
      <c r="C107" s="158"/>
      <c r="D107" s="158"/>
      <c r="E107" s="158"/>
      <c r="F107" s="158"/>
      <c r="G107" s="158"/>
      <c r="H107" s="158"/>
      <c r="I107" s="158"/>
    </row>
    <row r="108" spans="1:9" ht="15" customHeight="1">
      <c r="A108" s="158" t="s">
        <v>20</v>
      </c>
      <c r="B108" s="158"/>
      <c r="C108" s="158"/>
      <c r="D108" s="158"/>
      <c r="E108" s="158"/>
      <c r="F108" s="158"/>
      <c r="G108" s="158"/>
      <c r="H108" s="158"/>
      <c r="I108" s="158"/>
    </row>
  </sheetData>
  <autoFilter ref="I12:I59"/>
  <mergeCells count="30">
    <mergeCell ref="A104:I104"/>
    <mergeCell ref="A105:I105"/>
    <mergeCell ref="A106:I106"/>
    <mergeCell ref="A107:I107"/>
    <mergeCell ref="A108:I108"/>
    <mergeCell ref="R63:U63"/>
    <mergeCell ref="C102:E102"/>
    <mergeCell ref="A80:I80"/>
    <mergeCell ref="A88:I88"/>
    <mergeCell ref="B89:G89"/>
    <mergeCell ref="B90:G90"/>
    <mergeCell ref="A92:I92"/>
    <mergeCell ref="A93:I93"/>
    <mergeCell ref="A94:I94"/>
    <mergeCell ref="A96:I96"/>
    <mergeCell ref="C98:E98"/>
    <mergeCell ref="C99:E99"/>
    <mergeCell ref="C101:E101"/>
    <mergeCell ref="A76:I76"/>
    <mergeCell ref="A87:I87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7"/>
  <sheetViews>
    <sheetView topLeftCell="A13" workbookViewId="0">
      <selection activeCell="B98" sqref="B98:G98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170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238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43312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137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68" t="s">
        <v>23</v>
      </c>
      <c r="C26" s="62" t="s">
        <v>24</v>
      </c>
      <c r="D26" s="68" t="s">
        <v>137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17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171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12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13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G61*1</f>
        <v>209.41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v>0</v>
      </c>
    </row>
    <row r="69" spans="1:9" ht="15.75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5.7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172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14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15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I78+I77+I61+I59+I33+I32+I30+I29+I26+I25+I21+I20+I18+I17+I16</f>
        <v>58566.49441755555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31.5" customHeight="1">
      <c r="A81" s="29">
        <v>16</v>
      </c>
      <c r="B81" s="46" t="s">
        <v>89</v>
      </c>
      <c r="C81" s="48" t="s">
        <v>92</v>
      </c>
      <c r="D81" s="42"/>
      <c r="E81" s="13"/>
      <c r="F81" s="13">
        <v>11</v>
      </c>
      <c r="G81" s="103">
        <v>613.44000000000005</v>
      </c>
      <c r="H81" s="76">
        <f t="shared" ref="H81" si="12">G81*F81/1000</f>
        <v>6.7478400000000001</v>
      </c>
      <c r="I81" s="13">
        <f>G81*1</f>
        <v>613.44000000000005</v>
      </c>
    </row>
    <row r="82" spans="1:9" ht="18" customHeight="1">
      <c r="A82" s="29">
        <v>17</v>
      </c>
      <c r="B82" s="46" t="s">
        <v>240</v>
      </c>
      <c r="C82" s="48" t="s">
        <v>241</v>
      </c>
      <c r="D82" s="42"/>
      <c r="E82" s="13"/>
      <c r="F82" s="13">
        <v>5</v>
      </c>
      <c r="G82" s="103">
        <v>2057</v>
      </c>
      <c r="H82" s="76">
        <f>G82*F82/1000</f>
        <v>10.285</v>
      </c>
      <c r="I82" s="13">
        <f>G82*0.5</f>
        <v>1028.5</v>
      </c>
    </row>
    <row r="83" spans="1:9" ht="15.75" customHeight="1">
      <c r="A83" s="29">
        <v>18</v>
      </c>
      <c r="B83" s="100" t="s">
        <v>242</v>
      </c>
      <c r="C83" s="101" t="s">
        <v>92</v>
      </c>
      <c r="D83" s="42"/>
      <c r="E83" s="13"/>
      <c r="F83" s="13">
        <v>640</v>
      </c>
      <c r="G83" s="103">
        <v>1388.26</v>
      </c>
      <c r="H83" s="76">
        <f t="shared" ref="H83:H88" si="13">G83*F83/1000</f>
        <v>888.4864</v>
      </c>
      <c r="I83" s="13">
        <f>G83*1</f>
        <v>1388.26</v>
      </c>
    </row>
    <row r="84" spans="1:9" ht="15.75" customHeight="1">
      <c r="A84" s="29" t="s">
        <v>246</v>
      </c>
      <c r="B84" s="100" t="s">
        <v>158</v>
      </c>
      <c r="C84" s="101" t="s">
        <v>123</v>
      </c>
      <c r="D84" s="42"/>
      <c r="E84" s="13"/>
      <c r="F84" s="13">
        <v>6</v>
      </c>
      <c r="G84" s="103">
        <v>55.55</v>
      </c>
      <c r="H84" s="76">
        <f t="shared" si="13"/>
        <v>0.33329999999999993</v>
      </c>
      <c r="I84" s="13">
        <f>G84*80</f>
        <v>4444</v>
      </c>
    </row>
    <row r="85" spans="1:9" ht="14.25" customHeight="1">
      <c r="A85" s="29">
        <v>20</v>
      </c>
      <c r="B85" s="46" t="s">
        <v>156</v>
      </c>
      <c r="C85" s="48" t="s">
        <v>157</v>
      </c>
      <c r="D85" s="42"/>
      <c r="E85" s="13"/>
      <c r="F85" s="13">
        <v>0.05</v>
      </c>
      <c r="G85" s="103">
        <v>300.61</v>
      </c>
      <c r="H85" s="76">
        <f t="shared" si="13"/>
        <v>1.5030500000000002E-2</v>
      </c>
      <c r="I85" s="13">
        <f>G85*1</f>
        <v>300.61</v>
      </c>
    </row>
    <row r="86" spans="1:9" ht="29.25" customHeight="1">
      <c r="A86" s="29">
        <v>21</v>
      </c>
      <c r="B86" s="100" t="s">
        <v>243</v>
      </c>
      <c r="C86" s="101" t="s">
        <v>244</v>
      </c>
      <c r="D86" s="14"/>
      <c r="E86" s="18"/>
      <c r="F86" s="13">
        <v>8</v>
      </c>
      <c r="G86" s="103">
        <v>56.34</v>
      </c>
      <c r="H86" s="76">
        <f t="shared" si="13"/>
        <v>0.45072000000000001</v>
      </c>
      <c r="I86" s="13">
        <f>G86*1</f>
        <v>56.34</v>
      </c>
    </row>
    <row r="87" spans="1:9" ht="15.75" customHeight="1">
      <c r="A87" s="29">
        <v>22</v>
      </c>
      <c r="B87" s="71" t="s">
        <v>181</v>
      </c>
      <c r="C87" s="70" t="s">
        <v>123</v>
      </c>
      <c r="D87" s="42"/>
      <c r="E87" s="13"/>
      <c r="F87" s="13">
        <v>1</v>
      </c>
      <c r="G87" s="103">
        <v>89.59</v>
      </c>
      <c r="H87" s="76">
        <f t="shared" si="13"/>
        <v>8.9590000000000003E-2</v>
      </c>
      <c r="I87" s="13">
        <f>G87</f>
        <v>89.59</v>
      </c>
    </row>
    <row r="88" spans="1:9" ht="15.75" customHeight="1">
      <c r="A88" s="29">
        <v>23</v>
      </c>
      <c r="B88" s="100" t="s">
        <v>245</v>
      </c>
      <c r="C88" s="101" t="s">
        <v>92</v>
      </c>
      <c r="D88" s="42"/>
      <c r="E88" s="13"/>
      <c r="F88" s="13">
        <v>3</v>
      </c>
      <c r="G88" s="103">
        <v>303.35000000000002</v>
      </c>
      <c r="H88" s="76">
        <f t="shared" si="13"/>
        <v>0.91005000000000003</v>
      </c>
      <c r="I88" s="13">
        <f>G88</f>
        <v>303.35000000000002</v>
      </c>
    </row>
    <row r="89" spans="1:9" ht="15.75" customHeight="1">
      <c r="A89" s="29">
        <v>24</v>
      </c>
      <c r="B89" s="46" t="s">
        <v>160</v>
      </c>
      <c r="C89" s="48" t="s">
        <v>123</v>
      </c>
      <c r="D89" s="102"/>
      <c r="E89" s="103"/>
      <c r="F89" s="103">
        <f>8/10</f>
        <v>0.8</v>
      </c>
      <c r="G89" s="103">
        <v>108</v>
      </c>
      <c r="H89" s="104">
        <f>G89*F89/1000</f>
        <v>8.6400000000000005E-2</v>
      </c>
      <c r="I89" s="13">
        <f>G89*1</f>
        <v>108</v>
      </c>
    </row>
    <row r="90" spans="1:9" ht="15.75" customHeight="1">
      <c r="A90" s="29">
        <v>25</v>
      </c>
      <c r="B90" s="46" t="s">
        <v>155</v>
      </c>
      <c r="C90" s="48" t="s">
        <v>123</v>
      </c>
      <c r="D90" s="42"/>
      <c r="E90" s="13"/>
      <c r="F90" s="13">
        <v>1</v>
      </c>
      <c r="G90" s="103">
        <v>27.36</v>
      </c>
      <c r="H90" s="76">
        <f>G90*F90/1000</f>
        <v>2.7359999999999999E-2</v>
      </c>
      <c r="I90" s="13">
        <f>G90*2</f>
        <v>54.72</v>
      </c>
    </row>
    <row r="91" spans="1:9" ht="15.75" customHeight="1">
      <c r="A91" s="29">
        <v>26</v>
      </c>
      <c r="B91" s="46" t="s">
        <v>248</v>
      </c>
      <c r="C91" s="48" t="s">
        <v>123</v>
      </c>
      <c r="D91" s="42"/>
      <c r="E91" s="13"/>
      <c r="F91" s="13">
        <v>1</v>
      </c>
      <c r="G91" s="103">
        <v>118</v>
      </c>
      <c r="H91" s="76">
        <f t="shared" ref="H91:H92" si="14">G91*F91/1000</f>
        <v>0.11799999999999999</v>
      </c>
      <c r="I91" s="13">
        <f>G91*1</f>
        <v>118</v>
      </c>
    </row>
    <row r="92" spans="1:9" ht="31.5" customHeight="1">
      <c r="A92" s="29">
        <v>27</v>
      </c>
      <c r="B92" s="100" t="s">
        <v>249</v>
      </c>
      <c r="C92" s="101" t="s">
        <v>123</v>
      </c>
      <c r="D92" s="42"/>
      <c r="E92" s="13"/>
      <c r="F92" s="13">
        <v>3</v>
      </c>
      <c r="G92" s="103">
        <v>1269.9000000000001</v>
      </c>
      <c r="H92" s="76">
        <f t="shared" si="14"/>
        <v>3.8097000000000003</v>
      </c>
      <c r="I92" s="13">
        <f>G92*2</f>
        <v>2539.8000000000002</v>
      </c>
    </row>
    <row r="93" spans="1:9" ht="15.75" customHeight="1">
      <c r="A93" s="29"/>
      <c r="B93" s="40" t="s">
        <v>50</v>
      </c>
      <c r="C93" s="36"/>
      <c r="D93" s="44"/>
      <c r="E93" s="36">
        <v>1</v>
      </c>
      <c r="F93" s="36"/>
      <c r="G93" s="36"/>
      <c r="H93" s="36"/>
      <c r="I93" s="32">
        <f>I92+I91+I90+I89+I88+I87+I86+I85+I83+I82+I81</f>
        <v>6600.6100000000006</v>
      </c>
    </row>
    <row r="94" spans="1:9" ht="15.75" customHeight="1">
      <c r="A94" s="29"/>
      <c r="B94" s="42" t="s">
        <v>77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5"/>
      <c r="B95" s="41" t="s">
        <v>145</v>
      </c>
      <c r="C95" s="33"/>
      <c r="D95" s="33"/>
      <c r="E95" s="33"/>
      <c r="F95" s="33"/>
      <c r="G95" s="33"/>
      <c r="H95" s="33"/>
      <c r="I95" s="39">
        <f>I79+I93</f>
        <v>65167.104417555551</v>
      </c>
    </row>
    <row r="96" spans="1:9" ht="15.75" customHeight="1">
      <c r="A96" s="156" t="s">
        <v>247</v>
      </c>
      <c r="B96" s="157"/>
      <c r="C96" s="157"/>
      <c r="D96" s="157"/>
      <c r="E96" s="157"/>
      <c r="F96" s="157"/>
      <c r="G96" s="157"/>
      <c r="H96" s="157"/>
      <c r="I96" s="157"/>
    </row>
    <row r="97" spans="1:9" ht="15.75" customHeight="1">
      <c r="A97" s="149" t="s">
        <v>250</v>
      </c>
      <c r="B97" s="149"/>
      <c r="C97" s="149"/>
      <c r="D97" s="149"/>
      <c r="E97" s="149"/>
      <c r="F97" s="149"/>
      <c r="G97" s="149"/>
      <c r="H97" s="149"/>
      <c r="I97" s="149"/>
    </row>
    <row r="98" spans="1:9" ht="15.75" customHeight="1">
      <c r="A98" s="55"/>
      <c r="B98" s="150" t="s">
        <v>251</v>
      </c>
      <c r="C98" s="150"/>
      <c r="D98" s="150"/>
      <c r="E98" s="150"/>
      <c r="F98" s="150"/>
      <c r="G98" s="150"/>
      <c r="H98" s="60"/>
      <c r="I98" s="3"/>
    </row>
    <row r="99" spans="1:9" ht="15.75" customHeight="1">
      <c r="A99" s="85"/>
      <c r="B99" s="151" t="s">
        <v>6</v>
      </c>
      <c r="C99" s="151"/>
      <c r="D99" s="151"/>
      <c r="E99" s="151"/>
      <c r="F99" s="151"/>
      <c r="G99" s="151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52" t="s">
        <v>7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52" t="s">
        <v>8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 customHeight="1">
      <c r="A103" s="144" t="s">
        <v>60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 customHeight="1">
      <c r="A104" s="11"/>
    </row>
    <row r="105" spans="1:9" ht="15.75" customHeight="1">
      <c r="A105" s="159" t="s">
        <v>9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 customHeight="1">
      <c r="A106" s="4"/>
    </row>
    <row r="107" spans="1:9" ht="15.75" customHeight="1">
      <c r="B107" s="86" t="s">
        <v>10</v>
      </c>
      <c r="C107" s="160" t="s">
        <v>90</v>
      </c>
      <c r="D107" s="160"/>
      <c r="E107" s="160"/>
      <c r="F107" s="58"/>
      <c r="I107" s="84"/>
    </row>
    <row r="108" spans="1:9" ht="15.75" customHeight="1">
      <c r="A108" s="85"/>
      <c r="C108" s="151" t="s">
        <v>11</v>
      </c>
      <c r="D108" s="151"/>
      <c r="E108" s="151"/>
      <c r="F108" s="24"/>
      <c r="I108" s="83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86" t="s">
        <v>13</v>
      </c>
      <c r="C110" s="161"/>
      <c r="D110" s="161"/>
      <c r="E110" s="161"/>
      <c r="F110" s="59"/>
      <c r="I110" s="84"/>
    </row>
    <row r="111" spans="1:9" ht="15.75" customHeight="1">
      <c r="A111" s="85"/>
      <c r="C111" s="134" t="s">
        <v>11</v>
      </c>
      <c r="D111" s="134"/>
      <c r="E111" s="134"/>
      <c r="F111" s="85"/>
      <c r="I111" s="83" t="s">
        <v>12</v>
      </c>
    </row>
    <row r="112" spans="1:9" ht="15.75" customHeight="1">
      <c r="A112" s="4" t="s">
        <v>14</v>
      </c>
    </row>
    <row r="113" spans="1:9" ht="15.75" customHeight="1">
      <c r="A113" s="162" t="s">
        <v>15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45" customHeight="1">
      <c r="A114" s="158" t="s">
        <v>16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30" customHeight="1">
      <c r="A115" s="158" t="s">
        <v>17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30" customHeight="1">
      <c r="A116" s="158" t="s">
        <v>21</v>
      </c>
      <c r="B116" s="158"/>
      <c r="C116" s="158"/>
      <c r="D116" s="158"/>
      <c r="E116" s="158"/>
      <c r="F116" s="158"/>
      <c r="G116" s="158"/>
      <c r="H116" s="158"/>
      <c r="I116" s="158"/>
    </row>
    <row r="117" spans="1:9" ht="15" customHeight="1">
      <c r="A117" s="158" t="s">
        <v>20</v>
      </c>
      <c r="B117" s="158"/>
      <c r="C117" s="158"/>
      <c r="D117" s="158"/>
      <c r="E117" s="158"/>
      <c r="F117" s="158"/>
      <c r="G117" s="158"/>
      <c r="H117" s="158"/>
      <c r="I117" s="158"/>
    </row>
  </sheetData>
  <autoFilter ref="I12:I59"/>
  <mergeCells count="30">
    <mergeCell ref="A113:I113"/>
    <mergeCell ref="A114:I114"/>
    <mergeCell ref="A115:I115"/>
    <mergeCell ref="A116:I116"/>
    <mergeCell ref="A117:I117"/>
    <mergeCell ref="R63:U63"/>
    <mergeCell ref="C111:E111"/>
    <mergeCell ref="A80:I80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76:I76"/>
    <mergeCell ref="A96:I9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G100" sqref="G10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175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236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43343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137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68" t="s">
        <v>23</v>
      </c>
      <c r="C26" s="62" t="s">
        <v>24</v>
      </c>
      <c r="D26" s="68" t="s">
        <v>137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hidden="1" customHeight="1">
      <c r="A45" s="29">
        <v>17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18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hidden="1" customHeight="1">
      <c r="A47" s="29">
        <v>19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hidden="1" customHeight="1">
      <c r="A48" s="29">
        <v>20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21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171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12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hidden="1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21" customHeight="1">
      <c r="A61" s="29">
        <v>13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G61*4</f>
        <v>837.64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7.2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8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8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9.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9.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21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20.25" hidden="1" customHeight="1">
      <c r="A68" s="29"/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v>0</v>
      </c>
    </row>
    <row r="69" spans="1:9" ht="18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9.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20.2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9.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8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20.2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7.2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172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14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15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I78+I77+I61+I59+I33+I32+I30+I29+I26+I25+I21+I20+I18+I17+I16</f>
        <v>59194.724417555546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15.75" customHeight="1">
      <c r="A81" s="29">
        <v>16</v>
      </c>
      <c r="B81" s="100" t="s">
        <v>252</v>
      </c>
      <c r="C81" s="101" t="s">
        <v>29</v>
      </c>
      <c r="D81" s="42"/>
      <c r="E81" s="13"/>
      <c r="F81" s="13">
        <f>(3*7+5+10+10+10+10+20+20+5+10+20+3)/3</f>
        <v>48</v>
      </c>
      <c r="G81" s="103">
        <v>1158.7</v>
      </c>
      <c r="H81" s="76">
        <f t="shared" ref="H81:H82" si="12">G81*F81/1000</f>
        <v>55.617600000000003</v>
      </c>
      <c r="I81" s="13">
        <f>G81*0.0635</f>
        <v>73.577449999999999</v>
      </c>
    </row>
    <row r="82" spans="1:9" ht="15.75" customHeight="1">
      <c r="A82" s="29" t="s">
        <v>272</v>
      </c>
      <c r="B82" s="46" t="s">
        <v>158</v>
      </c>
      <c r="C82" s="48" t="s">
        <v>123</v>
      </c>
      <c r="D82" s="42"/>
      <c r="E82" s="13"/>
      <c r="F82" s="13">
        <v>640</v>
      </c>
      <c r="G82" s="13">
        <v>55.55</v>
      </c>
      <c r="H82" s="76">
        <f t="shared" si="12"/>
        <v>35.552</v>
      </c>
      <c r="I82" s="13">
        <f>G82*80</f>
        <v>4444</v>
      </c>
    </row>
    <row r="83" spans="1:9" ht="15.75" customHeight="1">
      <c r="A83" s="29">
        <v>18</v>
      </c>
      <c r="B83" s="129" t="s">
        <v>262</v>
      </c>
      <c r="C83" s="130" t="s">
        <v>123</v>
      </c>
      <c r="D83" s="42"/>
      <c r="E83" s="13"/>
      <c r="F83" s="13"/>
      <c r="G83" s="103">
        <v>324.01</v>
      </c>
      <c r="H83" s="76"/>
      <c r="I83" s="13">
        <f>G83</f>
        <v>324.01</v>
      </c>
    </row>
    <row r="84" spans="1:9" ht="38.25" customHeight="1">
      <c r="A84" s="29">
        <v>19</v>
      </c>
      <c r="B84" s="46" t="s">
        <v>139</v>
      </c>
      <c r="C84" s="48" t="s">
        <v>37</v>
      </c>
      <c r="D84" s="42"/>
      <c r="E84" s="13"/>
      <c r="F84" s="13"/>
      <c r="G84" s="103">
        <v>3724.37</v>
      </c>
      <c r="H84" s="76"/>
      <c r="I84" s="13">
        <f>G84*0.01</f>
        <v>37.243699999999997</v>
      </c>
    </row>
    <row r="85" spans="1:9" ht="31.5" customHeight="1">
      <c r="A85" s="29">
        <v>20</v>
      </c>
      <c r="B85" s="46" t="s">
        <v>78</v>
      </c>
      <c r="C85" s="48" t="s">
        <v>123</v>
      </c>
      <c r="D85" s="42"/>
      <c r="E85" s="13"/>
      <c r="F85" s="13"/>
      <c r="G85" s="103">
        <v>86.69</v>
      </c>
      <c r="H85" s="76"/>
      <c r="I85" s="13">
        <f>G85*1</f>
        <v>86.69</v>
      </c>
    </row>
    <row r="86" spans="1:9" ht="15.75" customHeight="1">
      <c r="A86" s="29">
        <v>21</v>
      </c>
      <c r="B86" s="100" t="s">
        <v>81</v>
      </c>
      <c r="C86" s="101" t="s">
        <v>123</v>
      </c>
      <c r="D86" s="42"/>
      <c r="E86" s="13"/>
      <c r="F86" s="13"/>
      <c r="G86" s="103">
        <v>197.48</v>
      </c>
      <c r="H86" s="76"/>
      <c r="I86" s="13">
        <f>G86*1</f>
        <v>197.48</v>
      </c>
    </row>
    <row r="87" spans="1:9" ht="30.75" customHeight="1">
      <c r="A87" s="29">
        <v>22</v>
      </c>
      <c r="B87" s="100" t="s">
        <v>263</v>
      </c>
      <c r="C87" s="101" t="s">
        <v>123</v>
      </c>
      <c r="D87" s="42"/>
      <c r="E87" s="13"/>
      <c r="F87" s="13"/>
      <c r="G87" s="103">
        <v>201.36</v>
      </c>
      <c r="H87" s="76"/>
      <c r="I87" s="13">
        <f>G87*2</f>
        <v>402.72</v>
      </c>
    </row>
    <row r="88" spans="1:9" ht="18.75" customHeight="1">
      <c r="A88" s="29">
        <v>23</v>
      </c>
      <c r="B88" s="100" t="s">
        <v>184</v>
      </c>
      <c r="C88" s="101" t="s">
        <v>153</v>
      </c>
      <c r="D88" s="42"/>
      <c r="E88" s="13"/>
      <c r="F88" s="13"/>
      <c r="G88" s="118">
        <v>134.12</v>
      </c>
      <c r="H88" s="76"/>
      <c r="I88" s="13">
        <f>G88*13</f>
        <v>1743.56</v>
      </c>
    </row>
    <row r="89" spans="1:9" ht="18.75" customHeight="1">
      <c r="A89" s="29">
        <v>24</v>
      </c>
      <c r="B89" s="100" t="s">
        <v>185</v>
      </c>
      <c r="C89" s="101" t="s">
        <v>83</v>
      </c>
      <c r="D89" s="42"/>
      <c r="E89" s="13"/>
      <c r="F89" s="13"/>
      <c r="G89" s="118">
        <v>203.68</v>
      </c>
      <c r="H89" s="76"/>
      <c r="I89" s="13">
        <f>G89*2</f>
        <v>407.36</v>
      </c>
    </row>
    <row r="90" spans="1:9" ht="16.5" customHeight="1">
      <c r="A90" s="29">
        <v>25</v>
      </c>
      <c r="B90" s="100" t="s">
        <v>264</v>
      </c>
      <c r="C90" s="101" t="s">
        <v>92</v>
      </c>
      <c r="D90" s="42"/>
      <c r="E90" s="13"/>
      <c r="F90" s="13"/>
      <c r="G90" s="103">
        <v>6213.45</v>
      </c>
      <c r="H90" s="76"/>
      <c r="I90" s="13">
        <f>G90*1</f>
        <v>6213.45</v>
      </c>
    </row>
    <row r="91" spans="1:9" ht="16.5" customHeight="1">
      <c r="A91" s="29">
        <v>26</v>
      </c>
      <c r="B91" s="46" t="s">
        <v>161</v>
      </c>
      <c r="C91" s="48" t="s">
        <v>123</v>
      </c>
      <c r="D91" s="42"/>
      <c r="E91" s="13"/>
      <c r="F91" s="13"/>
      <c r="G91" s="118">
        <v>140</v>
      </c>
      <c r="H91" s="76"/>
      <c r="I91" s="13">
        <f>G91*1</f>
        <v>140</v>
      </c>
    </row>
    <row r="92" spans="1:9" ht="18" customHeight="1">
      <c r="A92" s="29">
        <v>27</v>
      </c>
      <c r="B92" s="46" t="s">
        <v>160</v>
      </c>
      <c r="C92" s="48" t="s">
        <v>123</v>
      </c>
      <c r="D92" s="42"/>
      <c r="E92" s="13"/>
      <c r="F92" s="13"/>
      <c r="G92" s="118">
        <v>108</v>
      </c>
      <c r="H92" s="76"/>
      <c r="I92" s="13">
        <f>G92*1</f>
        <v>108</v>
      </c>
    </row>
    <row r="93" spans="1:9" ht="15.75" customHeight="1">
      <c r="A93" s="127"/>
      <c r="B93" s="40" t="s">
        <v>50</v>
      </c>
      <c r="C93" s="36"/>
      <c r="D93" s="44"/>
      <c r="E93" s="36">
        <v>1</v>
      </c>
      <c r="F93" s="36"/>
      <c r="G93" s="36"/>
      <c r="H93" s="36"/>
      <c r="I93" s="32">
        <f>I81+I83+I84+I85+I86+I87+I88+I89+I90+I91+I92</f>
        <v>9734.0911500000002</v>
      </c>
    </row>
    <row r="94" spans="1:9" ht="15.75" customHeight="1">
      <c r="A94" s="29"/>
      <c r="B94" s="42" t="s">
        <v>77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5"/>
      <c r="B95" s="41" t="s">
        <v>145</v>
      </c>
      <c r="C95" s="33"/>
      <c r="D95" s="33"/>
      <c r="E95" s="33"/>
      <c r="F95" s="33"/>
      <c r="G95" s="33"/>
      <c r="H95" s="33"/>
      <c r="I95" s="39">
        <f>I79+I93</f>
        <v>68928.815567555546</v>
      </c>
    </row>
    <row r="96" spans="1:9" ht="15.75" customHeight="1">
      <c r="A96" s="156" t="s">
        <v>273</v>
      </c>
      <c r="B96" s="157"/>
      <c r="C96" s="157"/>
      <c r="D96" s="157"/>
      <c r="E96" s="157"/>
      <c r="F96" s="157"/>
      <c r="G96" s="157"/>
      <c r="H96" s="157"/>
      <c r="I96" s="157"/>
    </row>
    <row r="97" spans="1:9" ht="15.75" customHeight="1">
      <c r="A97" s="149" t="s">
        <v>274</v>
      </c>
      <c r="B97" s="149"/>
      <c r="C97" s="149"/>
      <c r="D97" s="149"/>
      <c r="E97" s="149"/>
      <c r="F97" s="149"/>
      <c r="G97" s="149"/>
      <c r="H97" s="149"/>
      <c r="I97" s="149"/>
    </row>
    <row r="98" spans="1:9" ht="15.75" customHeight="1">
      <c r="A98" s="55"/>
      <c r="B98" s="150" t="s">
        <v>275</v>
      </c>
      <c r="C98" s="150"/>
      <c r="D98" s="150"/>
      <c r="E98" s="150"/>
      <c r="F98" s="150"/>
      <c r="G98" s="150"/>
      <c r="H98" s="60"/>
      <c r="I98" s="3"/>
    </row>
    <row r="99" spans="1:9" ht="15.75" customHeight="1">
      <c r="A99" s="85"/>
      <c r="B99" s="151" t="s">
        <v>6</v>
      </c>
      <c r="C99" s="151"/>
      <c r="D99" s="151"/>
      <c r="E99" s="151"/>
      <c r="F99" s="151"/>
      <c r="G99" s="151"/>
      <c r="H99" s="24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52" t="s">
        <v>7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52" t="s">
        <v>8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 customHeight="1">
      <c r="A103" s="144" t="s">
        <v>60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 customHeight="1">
      <c r="A104" s="11"/>
    </row>
    <row r="105" spans="1:9" ht="15.75" customHeight="1">
      <c r="A105" s="159" t="s">
        <v>9</v>
      </c>
      <c r="B105" s="159"/>
      <c r="C105" s="159"/>
      <c r="D105" s="159"/>
      <c r="E105" s="159"/>
      <c r="F105" s="159"/>
      <c r="G105" s="159"/>
      <c r="H105" s="159"/>
      <c r="I105" s="159"/>
    </row>
    <row r="106" spans="1:9" ht="15.75" customHeight="1">
      <c r="A106" s="4"/>
    </row>
    <row r="107" spans="1:9" ht="15.75" customHeight="1">
      <c r="B107" s="86" t="s">
        <v>10</v>
      </c>
      <c r="C107" s="160" t="s">
        <v>90</v>
      </c>
      <c r="D107" s="160"/>
      <c r="E107" s="160"/>
      <c r="F107" s="58"/>
      <c r="I107" s="84"/>
    </row>
    <row r="108" spans="1:9" ht="15.75" customHeight="1">
      <c r="A108" s="85"/>
      <c r="C108" s="151" t="s">
        <v>11</v>
      </c>
      <c r="D108" s="151"/>
      <c r="E108" s="151"/>
      <c r="F108" s="24"/>
      <c r="I108" s="83" t="s">
        <v>12</v>
      </c>
    </row>
    <row r="109" spans="1:9" ht="15.75" customHeight="1">
      <c r="A109" s="25"/>
      <c r="C109" s="12"/>
      <c r="D109" s="12"/>
      <c r="G109" s="12"/>
      <c r="H109" s="12"/>
    </row>
    <row r="110" spans="1:9" ht="15.75" customHeight="1">
      <c r="B110" s="86" t="s">
        <v>13</v>
      </c>
      <c r="C110" s="161"/>
      <c r="D110" s="161"/>
      <c r="E110" s="161"/>
      <c r="F110" s="59"/>
      <c r="I110" s="84"/>
    </row>
    <row r="111" spans="1:9" ht="15.75" customHeight="1">
      <c r="A111" s="85"/>
      <c r="C111" s="134" t="s">
        <v>11</v>
      </c>
      <c r="D111" s="134"/>
      <c r="E111" s="134"/>
      <c r="F111" s="85"/>
      <c r="I111" s="83" t="s">
        <v>12</v>
      </c>
    </row>
    <row r="112" spans="1:9" ht="15.75" customHeight="1">
      <c r="A112" s="4" t="s">
        <v>14</v>
      </c>
    </row>
    <row r="113" spans="1:9" ht="15.75" customHeight="1">
      <c r="A113" s="162" t="s">
        <v>15</v>
      </c>
      <c r="B113" s="162"/>
      <c r="C113" s="162"/>
      <c r="D113" s="162"/>
      <c r="E113" s="162"/>
      <c r="F113" s="162"/>
      <c r="G113" s="162"/>
      <c r="H113" s="162"/>
      <c r="I113" s="162"/>
    </row>
    <row r="114" spans="1:9" ht="45" customHeight="1">
      <c r="A114" s="158" t="s">
        <v>16</v>
      </c>
      <c r="B114" s="158"/>
      <c r="C114" s="158"/>
      <c r="D114" s="158"/>
      <c r="E114" s="158"/>
      <c r="F114" s="158"/>
      <c r="G114" s="158"/>
      <c r="H114" s="158"/>
      <c r="I114" s="158"/>
    </row>
    <row r="115" spans="1:9" ht="30" customHeight="1">
      <c r="A115" s="158" t="s">
        <v>17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30" customHeight="1">
      <c r="A116" s="158" t="s">
        <v>21</v>
      </c>
      <c r="B116" s="158"/>
      <c r="C116" s="158"/>
      <c r="D116" s="158"/>
      <c r="E116" s="158"/>
      <c r="F116" s="158"/>
      <c r="G116" s="158"/>
      <c r="H116" s="158"/>
      <c r="I116" s="158"/>
    </row>
    <row r="117" spans="1:9" ht="15" customHeight="1">
      <c r="A117" s="158" t="s">
        <v>20</v>
      </c>
      <c r="B117" s="158"/>
      <c r="C117" s="158"/>
      <c r="D117" s="158"/>
      <c r="E117" s="158"/>
      <c r="F117" s="158"/>
      <c r="G117" s="158"/>
      <c r="H117" s="158"/>
      <c r="I117" s="158"/>
    </row>
  </sheetData>
  <autoFilter ref="I12:I59"/>
  <mergeCells count="30">
    <mergeCell ref="A113:I113"/>
    <mergeCell ref="A114:I114"/>
    <mergeCell ref="A115:I115"/>
    <mergeCell ref="A116:I116"/>
    <mergeCell ref="A117:I117"/>
    <mergeCell ref="R63:U63"/>
    <mergeCell ref="C111:E111"/>
    <mergeCell ref="A80:I80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76:I76"/>
    <mergeCell ref="A96:I96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8"/>
  <sheetViews>
    <sheetView topLeftCell="A54" workbookViewId="0">
      <selection activeCell="A97" sqref="A97:I97"/>
    </sheetView>
  </sheetViews>
  <sheetFormatPr defaultRowHeight="15"/>
  <cols>
    <col min="1" max="1" width="7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237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8" t="s">
        <v>176</v>
      </c>
      <c r="B3" s="138"/>
      <c r="C3" s="138"/>
      <c r="D3" s="138"/>
      <c r="E3" s="138"/>
      <c r="F3" s="138"/>
      <c r="G3" s="138"/>
      <c r="H3" s="138"/>
      <c r="I3" s="138"/>
      <c r="J3" s="3"/>
      <c r="K3" s="3"/>
      <c r="L3" s="3"/>
    </row>
    <row r="4" spans="1:13" ht="31.5" customHeight="1">
      <c r="A4" s="139" t="s">
        <v>143</v>
      </c>
      <c r="B4" s="139"/>
      <c r="C4" s="139"/>
      <c r="D4" s="139"/>
      <c r="E4" s="139"/>
      <c r="F4" s="139"/>
      <c r="G4" s="139"/>
      <c r="H4" s="139"/>
      <c r="I4" s="139"/>
    </row>
    <row r="5" spans="1:13" ht="15.75" customHeight="1">
      <c r="A5" s="138" t="s">
        <v>265</v>
      </c>
      <c r="B5" s="140"/>
      <c r="C5" s="140"/>
      <c r="D5" s="140"/>
      <c r="E5" s="140"/>
      <c r="F5" s="140"/>
      <c r="G5" s="140"/>
      <c r="H5" s="140"/>
      <c r="I5" s="140"/>
      <c r="J5" s="2"/>
      <c r="K5" s="2"/>
      <c r="L5" s="2"/>
      <c r="M5" s="2"/>
    </row>
    <row r="6" spans="1:13" ht="15.75" customHeight="1">
      <c r="A6" s="2"/>
      <c r="B6" s="88"/>
      <c r="C6" s="88"/>
      <c r="D6" s="88"/>
      <c r="E6" s="88"/>
      <c r="F6" s="88"/>
      <c r="G6" s="88"/>
      <c r="H6" s="88"/>
      <c r="I6" s="30">
        <v>43373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1" t="s">
        <v>239</v>
      </c>
      <c r="B8" s="141"/>
      <c r="C8" s="141"/>
      <c r="D8" s="141"/>
      <c r="E8" s="141"/>
      <c r="F8" s="141"/>
      <c r="G8" s="141"/>
      <c r="H8" s="141"/>
      <c r="I8" s="141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2" t="s">
        <v>187</v>
      </c>
      <c r="B10" s="142"/>
      <c r="C10" s="142"/>
      <c r="D10" s="142"/>
      <c r="E10" s="142"/>
      <c r="F10" s="142"/>
      <c r="G10" s="142"/>
      <c r="H10" s="142"/>
      <c r="I10" s="142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3" t="s">
        <v>58</v>
      </c>
      <c r="B14" s="143"/>
      <c r="C14" s="143"/>
      <c r="D14" s="143"/>
      <c r="E14" s="143"/>
      <c r="F14" s="143"/>
      <c r="G14" s="143"/>
      <c r="H14" s="143"/>
      <c r="I14" s="143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1" t="s">
        <v>86</v>
      </c>
      <c r="C16" s="62" t="s">
        <v>104</v>
      </c>
      <c r="D16" s="61" t="s">
        <v>105</v>
      </c>
      <c r="E16" s="47">
        <v>118.34</v>
      </c>
      <c r="F16" s="63">
        <f>SUM(E16*156/100)</f>
        <v>184.6104</v>
      </c>
      <c r="G16" s="63">
        <v>175.38</v>
      </c>
      <c r="H16" s="64">
        <f t="shared" ref="H16:H2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2</v>
      </c>
      <c r="B17" s="61" t="s">
        <v>93</v>
      </c>
      <c r="C17" s="62" t="s">
        <v>104</v>
      </c>
      <c r="D17" s="61" t="s">
        <v>140</v>
      </c>
      <c r="E17" s="47">
        <v>473.36</v>
      </c>
      <c r="F17" s="63">
        <f>SUM(E17*104/100)</f>
        <v>492.2944</v>
      </c>
      <c r="G17" s="63">
        <v>175.38</v>
      </c>
      <c r="H17" s="64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3</v>
      </c>
      <c r="B18" s="61" t="s">
        <v>94</v>
      </c>
      <c r="C18" s="62" t="s">
        <v>104</v>
      </c>
      <c r="D18" s="61" t="s">
        <v>106</v>
      </c>
      <c r="E18" s="47">
        <f>SUM(E16+E17)</f>
        <v>591.70000000000005</v>
      </c>
      <c r="F18" s="63">
        <f>SUM(E18*24/100)</f>
        <v>142.00800000000001</v>
      </c>
      <c r="G18" s="63">
        <v>504.5</v>
      </c>
      <c r="H18" s="64">
        <f t="shared" si="0"/>
        <v>71.643036000000009</v>
      </c>
      <c r="I18" s="13">
        <f>F18/12*G18</f>
        <v>5970.2530000000006</v>
      </c>
      <c r="J18" s="22"/>
      <c r="K18" s="8"/>
      <c r="L18" s="8"/>
      <c r="M18" s="8"/>
    </row>
    <row r="19" spans="1:13" ht="15.75" hidden="1" customHeight="1">
      <c r="A19" s="29">
        <v>4</v>
      </c>
      <c r="B19" s="61" t="s">
        <v>107</v>
      </c>
      <c r="C19" s="62" t="s">
        <v>108</v>
      </c>
      <c r="D19" s="61" t="s">
        <v>109</v>
      </c>
      <c r="E19" s="47">
        <v>38.4</v>
      </c>
      <c r="F19" s="63">
        <f>SUM(E19/10)</f>
        <v>3.84</v>
      </c>
      <c r="G19" s="63">
        <v>170.16</v>
      </c>
      <c r="H19" s="64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4</v>
      </c>
      <c r="B20" s="61" t="s">
        <v>98</v>
      </c>
      <c r="C20" s="62" t="s">
        <v>104</v>
      </c>
      <c r="D20" s="61" t="s">
        <v>30</v>
      </c>
      <c r="E20" s="47">
        <v>43.2</v>
      </c>
      <c r="F20" s="63">
        <f>SUM(E20*12/100)</f>
        <v>5.1840000000000011</v>
      </c>
      <c r="G20" s="63">
        <v>217.88</v>
      </c>
      <c r="H20" s="64">
        <f t="shared" si="0"/>
        <v>1.1294899200000001</v>
      </c>
      <c r="I20" s="13">
        <f>F20/12*G20</f>
        <v>94.124160000000018</v>
      </c>
      <c r="J20" s="22"/>
      <c r="K20" s="8"/>
      <c r="L20" s="8"/>
      <c r="M20" s="8"/>
    </row>
    <row r="21" spans="1:13" ht="15.75" customHeight="1">
      <c r="A21" s="29">
        <v>5</v>
      </c>
      <c r="B21" s="61" t="s">
        <v>99</v>
      </c>
      <c r="C21" s="62" t="s">
        <v>104</v>
      </c>
      <c r="D21" s="61" t="s">
        <v>30</v>
      </c>
      <c r="E21" s="47">
        <v>10.08</v>
      </c>
      <c r="F21" s="63">
        <f>SUM(E21*12/100)</f>
        <v>1.2096</v>
      </c>
      <c r="G21" s="63">
        <v>216.12</v>
      </c>
      <c r="H21" s="64">
        <f t="shared" si="0"/>
        <v>0.26141875199999998</v>
      </c>
      <c r="I21" s="13">
        <f>F21/12*G21</f>
        <v>21.784896</v>
      </c>
      <c r="J21" s="22"/>
      <c r="K21" s="8"/>
      <c r="L21" s="8"/>
      <c r="M21" s="8"/>
    </row>
    <row r="22" spans="1:13" ht="15.75" hidden="1" customHeight="1">
      <c r="A22" s="29">
        <v>7</v>
      </c>
      <c r="B22" s="61" t="s">
        <v>110</v>
      </c>
      <c r="C22" s="62" t="s">
        <v>51</v>
      </c>
      <c r="D22" s="61" t="s">
        <v>109</v>
      </c>
      <c r="E22" s="47">
        <v>771.12</v>
      </c>
      <c r="F22" s="63">
        <f>SUM(E22/100)</f>
        <v>7.7111999999999998</v>
      </c>
      <c r="G22" s="63">
        <v>269.26</v>
      </c>
      <c r="H22" s="64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61" t="s">
        <v>111</v>
      </c>
      <c r="C23" s="62" t="s">
        <v>51</v>
      </c>
      <c r="D23" s="61" t="s">
        <v>109</v>
      </c>
      <c r="E23" s="57">
        <v>70.56</v>
      </c>
      <c r="F23" s="63">
        <f>SUM(E23/100)</f>
        <v>0.7056</v>
      </c>
      <c r="G23" s="63">
        <v>44.29</v>
      </c>
      <c r="H23" s="64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61" t="s">
        <v>103</v>
      </c>
      <c r="C24" s="62" t="s">
        <v>51</v>
      </c>
      <c r="D24" s="61" t="s">
        <v>109</v>
      </c>
      <c r="E24" s="47">
        <v>28.22</v>
      </c>
      <c r="F24" s="63">
        <f>SUM(E24/100)</f>
        <v>0.28220000000000001</v>
      </c>
      <c r="G24" s="63">
        <v>520.79999999999995</v>
      </c>
      <c r="H24" s="64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customHeight="1">
      <c r="A25" s="29">
        <v>6</v>
      </c>
      <c r="B25" s="61" t="s">
        <v>63</v>
      </c>
      <c r="C25" s="62" t="s">
        <v>33</v>
      </c>
      <c r="D25" s="61" t="s">
        <v>137</v>
      </c>
      <c r="E25" s="47">
        <v>0.1</v>
      </c>
      <c r="F25" s="63">
        <f>SUM(E25*365)</f>
        <v>36.5</v>
      </c>
      <c r="G25" s="63">
        <v>147.03</v>
      </c>
      <c r="H25" s="64">
        <f t="shared" si="0"/>
        <v>5.3665950000000002</v>
      </c>
      <c r="I25" s="13">
        <f>F25/12*G25</f>
        <v>447.21625</v>
      </c>
      <c r="J25" s="23"/>
    </row>
    <row r="26" spans="1:13" ht="15.75" customHeight="1">
      <c r="A26" s="29">
        <v>7</v>
      </c>
      <c r="B26" s="68" t="s">
        <v>23</v>
      </c>
      <c r="C26" s="62" t="s">
        <v>24</v>
      </c>
      <c r="D26" s="68" t="s">
        <v>137</v>
      </c>
      <c r="E26" s="47">
        <v>4224.3999999999996</v>
      </c>
      <c r="F26" s="63">
        <f>SUM(E26*12)</f>
        <v>50692.799999999996</v>
      </c>
      <c r="G26" s="63">
        <v>4.59</v>
      </c>
      <c r="H26" s="64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145" t="s">
        <v>84</v>
      </c>
      <c r="B27" s="145"/>
      <c r="C27" s="145"/>
      <c r="D27" s="145"/>
      <c r="E27" s="145"/>
      <c r="F27" s="145"/>
      <c r="G27" s="145"/>
      <c r="H27" s="145"/>
      <c r="I27" s="145"/>
      <c r="J27" s="22"/>
      <c r="K27" s="8"/>
      <c r="L27" s="8"/>
      <c r="M27" s="8"/>
    </row>
    <row r="28" spans="1:13" ht="15.75" customHeight="1">
      <c r="A28" s="29"/>
      <c r="B28" s="81" t="s">
        <v>28</v>
      </c>
      <c r="C28" s="62"/>
      <c r="D28" s="61"/>
      <c r="E28" s="47"/>
      <c r="F28" s="63"/>
      <c r="G28" s="63"/>
      <c r="H28" s="64"/>
      <c r="I28" s="13"/>
      <c r="J28" s="22"/>
      <c r="K28" s="8"/>
      <c r="L28" s="8"/>
      <c r="M28" s="8"/>
    </row>
    <row r="29" spans="1:13" ht="15.75" customHeight="1">
      <c r="A29" s="29">
        <v>8</v>
      </c>
      <c r="B29" s="61" t="s">
        <v>112</v>
      </c>
      <c r="C29" s="62" t="s">
        <v>113</v>
      </c>
      <c r="D29" s="61" t="s">
        <v>114</v>
      </c>
      <c r="E29" s="63">
        <v>1414.6</v>
      </c>
      <c r="F29" s="63">
        <f>SUM(E29*52/1000)</f>
        <v>73.559200000000004</v>
      </c>
      <c r="G29" s="63">
        <v>155.88999999999999</v>
      </c>
      <c r="H29" s="64">
        <f t="shared" ref="H29:H35" si="2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customHeight="1">
      <c r="A30" s="29">
        <v>9</v>
      </c>
      <c r="B30" s="61" t="s">
        <v>141</v>
      </c>
      <c r="C30" s="62" t="s">
        <v>113</v>
      </c>
      <c r="D30" s="61" t="s">
        <v>115</v>
      </c>
      <c r="E30" s="63">
        <v>632.4</v>
      </c>
      <c r="F30" s="63">
        <f>SUM(E30*78/1000)</f>
        <v>49.327199999999998</v>
      </c>
      <c r="G30" s="63">
        <v>258.63</v>
      </c>
      <c r="H30" s="64">
        <f t="shared" si="2"/>
        <v>12.757493735999999</v>
      </c>
      <c r="I30" s="13">
        <f t="shared" ref="I30:I33" si="3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61" t="s">
        <v>27</v>
      </c>
      <c r="C31" s="62" t="s">
        <v>113</v>
      </c>
      <c r="D31" s="61" t="s">
        <v>52</v>
      </c>
      <c r="E31" s="63">
        <v>1414.6</v>
      </c>
      <c r="F31" s="63">
        <f>SUM(E31/1000)</f>
        <v>1.4145999999999999</v>
      </c>
      <c r="G31" s="63">
        <v>3020.33</v>
      </c>
      <c r="H31" s="64">
        <f t="shared" si="2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customHeight="1">
      <c r="A32" s="29">
        <v>10</v>
      </c>
      <c r="B32" s="61" t="s">
        <v>116</v>
      </c>
      <c r="C32" s="62" t="s">
        <v>39</v>
      </c>
      <c r="D32" s="61" t="s">
        <v>62</v>
      </c>
      <c r="E32" s="63">
        <v>6</v>
      </c>
      <c r="F32" s="63">
        <f>SUM(E32*155/100)</f>
        <v>9.3000000000000007</v>
      </c>
      <c r="G32" s="63">
        <v>1302.02</v>
      </c>
      <c r="H32" s="64">
        <f t="shared" si="2"/>
        <v>12.108786</v>
      </c>
      <c r="I32" s="13">
        <f t="shared" si="3"/>
        <v>2018.1310000000001</v>
      </c>
      <c r="J32" s="22"/>
      <c r="K32" s="8"/>
      <c r="L32" s="8"/>
      <c r="M32" s="8"/>
    </row>
    <row r="33" spans="1:14" ht="15.75" customHeight="1">
      <c r="A33" s="29">
        <v>11</v>
      </c>
      <c r="B33" s="61" t="s">
        <v>117</v>
      </c>
      <c r="C33" s="62" t="s">
        <v>31</v>
      </c>
      <c r="D33" s="61" t="s">
        <v>62</v>
      </c>
      <c r="E33" s="67">
        <v>0.33333333333333331</v>
      </c>
      <c r="F33" s="63">
        <f>155/3</f>
        <v>51.666666666666664</v>
      </c>
      <c r="G33" s="63">
        <v>56.69</v>
      </c>
      <c r="H33" s="64">
        <f t="shared" si="2"/>
        <v>2.9289833333333331</v>
      </c>
      <c r="I33" s="13">
        <f t="shared" si="3"/>
        <v>488.16388888888883</v>
      </c>
      <c r="J33" s="22"/>
      <c r="K33" s="8"/>
    </row>
    <row r="34" spans="1:14" ht="15.75" hidden="1" customHeight="1">
      <c r="A34" s="29"/>
      <c r="B34" s="61" t="s">
        <v>64</v>
      </c>
      <c r="C34" s="62" t="s">
        <v>33</v>
      </c>
      <c r="D34" s="61" t="s">
        <v>66</v>
      </c>
      <c r="E34" s="47"/>
      <c r="F34" s="63">
        <v>4</v>
      </c>
      <c r="G34" s="63">
        <v>191.32</v>
      </c>
      <c r="H34" s="64">
        <f t="shared" si="2"/>
        <v>0.76527999999999996</v>
      </c>
      <c r="I34" s="13">
        <v>0</v>
      </c>
      <c r="J34" s="23"/>
    </row>
    <row r="35" spans="1:14" ht="15.75" hidden="1" customHeight="1">
      <c r="A35" s="29"/>
      <c r="B35" s="61" t="s">
        <v>65</v>
      </c>
      <c r="C35" s="62" t="s">
        <v>32</v>
      </c>
      <c r="D35" s="61" t="s">
        <v>66</v>
      </c>
      <c r="E35" s="47"/>
      <c r="F35" s="63">
        <v>3</v>
      </c>
      <c r="G35" s="63">
        <v>1136.33</v>
      </c>
      <c r="H35" s="64">
        <f t="shared" si="2"/>
        <v>3.4089899999999997</v>
      </c>
      <c r="I35" s="13">
        <v>0</v>
      </c>
      <c r="J35" s="23"/>
    </row>
    <row r="36" spans="1:14" ht="15.75" hidden="1" customHeight="1">
      <c r="A36" s="29"/>
      <c r="B36" s="81" t="s">
        <v>5</v>
      </c>
      <c r="C36" s="62"/>
      <c r="D36" s="61"/>
      <c r="E36" s="47"/>
      <c r="F36" s="63"/>
      <c r="G36" s="63"/>
      <c r="H36" s="64" t="s">
        <v>130</v>
      </c>
      <c r="I36" s="13"/>
      <c r="J36" s="23"/>
    </row>
    <row r="37" spans="1:14" ht="15.75" hidden="1" customHeight="1">
      <c r="A37" s="29">
        <v>8</v>
      </c>
      <c r="B37" s="61" t="s">
        <v>26</v>
      </c>
      <c r="C37" s="62" t="s">
        <v>32</v>
      </c>
      <c r="D37" s="61"/>
      <c r="E37" s="47"/>
      <c r="F37" s="63">
        <v>20</v>
      </c>
      <c r="G37" s="63">
        <v>1527.22</v>
      </c>
      <c r="H37" s="64">
        <f t="shared" ref="H37:H43" si="4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61" t="s">
        <v>67</v>
      </c>
      <c r="C38" s="62" t="s">
        <v>29</v>
      </c>
      <c r="D38" s="61" t="s">
        <v>147</v>
      </c>
      <c r="E38" s="63">
        <v>632.4</v>
      </c>
      <c r="F38" s="63">
        <f>SUM(E38*50/1000)</f>
        <v>31.62</v>
      </c>
      <c r="G38" s="63">
        <v>2102.71</v>
      </c>
      <c r="H38" s="64">
        <f t="shared" si="4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61" t="s">
        <v>95</v>
      </c>
      <c r="C39" s="62" t="s">
        <v>118</v>
      </c>
      <c r="D39" s="61" t="s">
        <v>66</v>
      </c>
      <c r="E39" s="47"/>
      <c r="F39" s="63">
        <v>30</v>
      </c>
      <c r="G39" s="63">
        <v>213.2</v>
      </c>
      <c r="H39" s="64">
        <f t="shared" si="4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61" t="s">
        <v>68</v>
      </c>
      <c r="C40" s="62" t="s">
        <v>29</v>
      </c>
      <c r="D40" s="61" t="s">
        <v>119</v>
      </c>
      <c r="E40" s="63">
        <v>106</v>
      </c>
      <c r="F40" s="63">
        <f>SUM(E40*155/1000)</f>
        <v>16.43</v>
      </c>
      <c r="G40" s="63">
        <v>350.75</v>
      </c>
      <c r="H40" s="64">
        <f t="shared" si="4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61" t="s">
        <v>82</v>
      </c>
      <c r="C41" s="62" t="s">
        <v>113</v>
      </c>
      <c r="D41" s="61" t="s">
        <v>148</v>
      </c>
      <c r="E41" s="63">
        <v>106</v>
      </c>
      <c r="F41" s="63">
        <f>SUM(E41*70/1000)</f>
        <v>7.42</v>
      </c>
      <c r="G41" s="63">
        <v>5803.28</v>
      </c>
      <c r="H41" s="64">
        <f t="shared" si="4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61" t="s">
        <v>120</v>
      </c>
      <c r="C42" s="62" t="s">
        <v>113</v>
      </c>
      <c r="D42" s="61" t="s">
        <v>69</v>
      </c>
      <c r="E42" s="63">
        <v>106</v>
      </c>
      <c r="F42" s="63">
        <f>SUM(E42*45/1000)</f>
        <v>4.7699999999999996</v>
      </c>
      <c r="G42" s="63">
        <v>428.7</v>
      </c>
      <c r="H42" s="64">
        <f t="shared" si="4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29">
        <v>13</v>
      </c>
      <c r="B43" s="61" t="s">
        <v>70</v>
      </c>
      <c r="C43" s="62" t="s">
        <v>33</v>
      </c>
      <c r="D43" s="61"/>
      <c r="E43" s="47"/>
      <c r="F43" s="63">
        <v>0.9</v>
      </c>
      <c r="G43" s="63">
        <v>798</v>
      </c>
      <c r="H43" s="64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146" t="s">
        <v>133</v>
      </c>
      <c r="B44" s="147"/>
      <c r="C44" s="147"/>
      <c r="D44" s="147"/>
      <c r="E44" s="147"/>
      <c r="F44" s="147"/>
      <c r="G44" s="147"/>
      <c r="H44" s="147"/>
      <c r="I44" s="148"/>
      <c r="J44" s="23"/>
      <c r="L44" s="19"/>
      <c r="M44" s="20"/>
      <c r="N44" s="21"/>
    </row>
    <row r="45" spans="1:14" ht="15.75" customHeight="1">
      <c r="A45" s="29">
        <v>12</v>
      </c>
      <c r="B45" s="61" t="s">
        <v>149</v>
      </c>
      <c r="C45" s="62" t="s">
        <v>113</v>
      </c>
      <c r="D45" s="61" t="s">
        <v>41</v>
      </c>
      <c r="E45" s="47">
        <v>1150.5999999999999</v>
      </c>
      <c r="F45" s="63">
        <f>SUM(E45*2/1000)</f>
        <v>2.3011999999999997</v>
      </c>
      <c r="G45" s="13">
        <v>849.49</v>
      </c>
      <c r="H45" s="64">
        <f t="shared" ref="H45:H53" si="5">SUM(F45*G45/1000)</f>
        <v>1.9548463879999998</v>
      </c>
      <c r="I45" s="13">
        <f t="shared" ref="I45:I47" si="6">F45/2*G45</f>
        <v>977.42319399999985</v>
      </c>
      <c r="J45" s="23"/>
      <c r="L45" s="19"/>
      <c r="M45" s="20"/>
      <c r="N45" s="21"/>
    </row>
    <row r="46" spans="1:14" ht="15.75" customHeight="1">
      <c r="A46" s="29">
        <v>13</v>
      </c>
      <c r="B46" s="61" t="s">
        <v>34</v>
      </c>
      <c r="C46" s="62" t="s">
        <v>113</v>
      </c>
      <c r="D46" s="61" t="s">
        <v>41</v>
      </c>
      <c r="E46" s="47">
        <v>108.96</v>
      </c>
      <c r="F46" s="63">
        <f>SUM(E46*2/1000)</f>
        <v>0.21791999999999997</v>
      </c>
      <c r="G46" s="13">
        <v>579.48</v>
      </c>
      <c r="H46" s="64">
        <f t="shared" si="5"/>
        <v>0.12628028159999999</v>
      </c>
      <c r="I46" s="13">
        <f t="shared" si="6"/>
        <v>63.140140799999998</v>
      </c>
      <c r="J46" s="23"/>
      <c r="L46" s="19"/>
      <c r="M46" s="20"/>
      <c r="N46" s="21"/>
    </row>
    <row r="47" spans="1:14" ht="15.75" customHeight="1">
      <c r="A47" s="29">
        <v>14</v>
      </c>
      <c r="B47" s="61" t="s">
        <v>35</v>
      </c>
      <c r="C47" s="62" t="s">
        <v>113</v>
      </c>
      <c r="D47" s="61" t="s">
        <v>41</v>
      </c>
      <c r="E47" s="47">
        <v>4224.3999999999996</v>
      </c>
      <c r="F47" s="63">
        <f>SUM(E47*2/1000)</f>
        <v>8.4487999999999985</v>
      </c>
      <c r="G47" s="13">
        <v>579.48</v>
      </c>
      <c r="H47" s="64">
        <f t="shared" si="5"/>
        <v>4.895910623999999</v>
      </c>
      <c r="I47" s="13">
        <f t="shared" si="6"/>
        <v>2447.9553119999996</v>
      </c>
      <c r="J47" s="23"/>
      <c r="L47" s="19"/>
      <c r="M47" s="20"/>
      <c r="N47" s="21"/>
    </row>
    <row r="48" spans="1:14" ht="15.75" customHeight="1">
      <c r="A48" s="29">
        <v>15</v>
      </c>
      <c r="B48" s="61" t="s">
        <v>36</v>
      </c>
      <c r="C48" s="62" t="s">
        <v>113</v>
      </c>
      <c r="D48" s="61" t="s">
        <v>41</v>
      </c>
      <c r="E48" s="47">
        <v>3059.7</v>
      </c>
      <c r="F48" s="63">
        <f>SUM(E48*2/1000)</f>
        <v>6.1193999999999997</v>
      </c>
      <c r="G48" s="13">
        <v>606.77</v>
      </c>
      <c r="H48" s="64">
        <f t="shared" si="5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customHeight="1">
      <c r="A49" s="29">
        <v>16</v>
      </c>
      <c r="B49" s="61" t="s">
        <v>55</v>
      </c>
      <c r="C49" s="62" t="s">
        <v>113</v>
      </c>
      <c r="D49" s="61" t="s">
        <v>142</v>
      </c>
      <c r="E49" s="47">
        <v>1150.5999999999999</v>
      </c>
      <c r="F49" s="63">
        <f>SUM(E49*5/1000)</f>
        <v>5.7530000000000001</v>
      </c>
      <c r="G49" s="13">
        <v>1213.55</v>
      </c>
      <c r="H49" s="64">
        <f t="shared" si="5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14</v>
      </c>
      <c r="B50" s="61" t="s">
        <v>121</v>
      </c>
      <c r="C50" s="62" t="s">
        <v>113</v>
      </c>
      <c r="D50" s="61" t="s">
        <v>41</v>
      </c>
      <c r="E50" s="47">
        <v>1150.5999999999999</v>
      </c>
      <c r="F50" s="63">
        <f>SUM(E50*2/1000)</f>
        <v>2.3011999999999997</v>
      </c>
      <c r="G50" s="13">
        <v>1213.55</v>
      </c>
      <c r="H50" s="64">
        <f t="shared" si="5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15</v>
      </c>
      <c r="B51" s="61" t="s">
        <v>122</v>
      </c>
      <c r="C51" s="62" t="s">
        <v>37</v>
      </c>
      <c r="D51" s="61" t="s">
        <v>41</v>
      </c>
      <c r="E51" s="47">
        <v>30</v>
      </c>
      <c r="F51" s="63">
        <f>SUM(E51*2/100)</f>
        <v>0.6</v>
      </c>
      <c r="G51" s="13">
        <v>2730.49</v>
      </c>
      <c r="H51" s="64">
        <f t="shared" si="5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61" t="s">
        <v>38</v>
      </c>
      <c r="C52" s="62" t="s">
        <v>39</v>
      </c>
      <c r="D52" s="61" t="s">
        <v>41</v>
      </c>
      <c r="E52" s="47">
        <v>1</v>
      </c>
      <c r="F52" s="63">
        <v>0.02</v>
      </c>
      <c r="G52" s="13">
        <v>5652.13</v>
      </c>
      <c r="H52" s="64">
        <f t="shared" si="5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12</v>
      </c>
      <c r="B53" s="61" t="s">
        <v>40</v>
      </c>
      <c r="C53" s="62" t="s">
        <v>123</v>
      </c>
      <c r="D53" s="61" t="s">
        <v>71</v>
      </c>
      <c r="E53" s="47">
        <v>158</v>
      </c>
      <c r="F53" s="63">
        <f>SUM(E53)*3</f>
        <v>474</v>
      </c>
      <c r="G53" s="13">
        <v>65.67</v>
      </c>
      <c r="H53" s="64">
        <f t="shared" si="5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146" t="s">
        <v>134</v>
      </c>
      <c r="B54" s="147"/>
      <c r="C54" s="147"/>
      <c r="D54" s="147"/>
      <c r="E54" s="147"/>
      <c r="F54" s="147"/>
      <c r="G54" s="147"/>
      <c r="H54" s="147"/>
      <c r="I54" s="148"/>
      <c r="J54" s="23"/>
      <c r="L54" s="19"/>
      <c r="M54" s="20"/>
      <c r="N54" s="21"/>
    </row>
    <row r="55" spans="1:22" ht="15.75" hidden="1" customHeight="1">
      <c r="A55" s="29"/>
      <c r="B55" s="81" t="s">
        <v>42</v>
      </c>
      <c r="C55" s="62"/>
      <c r="D55" s="61"/>
      <c r="E55" s="47"/>
      <c r="F55" s="63"/>
      <c r="G55" s="63"/>
      <c r="H55" s="64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61" t="s">
        <v>151</v>
      </c>
      <c r="C56" s="62" t="s">
        <v>104</v>
      </c>
      <c r="D56" s="61" t="s">
        <v>152</v>
      </c>
      <c r="E56" s="90">
        <v>6</v>
      </c>
      <c r="F56" s="13">
        <f>E56*8/100</f>
        <v>0.48</v>
      </c>
      <c r="G56" s="63">
        <v>1547.28</v>
      </c>
      <c r="H56" s="64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91"/>
      <c r="B57" s="61" t="s">
        <v>100</v>
      </c>
      <c r="C57" s="62" t="s">
        <v>101</v>
      </c>
      <c r="D57" s="61" t="s">
        <v>41</v>
      </c>
      <c r="E57" s="47">
        <v>6</v>
      </c>
      <c r="F57" s="63">
        <v>12</v>
      </c>
      <c r="G57" s="69">
        <v>180.78</v>
      </c>
      <c r="H57" s="64">
        <f t="shared" ref="H57" si="7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82" t="s">
        <v>43</v>
      </c>
      <c r="C58" s="70"/>
      <c r="D58" s="71"/>
      <c r="E58" s="72"/>
      <c r="F58" s="74"/>
      <c r="G58" s="13"/>
      <c r="H58" s="75"/>
      <c r="I58" s="13"/>
      <c r="J58" s="23"/>
      <c r="L58" s="19"/>
      <c r="M58" s="20"/>
      <c r="N58" s="21"/>
    </row>
    <row r="59" spans="1:22" ht="15.75" customHeight="1">
      <c r="A59" s="29">
        <v>17</v>
      </c>
      <c r="B59" s="71" t="s">
        <v>96</v>
      </c>
      <c r="C59" s="70" t="s">
        <v>25</v>
      </c>
      <c r="D59" s="71"/>
      <c r="E59" s="72">
        <v>232.6</v>
      </c>
      <c r="F59" s="73">
        <v>2400</v>
      </c>
      <c r="G59" s="92">
        <v>1.2</v>
      </c>
      <c r="H59" s="74">
        <f>G59*F59</f>
        <v>2880</v>
      </c>
      <c r="I59" s="13">
        <f>F59/12*G59</f>
        <v>240</v>
      </c>
      <c r="J59" s="23"/>
      <c r="L59" s="19"/>
    </row>
    <row r="60" spans="1:22" ht="15.75" customHeight="1">
      <c r="A60" s="29"/>
      <c r="B60" s="82" t="s">
        <v>44</v>
      </c>
      <c r="C60" s="70"/>
      <c r="D60" s="71"/>
      <c r="E60" s="72"/>
      <c r="F60" s="73"/>
      <c r="G60" s="73"/>
      <c r="H60" s="74" t="s">
        <v>130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18</v>
      </c>
      <c r="B61" s="14" t="s">
        <v>45</v>
      </c>
      <c r="C61" s="16" t="s">
        <v>123</v>
      </c>
      <c r="D61" s="14" t="s">
        <v>66</v>
      </c>
      <c r="E61" s="18">
        <v>15</v>
      </c>
      <c r="F61" s="63">
        <v>15</v>
      </c>
      <c r="G61" s="13">
        <v>209.41</v>
      </c>
      <c r="H61" s="76">
        <f t="shared" ref="H61:H68" si="8">SUM(F61*G61/1000)</f>
        <v>3.1411500000000001</v>
      </c>
      <c r="I61" s="13">
        <f>G61*4</f>
        <v>837.64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123</v>
      </c>
      <c r="D62" s="14" t="s">
        <v>66</v>
      </c>
      <c r="E62" s="18">
        <v>5</v>
      </c>
      <c r="F62" s="63">
        <v>5</v>
      </c>
      <c r="G62" s="13">
        <v>71.790000000000006</v>
      </c>
      <c r="H62" s="76">
        <f t="shared" si="8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47</v>
      </c>
      <c r="C63" s="16" t="s">
        <v>124</v>
      </c>
      <c r="D63" s="14" t="s">
        <v>52</v>
      </c>
      <c r="E63" s="47">
        <v>18281</v>
      </c>
      <c r="F63" s="13">
        <f>SUM(E63/100)</f>
        <v>182.81</v>
      </c>
      <c r="G63" s="13">
        <v>199.77</v>
      </c>
      <c r="H63" s="76">
        <f t="shared" si="8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134"/>
      <c r="S63" s="134"/>
      <c r="T63" s="134"/>
      <c r="U63" s="134"/>
    </row>
    <row r="64" spans="1:22" ht="15.75" hidden="1" customHeight="1">
      <c r="A64" s="29">
        <v>25</v>
      </c>
      <c r="B64" s="14" t="s">
        <v>48</v>
      </c>
      <c r="C64" s="16" t="s">
        <v>125</v>
      </c>
      <c r="D64" s="14"/>
      <c r="E64" s="47">
        <v>18281</v>
      </c>
      <c r="F64" s="13">
        <f>SUM(E64/1000)</f>
        <v>18.280999999999999</v>
      </c>
      <c r="G64" s="13">
        <v>155.57</v>
      </c>
      <c r="H64" s="76">
        <f t="shared" si="8"/>
        <v>2.8439751699999998</v>
      </c>
      <c r="I64" s="13">
        <f t="shared" ref="I64:I67" si="9">F64*G64</f>
        <v>2843.9751699999997</v>
      </c>
    </row>
    <row r="65" spans="1:9" ht="15.75" hidden="1" customHeight="1">
      <c r="A65" s="29">
        <v>26</v>
      </c>
      <c r="B65" s="14" t="s">
        <v>49</v>
      </c>
      <c r="C65" s="16" t="s">
        <v>75</v>
      </c>
      <c r="D65" s="14" t="s">
        <v>52</v>
      </c>
      <c r="E65" s="47">
        <v>2730</v>
      </c>
      <c r="F65" s="13">
        <f>SUM(E65/100)</f>
        <v>27.3</v>
      </c>
      <c r="G65" s="13">
        <v>1953.52</v>
      </c>
      <c r="H65" s="76">
        <f t="shared" si="8"/>
        <v>53.331095999999995</v>
      </c>
      <c r="I65" s="13">
        <f t="shared" si="9"/>
        <v>53331.095999999998</v>
      </c>
    </row>
    <row r="66" spans="1:9" ht="15.75" hidden="1" customHeight="1">
      <c r="A66" s="29">
        <v>27</v>
      </c>
      <c r="B66" s="77" t="s">
        <v>126</v>
      </c>
      <c r="C66" s="16" t="s">
        <v>33</v>
      </c>
      <c r="D66" s="14"/>
      <c r="E66" s="47">
        <v>16.399999999999999</v>
      </c>
      <c r="F66" s="13">
        <f>SUM(E66)</f>
        <v>16.399999999999999</v>
      </c>
      <c r="G66" s="13">
        <v>40.270000000000003</v>
      </c>
      <c r="H66" s="76">
        <f t="shared" si="8"/>
        <v>0.66042800000000002</v>
      </c>
      <c r="I66" s="13">
        <f t="shared" si="9"/>
        <v>660.428</v>
      </c>
    </row>
    <row r="67" spans="1:9" ht="15.75" hidden="1" customHeight="1">
      <c r="A67" s="29">
        <v>28</v>
      </c>
      <c r="B67" s="77" t="s">
        <v>127</v>
      </c>
      <c r="C67" s="16" t="s">
        <v>33</v>
      </c>
      <c r="D67" s="14"/>
      <c r="E67" s="47">
        <v>16.399999999999999</v>
      </c>
      <c r="F67" s="13">
        <f>SUM(E67)</f>
        <v>16.399999999999999</v>
      </c>
      <c r="G67" s="13">
        <v>37.71</v>
      </c>
      <c r="H67" s="76">
        <f t="shared" si="8"/>
        <v>0.61844399999999999</v>
      </c>
      <c r="I67" s="13">
        <f t="shared" si="9"/>
        <v>618.44399999999996</v>
      </c>
    </row>
    <row r="68" spans="1:9" ht="15.75" customHeight="1">
      <c r="A68" s="29">
        <v>19</v>
      </c>
      <c r="B68" s="14" t="s">
        <v>56</v>
      </c>
      <c r="C68" s="16" t="s">
        <v>57</v>
      </c>
      <c r="D68" s="14" t="s">
        <v>52</v>
      </c>
      <c r="E68" s="18">
        <v>7</v>
      </c>
      <c r="F68" s="63">
        <f>SUM(E68)</f>
        <v>7</v>
      </c>
      <c r="G68" s="13">
        <v>46.97</v>
      </c>
      <c r="H68" s="76">
        <f t="shared" si="8"/>
        <v>0.32878999999999997</v>
      </c>
      <c r="I68" s="13">
        <f>G68*7</f>
        <v>328.78999999999996</v>
      </c>
    </row>
    <row r="69" spans="1:9" ht="15.75" hidden="1" customHeight="1">
      <c r="A69" s="29"/>
      <c r="B69" s="89" t="s">
        <v>72</v>
      </c>
      <c r="C69" s="16"/>
      <c r="D69" s="14"/>
      <c r="E69" s="18"/>
      <c r="F69" s="13"/>
      <c r="G69" s="13"/>
      <c r="H69" s="76" t="s">
        <v>130</v>
      </c>
      <c r="I69" s="13"/>
    </row>
    <row r="70" spans="1:9" ht="15.75" hidden="1" customHeight="1">
      <c r="A70" s="29"/>
      <c r="B70" s="14" t="s">
        <v>88</v>
      </c>
      <c r="C70" s="16" t="s">
        <v>31</v>
      </c>
      <c r="D70" s="14"/>
      <c r="E70" s="18">
        <v>1</v>
      </c>
      <c r="F70" s="63">
        <f>SUM(E70)</f>
        <v>1</v>
      </c>
      <c r="G70" s="13">
        <v>337.58</v>
      </c>
      <c r="H70" s="76">
        <f t="shared" ref="H70" si="10">SUM(F70*G70/1000)</f>
        <v>0.33757999999999999</v>
      </c>
      <c r="I70" s="13">
        <v>0</v>
      </c>
    </row>
    <row r="71" spans="1:9" ht="15.75" hidden="1" customHeight="1">
      <c r="A71" s="29"/>
      <c r="B71" s="14" t="s">
        <v>73</v>
      </c>
      <c r="C71" s="16" t="s">
        <v>31</v>
      </c>
      <c r="D71" s="14"/>
      <c r="E71" s="18">
        <v>2</v>
      </c>
      <c r="F71" s="13">
        <v>2</v>
      </c>
      <c r="G71" s="13">
        <v>803.19</v>
      </c>
      <c r="H71" s="76">
        <f>F71*G71/1000</f>
        <v>1.6063800000000001</v>
      </c>
      <c r="I71" s="13">
        <v>0</v>
      </c>
    </row>
    <row r="72" spans="1:9" ht="15.75" hidden="1" customHeight="1">
      <c r="A72" s="29"/>
      <c r="B72" s="78" t="s">
        <v>74</v>
      </c>
      <c r="C72" s="16"/>
      <c r="D72" s="14"/>
      <c r="E72" s="18"/>
      <c r="F72" s="13"/>
      <c r="G72" s="13" t="s">
        <v>130</v>
      </c>
      <c r="H72" s="76" t="s">
        <v>130</v>
      </c>
      <c r="I72" s="13"/>
    </row>
    <row r="73" spans="1:9" ht="15.75" hidden="1" customHeight="1">
      <c r="A73" s="29"/>
      <c r="B73" s="42" t="s">
        <v>131</v>
      </c>
      <c r="C73" s="16" t="s">
        <v>75</v>
      </c>
      <c r="D73" s="14"/>
      <c r="E73" s="18"/>
      <c r="F73" s="13">
        <v>1.35</v>
      </c>
      <c r="G73" s="13">
        <v>2494</v>
      </c>
      <c r="H73" s="76">
        <f t="shared" ref="H73" si="11">SUM(F73*G73/1000)</f>
        <v>3.3669000000000002</v>
      </c>
      <c r="I73" s="13">
        <v>0</v>
      </c>
    </row>
    <row r="74" spans="1:9" ht="15.75" hidden="1" customHeight="1">
      <c r="A74" s="29"/>
      <c r="B74" s="65" t="s">
        <v>128</v>
      </c>
      <c r="C74" s="78"/>
      <c r="D74" s="31"/>
      <c r="E74" s="32"/>
      <c r="F74" s="66"/>
      <c r="G74" s="66"/>
      <c r="H74" s="79">
        <f>SUM(H56:H73)</f>
        <v>2986.0257012699999</v>
      </c>
      <c r="I74" s="66"/>
    </row>
    <row r="75" spans="1:9" ht="15.75" hidden="1" customHeight="1">
      <c r="A75" s="29">
        <v>29</v>
      </c>
      <c r="B75" s="61" t="s">
        <v>129</v>
      </c>
      <c r="C75" s="16"/>
      <c r="D75" s="14"/>
      <c r="E75" s="56"/>
      <c r="F75" s="13">
        <v>1</v>
      </c>
      <c r="G75" s="13">
        <v>17359.8</v>
      </c>
      <c r="H75" s="76">
        <f>G75*F75/1000</f>
        <v>17.3598</v>
      </c>
      <c r="I75" s="13">
        <f>G75</f>
        <v>17359.8</v>
      </c>
    </row>
    <row r="76" spans="1:9" ht="15.75" customHeight="1">
      <c r="A76" s="135" t="s">
        <v>135</v>
      </c>
      <c r="B76" s="136"/>
      <c r="C76" s="136"/>
      <c r="D76" s="136"/>
      <c r="E76" s="136"/>
      <c r="F76" s="136"/>
      <c r="G76" s="136"/>
      <c r="H76" s="136"/>
      <c r="I76" s="137"/>
    </row>
    <row r="77" spans="1:9" ht="15.75" customHeight="1">
      <c r="A77" s="29">
        <v>20</v>
      </c>
      <c r="B77" s="61" t="s">
        <v>132</v>
      </c>
      <c r="C77" s="16" t="s">
        <v>53</v>
      </c>
      <c r="D77" s="80" t="s">
        <v>54</v>
      </c>
      <c r="E77" s="13">
        <v>4224.3999999999996</v>
      </c>
      <c r="F77" s="13">
        <f>SUM(E77*12)</f>
        <v>50692.799999999996</v>
      </c>
      <c r="G77" s="13">
        <v>2.1</v>
      </c>
      <c r="H77" s="76">
        <f>SUM(F77*G77/1000)</f>
        <v>106.45487999999999</v>
      </c>
      <c r="I77" s="13">
        <f>F77/12*G77</f>
        <v>8871.24</v>
      </c>
    </row>
    <row r="78" spans="1:9" ht="31.5" customHeight="1">
      <c r="A78" s="29">
        <v>21</v>
      </c>
      <c r="B78" s="14" t="s">
        <v>76</v>
      </c>
      <c r="C78" s="16"/>
      <c r="D78" s="80" t="s">
        <v>54</v>
      </c>
      <c r="E78" s="47">
        <v>4224.3999999999996</v>
      </c>
      <c r="F78" s="13">
        <f>E78*12</f>
        <v>50692.799999999996</v>
      </c>
      <c r="G78" s="13">
        <v>1.63</v>
      </c>
      <c r="H78" s="76">
        <f>F78*G78/1000</f>
        <v>82.629263999999978</v>
      </c>
      <c r="I78" s="13">
        <f>F78/12*G78</f>
        <v>6885.771999999999</v>
      </c>
    </row>
    <row r="79" spans="1:9" ht="15.75" customHeight="1">
      <c r="A79" s="87"/>
      <c r="B79" s="34" t="s">
        <v>79</v>
      </c>
      <c r="C79" s="35"/>
      <c r="D79" s="15"/>
      <c r="E79" s="15"/>
      <c r="F79" s="15"/>
      <c r="G79" s="18"/>
      <c r="H79" s="18"/>
      <c r="I79" s="32">
        <f>I78+I77+I68+I61+I59+I49+I48+I47+I46+I45+I33+I32+I30+I29+I26+I25+I21+I20+I18+I17+I16</f>
        <v>66264.877863355548</v>
      </c>
    </row>
    <row r="80" spans="1:9" ht="15.75" customHeight="1">
      <c r="A80" s="153" t="s">
        <v>59</v>
      </c>
      <c r="B80" s="154"/>
      <c r="C80" s="154"/>
      <c r="D80" s="154"/>
      <c r="E80" s="154"/>
      <c r="F80" s="154"/>
      <c r="G80" s="154"/>
      <c r="H80" s="154"/>
      <c r="I80" s="155"/>
    </row>
    <row r="81" spans="1:9" ht="18" customHeight="1">
      <c r="A81" s="29" t="s">
        <v>221</v>
      </c>
      <c r="B81" s="46" t="s">
        <v>158</v>
      </c>
      <c r="C81" s="48" t="s">
        <v>123</v>
      </c>
      <c r="D81" s="42"/>
      <c r="E81" s="13"/>
      <c r="F81" s="13">
        <v>640</v>
      </c>
      <c r="G81" s="13">
        <v>55.55</v>
      </c>
      <c r="H81" s="76">
        <f t="shared" ref="H81" si="12">G81*F81/1000</f>
        <v>35.552</v>
      </c>
      <c r="I81" s="13">
        <f>G81*80</f>
        <v>4444</v>
      </c>
    </row>
    <row r="82" spans="1:9" ht="15.75" customHeight="1">
      <c r="A82" s="29">
        <v>23</v>
      </c>
      <c r="B82" s="129" t="s">
        <v>266</v>
      </c>
      <c r="C82" s="130" t="s">
        <v>267</v>
      </c>
      <c r="D82" s="102"/>
      <c r="E82" s="103"/>
      <c r="F82" s="103">
        <f>(3*7+5+10+10+10+10+20+20+5+10+20+3)/3</f>
        <v>48</v>
      </c>
      <c r="G82" s="103">
        <v>4165.3999999999996</v>
      </c>
      <c r="H82" s="104">
        <f t="shared" ref="H82:H89" si="13">G82*F82/1000</f>
        <v>199.93919999999997</v>
      </c>
      <c r="I82" s="13">
        <f>G82*0.1</f>
        <v>416.53999999999996</v>
      </c>
    </row>
    <row r="83" spans="1:9" ht="15.75" customHeight="1">
      <c r="A83" s="29">
        <v>24</v>
      </c>
      <c r="B83" s="100" t="s">
        <v>268</v>
      </c>
      <c r="C83" s="101" t="s">
        <v>123</v>
      </c>
      <c r="D83" s="42"/>
      <c r="E83" s="13"/>
      <c r="F83" s="13">
        <v>6</v>
      </c>
      <c r="G83" s="103">
        <v>1276</v>
      </c>
      <c r="H83" s="76">
        <f t="shared" si="13"/>
        <v>7.6559999999999997</v>
      </c>
      <c r="I83" s="13">
        <f>G83*1</f>
        <v>1276</v>
      </c>
    </row>
    <row r="84" spans="1:9" ht="15.75" customHeight="1">
      <c r="A84" s="29">
        <v>25</v>
      </c>
      <c r="B84" s="100" t="s">
        <v>81</v>
      </c>
      <c r="C84" s="101" t="s">
        <v>123</v>
      </c>
      <c r="D84" s="42"/>
      <c r="E84" s="13"/>
      <c r="F84" s="13">
        <v>6</v>
      </c>
      <c r="G84" s="103">
        <v>197.48</v>
      </c>
      <c r="H84" s="76">
        <f>G84*F84/1000</f>
        <v>1.1848799999999999</v>
      </c>
      <c r="I84" s="13">
        <f>G84*2</f>
        <v>394.96</v>
      </c>
    </row>
    <row r="85" spans="1:9" ht="30.75" customHeight="1">
      <c r="A85" s="29">
        <v>26</v>
      </c>
      <c r="B85" s="100" t="s">
        <v>203</v>
      </c>
      <c r="C85" s="101" t="s">
        <v>153</v>
      </c>
      <c r="D85" s="16" t="s">
        <v>269</v>
      </c>
      <c r="E85" s="13"/>
      <c r="F85" s="13">
        <v>2</v>
      </c>
      <c r="G85" s="103">
        <v>1272</v>
      </c>
      <c r="H85" s="76">
        <f>G85*F85/1000</f>
        <v>2.544</v>
      </c>
      <c r="I85" s="13">
        <f>G85*2.5</f>
        <v>3180</v>
      </c>
    </row>
    <row r="86" spans="1:9" ht="15.75" customHeight="1">
      <c r="A86" s="29">
        <v>27</v>
      </c>
      <c r="B86" s="100" t="s">
        <v>204</v>
      </c>
      <c r="C86" s="101" t="s">
        <v>123</v>
      </c>
      <c r="D86" s="42"/>
      <c r="E86" s="13"/>
      <c r="F86" s="13">
        <v>3</v>
      </c>
      <c r="G86" s="103">
        <v>8.44</v>
      </c>
      <c r="H86" s="76">
        <f t="shared" ref="H86" si="14">G86*F86/1000</f>
        <v>2.5319999999999999E-2</v>
      </c>
      <c r="I86" s="13">
        <f>G86*1</f>
        <v>8.44</v>
      </c>
    </row>
    <row r="87" spans="1:9" ht="15.75" customHeight="1">
      <c r="A87" s="29">
        <v>28</v>
      </c>
      <c r="B87" s="100" t="s">
        <v>205</v>
      </c>
      <c r="C87" s="101" t="s">
        <v>123</v>
      </c>
      <c r="D87" s="42"/>
      <c r="E87" s="13"/>
      <c r="F87" s="13">
        <v>960</v>
      </c>
      <c r="G87" s="103">
        <v>5.42</v>
      </c>
      <c r="H87" s="76">
        <f t="shared" si="13"/>
        <v>5.2031999999999998</v>
      </c>
      <c r="I87" s="13">
        <f>G87*1</f>
        <v>5.42</v>
      </c>
    </row>
    <row r="88" spans="1:9" ht="15.75" customHeight="1">
      <c r="A88" s="29">
        <v>29</v>
      </c>
      <c r="B88" s="100" t="s">
        <v>207</v>
      </c>
      <c r="C88" s="101" t="s">
        <v>123</v>
      </c>
      <c r="D88" s="102"/>
      <c r="E88" s="103"/>
      <c r="F88" s="103">
        <v>6</v>
      </c>
      <c r="G88" s="103">
        <v>169.24</v>
      </c>
      <c r="H88" s="104">
        <f t="shared" si="13"/>
        <v>1.0154400000000001</v>
      </c>
      <c r="I88" s="13">
        <f>G88*1</f>
        <v>169.24</v>
      </c>
    </row>
    <row r="89" spans="1:9" ht="15.75" customHeight="1">
      <c r="A89" s="29">
        <v>30</v>
      </c>
      <c r="B89" s="100" t="s">
        <v>270</v>
      </c>
      <c r="C89" s="101" t="s">
        <v>123</v>
      </c>
      <c r="D89" s="105"/>
      <c r="E89" s="17"/>
      <c r="F89" s="103">
        <v>10</v>
      </c>
      <c r="G89" s="103">
        <v>10</v>
      </c>
      <c r="H89" s="104">
        <f t="shared" si="13"/>
        <v>0.1</v>
      </c>
      <c r="I89" s="13">
        <f>G89*1</f>
        <v>10</v>
      </c>
    </row>
    <row r="90" spans="1:9" ht="15.75" hidden="1" customHeight="1">
      <c r="A90" s="29">
        <v>31</v>
      </c>
      <c r="B90" s="100"/>
      <c r="C90" s="101"/>
      <c r="D90" s="102"/>
      <c r="E90" s="103"/>
      <c r="F90" s="103">
        <v>4</v>
      </c>
      <c r="G90" s="103"/>
      <c r="H90" s="104">
        <f t="shared" ref="H90" si="15">G90*F90/1000</f>
        <v>0</v>
      </c>
      <c r="I90" s="13"/>
    </row>
    <row r="91" spans="1:9" ht="31.5" hidden="1" customHeight="1">
      <c r="A91" s="29">
        <v>32</v>
      </c>
      <c r="B91" s="46"/>
      <c r="C91" s="48"/>
      <c r="D91" s="42"/>
      <c r="E91" s="103"/>
      <c r="F91" s="103">
        <v>20.5</v>
      </c>
      <c r="G91" s="103"/>
      <c r="H91" s="104">
        <f>G91*F91/1000</f>
        <v>0</v>
      </c>
      <c r="I91" s="13"/>
    </row>
    <row r="92" spans="1:9" ht="14.25" customHeight="1">
      <c r="A92" s="29">
        <v>31</v>
      </c>
      <c r="B92" s="129" t="s">
        <v>282</v>
      </c>
      <c r="C92" s="130" t="s">
        <v>92</v>
      </c>
      <c r="D92" s="42"/>
      <c r="E92" s="103"/>
      <c r="F92" s="103"/>
      <c r="G92" s="103">
        <v>532.63</v>
      </c>
      <c r="H92" s="104"/>
      <c r="I92" s="13">
        <f>G92*2</f>
        <v>1065.26</v>
      </c>
    </row>
    <row r="93" spans="1:9" ht="14.25" customHeight="1">
      <c r="A93" s="29">
        <v>32</v>
      </c>
      <c r="B93" s="100" t="s">
        <v>280</v>
      </c>
      <c r="C93" s="101" t="s">
        <v>281</v>
      </c>
      <c r="D93" s="42"/>
      <c r="E93" s="103"/>
      <c r="F93" s="103"/>
      <c r="G93" s="103">
        <v>24829.08</v>
      </c>
      <c r="H93" s="104"/>
      <c r="I93" s="13">
        <f>G93*0.01</f>
        <v>248.29080000000002</v>
      </c>
    </row>
    <row r="94" spans="1:9" ht="15.75" customHeight="1">
      <c r="A94" s="29"/>
      <c r="B94" s="40" t="s">
        <v>50</v>
      </c>
      <c r="C94" s="36"/>
      <c r="D94" s="44"/>
      <c r="E94" s="36">
        <v>1</v>
      </c>
      <c r="F94" s="36"/>
      <c r="G94" s="36"/>
      <c r="H94" s="36"/>
      <c r="I94" s="32">
        <f>SUM(I82:I93)</f>
        <v>6774.1507999999994</v>
      </c>
    </row>
    <row r="95" spans="1:9" ht="15.75" customHeight="1">
      <c r="A95" s="29"/>
      <c r="B95" s="42" t="s">
        <v>77</v>
      </c>
      <c r="C95" s="15"/>
      <c r="D95" s="15"/>
      <c r="E95" s="37"/>
      <c r="F95" s="37"/>
      <c r="G95" s="38"/>
      <c r="H95" s="38"/>
      <c r="I95" s="17">
        <v>0</v>
      </c>
    </row>
    <row r="96" spans="1:9" ht="15.75" customHeight="1">
      <c r="A96" s="45"/>
      <c r="B96" s="41" t="s">
        <v>145</v>
      </c>
      <c r="C96" s="33"/>
      <c r="D96" s="33"/>
      <c r="E96" s="33"/>
      <c r="F96" s="33"/>
      <c r="G96" s="33"/>
      <c r="H96" s="33"/>
      <c r="I96" s="39">
        <f>I79+I94</f>
        <v>73039.028663355552</v>
      </c>
    </row>
    <row r="97" spans="1:9" ht="15.75" customHeight="1">
      <c r="A97" s="156" t="s">
        <v>271</v>
      </c>
      <c r="B97" s="157"/>
      <c r="C97" s="157"/>
      <c r="D97" s="157"/>
      <c r="E97" s="157"/>
      <c r="F97" s="157"/>
      <c r="G97" s="157"/>
      <c r="H97" s="157"/>
      <c r="I97" s="157"/>
    </row>
    <row r="98" spans="1:9" ht="15.75" customHeight="1">
      <c r="A98" s="149" t="s">
        <v>285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55"/>
      <c r="B99" s="150" t="s">
        <v>286</v>
      </c>
      <c r="C99" s="150"/>
      <c r="D99" s="150"/>
      <c r="E99" s="150"/>
      <c r="F99" s="150"/>
      <c r="G99" s="150"/>
      <c r="H99" s="60"/>
      <c r="I99" s="3"/>
    </row>
    <row r="100" spans="1:9" ht="15.75" customHeight="1">
      <c r="A100" s="85"/>
      <c r="B100" s="151" t="s">
        <v>6</v>
      </c>
      <c r="C100" s="151"/>
      <c r="D100" s="151"/>
      <c r="E100" s="151"/>
      <c r="F100" s="151"/>
      <c r="G100" s="151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52" t="s">
        <v>7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 customHeight="1">
      <c r="A103" s="152" t="s">
        <v>8</v>
      </c>
      <c r="B103" s="152"/>
      <c r="C103" s="152"/>
      <c r="D103" s="152"/>
      <c r="E103" s="152"/>
      <c r="F103" s="152"/>
      <c r="G103" s="152"/>
      <c r="H103" s="152"/>
      <c r="I103" s="152"/>
    </row>
    <row r="104" spans="1:9" ht="15.75" customHeight="1">
      <c r="A104" s="144" t="s">
        <v>60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5.75" customHeight="1">
      <c r="A105" s="11"/>
    </row>
    <row r="106" spans="1:9" ht="15.75" customHeight="1">
      <c r="A106" s="159" t="s">
        <v>9</v>
      </c>
      <c r="B106" s="159"/>
      <c r="C106" s="159"/>
      <c r="D106" s="159"/>
      <c r="E106" s="159"/>
      <c r="F106" s="159"/>
      <c r="G106" s="159"/>
      <c r="H106" s="159"/>
      <c r="I106" s="159"/>
    </row>
    <row r="107" spans="1:9" ht="15.75" customHeight="1">
      <c r="A107" s="4"/>
    </row>
    <row r="108" spans="1:9" ht="15.75" customHeight="1">
      <c r="B108" s="86" t="s">
        <v>10</v>
      </c>
      <c r="C108" s="160" t="s">
        <v>90</v>
      </c>
      <c r="D108" s="160"/>
      <c r="E108" s="160"/>
      <c r="F108" s="58"/>
      <c r="I108" s="84"/>
    </row>
    <row r="109" spans="1:9" ht="15.75" customHeight="1">
      <c r="A109" s="85"/>
      <c r="C109" s="151" t="s">
        <v>11</v>
      </c>
      <c r="D109" s="151"/>
      <c r="E109" s="151"/>
      <c r="F109" s="24"/>
      <c r="I109" s="83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86" t="s">
        <v>13</v>
      </c>
      <c r="C111" s="161"/>
      <c r="D111" s="161"/>
      <c r="E111" s="161"/>
      <c r="F111" s="59"/>
      <c r="I111" s="84"/>
    </row>
    <row r="112" spans="1:9" ht="15.75" customHeight="1">
      <c r="A112" s="85"/>
      <c r="C112" s="134" t="s">
        <v>11</v>
      </c>
      <c r="D112" s="134"/>
      <c r="E112" s="134"/>
      <c r="F112" s="85"/>
      <c r="I112" s="83" t="s">
        <v>12</v>
      </c>
    </row>
    <row r="113" spans="1:9" ht="15.75" customHeight="1">
      <c r="A113" s="4" t="s">
        <v>14</v>
      </c>
    </row>
    <row r="114" spans="1:9" ht="15.75" customHeight="1">
      <c r="A114" s="162" t="s">
        <v>15</v>
      </c>
      <c r="B114" s="162"/>
      <c r="C114" s="162"/>
      <c r="D114" s="162"/>
      <c r="E114" s="162"/>
      <c r="F114" s="162"/>
      <c r="G114" s="162"/>
      <c r="H114" s="162"/>
      <c r="I114" s="162"/>
    </row>
    <row r="115" spans="1:9" ht="45" customHeight="1">
      <c r="A115" s="158" t="s">
        <v>16</v>
      </c>
      <c r="B115" s="158"/>
      <c r="C115" s="158"/>
      <c r="D115" s="158"/>
      <c r="E115" s="158"/>
      <c r="F115" s="158"/>
      <c r="G115" s="158"/>
      <c r="H115" s="158"/>
      <c r="I115" s="158"/>
    </row>
    <row r="116" spans="1:9" ht="30" customHeight="1">
      <c r="A116" s="158" t="s">
        <v>17</v>
      </c>
      <c r="B116" s="158"/>
      <c r="C116" s="158"/>
      <c r="D116" s="158"/>
      <c r="E116" s="158"/>
      <c r="F116" s="158"/>
      <c r="G116" s="158"/>
      <c r="H116" s="158"/>
      <c r="I116" s="158"/>
    </row>
    <row r="117" spans="1:9" ht="30" customHeight="1">
      <c r="A117" s="158" t="s">
        <v>21</v>
      </c>
      <c r="B117" s="158"/>
      <c r="C117" s="158"/>
      <c r="D117" s="158"/>
      <c r="E117" s="158"/>
      <c r="F117" s="158"/>
      <c r="G117" s="158"/>
      <c r="H117" s="158"/>
      <c r="I117" s="158"/>
    </row>
    <row r="118" spans="1:9" ht="15" customHeight="1">
      <c r="A118" s="158" t="s">
        <v>20</v>
      </c>
      <c r="B118" s="158"/>
      <c r="C118" s="158"/>
      <c r="D118" s="158"/>
      <c r="E118" s="158"/>
      <c r="F118" s="158"/>
      <c r="G118" s="158"/>
      <c r="H118" s="158"/>
      <c r="I118" s="158"/>
    </row>
  </sheetData>
  <autoFilter ref="I12:I59"/>
  <mergeCells count="30">
    <mergeCell ref="A114:I114"/>
    <mergeCell ref="A115:I115"/>
    <mergeCell ref="A116:I116"/>
    <mergeCell ref="A117:I117"/>
    <mergeCell ref="A118:I118"/>
    <mergeCell ref="R63:U63"/>
    <mergeCell ref="C112:E112"/>
    <mergeCell ref="A80:I80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76:I76"/>
    <mergeCell ref="A97:I97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2018-09-12T06:52:21Z</cp:lastPrinted>
  <dcterms:created xsi:type="dcterms:W3CDTF">2016-03-25T08:33:47Z</dcterms:created>
  <dcterms:modified xsi:type="dcterms:W3CDTF">2019-01-14T08:07:29Z</dcterms:modified>
</cp:coreProperties>
</file>