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315" windowWidth="15975" windowHeight="5565"/>
  </bookViews>
  <sheets>
    <sheet name="Косм.,5" sheetId="1" r:id="rId1"/>
  </sheets>
  <definedNames>
    <definedName name="_xlnm.Print_Area" localSheetId="0">'Косм.,5'!$A$1:$U$126</definedName>
  </definedNames>
  <calcPr calcId="124519"/>
</workbook>
</file>

<file path=xl/calcChain.xml><?xml version="1.0" encoding="utf-8"?>
<calcChain xmlns="http://schemas.openxmlformats.org/spreadsheetml/2006/main">
  <c r="L38" i="1"/>
  <c r="K38"/>
  <c r="H114"/>
  <c r="U114"/>
  <c r="F113"/>
  <c r="T113" s="1"/>
  <c r="U113" s="1"/>
  <c r="F101"/>
  <c r="N101" s="1"/>
  <c r="U101" s="1"/>
  <c r="C124"/>
  <c r="C121"/>
  <c r="R112"/>
  <c r="U112" s="1"/>
  <c r="F112"/>
  <c r="H112" s="1"/>
  <c r="R111"/>
  <c r="U111" s="1"/>
  <c r="F111"/>
  <c r="H111" s="1"/>
  <c r="H113" l="1"/>
  <c r="H101"/>
  <c r="S95"/>
  <c r="S98"/>
  <c r="R94"/>
  <c r="R58"/>
  <c r="U56" l="1"/>
  <c r="U59"/>
  <c r="U68"/>
  <c r="U69"/>
  <c r="U70"/>
  <c r="U71"/>
  <c r="U72"/>
  <c r="U74"/>
  <c r="U28"/>
  <c r="U29"/>
  <c r="I86"/>
  <c r="U86" s="1"/>
  <c r="H86"/>
  <c r="Q58" l="1"/>
  <c r="U58" s="1"/>
  <c r="Q110"/>
  <c r="U110" s="1"/>
  <c r="H110"/>
  <c r="Q109"/>
  <c r="U109" s="1"/>
  <c r="F109"/>
  <c r="H109" s="1"/>
  <c r="S76"/>
  <c r="U76" s="1"/>
  <c r="S66"/>
  <c r="R66"/>
  <c r="Q66"/>
  <c r="P66"/>
  <c r="H108"/>
  <c r="P108"/>
  <c r="U108" s="1"/>
  <c r="P107"/>
  <c r="U107" s="1"/>
  <c r="H107"/>
  <c r="O93"/>
  <c r="O98"/>
  <c r="O106"/>
  <c r="U106" s="1"/>
  <c r="H106"/>
  <c r="O105" l="1"/>
  <c r="U105" s="1"/>
  <c r="H105"/>
  <c r="O104"/>
  <c r="U104" s="1"/>
  <c r="H104"/>
  <c r="O103"/>
  <c r="U103" s="1"/>
  <c r="H103"/>
  <c r="O102"/>
  <c r="U102" s="1"/>
  <c r="H102"/>
  <c r="N100"/>
  <c r="U100" s="1"/>
  <c r="H100"/>
  <c r="Q50"/>
  <c r="M50"/>
  <c r="I50"/>
  <c r="M99"/>
  <c r="U99" s="1"/>
  <c r="F99"/>
  <c r="H99" s="1"/>
  <c r="L97"/>
  <c r="U97" s="1"/>
  <c r="H97"/>
  <c r="K54"/>
  <c r="U54" s="1"/>
  <c r="M98"/>
  <c r="U98" s="1"/>
  <c r="H98"/>
  <c r="L96"/>
  <c r="U96" s="1"/>
  <c r="H96"/>
  <c r="L94"/>
  <c r="U94" s="1"/>
  <c r="L95"/>
  <c r="U95" s="1"/>
  <c r="H95"/>
  <c r="H94"/>
  <c r="K93"/>
  <c r="U93" s="1"/>
  <c r="H93"/>
  <c r="M88"/>
  <c r="K92"/>
  <c r="U92" s="1"/>
  <c r="H92"/>
  <c r="O66"/>
  <c r="N66"/>
  <c r="M66"/>
  <c r="K36"/>
  <c r="U36" s="1"/>
  <c r="L36"/>
  <c r="J91"/>
  <c r="U91" s="1"/>
  <c r="H91"/>
  <c r="H90"/>
  <c r="F90"/>
  <c r="J90" s="1"/>
  <c r="U90" s="1"/>
  <c r="J89"/>
  <c r="U89" s="1"/>
  <c r="H89"/>
  <c r="J88"/>
  <c r="U88" s="1"/>
  <c r="U50" l="1"/>
  <c r="L66"/>
  <c r="K66"/>
  <c r="J66"/>
  <c r="I66"/>
  <c r="I87" l="1"/>
  <c r="F87"/>
  <c r="H87" s="1"/>
  <c r="H71"/>
  <c r="H88"/>
  <c r="U87" l="1"/>
  <c r="C123" s="1"/>
  <c r="F72"/>
  <c r="H72" s="1"/>
  <c r="F70"/>
  <c r="H69"/>
  <c r="F68"/>
  <c r="H68" s="1"/>
  <c r="T66" l="1"/>
  <c r="U66" s="1"/>
  <c r="H66"/>
  <c r="F59"/>
  <c r="F58"/>
  <c r="H54"/>
  <c r="F38"/>
  <c r="F37"/>
  <c r="F35"/>
  <c r="F34"/>
  <c r="E26"/>
  <c r="F16"/>
  <c r="F15"/>
  <c r="Q15" s="1"/>
  <c r="H16"/>
  <c r="M16" l="1"/>
  <c r="Q16"/>
  <c r="H15"/>
  <c r="M15"/>
  <c r="U15" s="1"/>
  <c r="U16" l="1"/>
  <c r="T39"/>
  <c r="S39"/>
  <c r="T33"/>
  <c r="S33"/>
  <c r="Q65"/>
  <c r="U65" s="1"/>
  <c r="Q49"/>
  <c r="F50"/>
  <c r="F26"/>
  <c r="L39"/>
  <c r="L33"/>
  <c r="K39"/>
  <c r="K33"/>
  <c r="H76"/>
  <c r="Q26" l="1"/>
  <c r="H26"/>
  <c r="M26"/>
  <c r="P26"/>
  <c r="R26"/>
  <c r="N26"/>
  <c r="O26"/>
  <c r="K49"/>
  <c r="U49" s="1"/>
  <c r="J39"/>
  <c r="J33"/>
  <c r="I39"/>
  <c r="U39" s="1"/>
  <c r="I33"/>
  <c r="U33" s="1"/>
  <c r="U26" l="1"/>
  <c r="F45"/>
  <c r="F19"/>
  <c r="H56"/>
  <c r="M19" l="1"/>
  <c r="U19" s="1"/>
  <c r="H19"/>
  <c r="Q45"/>
  <c r="M45"/>
  <c r="U45" s="1"/>
  <c r="S35"/>
  <c r="T35"/>
  <c r="S34"/>
  <c r="T34"/>
  <c r="L34"/>
  <c r="K34"/>
  <c r="J34"/>
  <c r="I35"/>
  <c r="U35" s="1"/>
  <c r="L35"/>
  <c r="K35"/>
  <c r="J35"/>
  <c r="H45"/>
  <c r="H34"/>
  <c r="I34"/>
  <c r="U34" s="1"/>
  <c r="H36"/>
  <c r="H35" l="1"/>
  <c r="F14" l="1"/>
  <c r="H14" s="1"/>
  <c r="F17"/>
  <c r="F18"/>
  <c r="M17" l="1"/>
  <c r="U17" s="1"/>
  <c r="H17"/>
  <c r="M18"/>
  <c r="U18" s="1"/>
  <c r="H18"/>
  <c r="M14"/>
  <c r="U14" s="1"/>
  <c r="F117"/>
  <c r="H116"/>
  <c r="E79"/>
  <c r="H82" s="1"/>
  <c r="F77"/>
  <c r="H74"/>
  <c r="H70"/>
  <c r="H65"/>
  <c r="F64"/>
  <c r="F63"/>
  <c r="F62"/>
  <c r="F61"/>
  <c r="F60"/>
  <c r="H59"/>
  <c r="H58"/>
  <c r="F53"/>
  <c r="H50"/>
  <c r="H49"/>
  <c r="F48"/>
  <c r="Q48" s="1"/>
  <c r="F47"/>
  <c r="Q47" s="1"/>
  <c r="F46"/>
  <c r="F44"/>
  <c r="F43"/>
  <c r="F42"/>
  <c r="H39"/>
  <c r="H33"/>
  <c r="F30"/>
  <c r="H29"/>
  <c r="H28"/>
  <c r="F27"/>
  <c r="F25"/>
  <c r="F24"/>
  <c r="F23"/>
  <c r="F20"/>
  <c r="E13"/>
  <c r="F13" s="1"/>
  <c r="H13" s="1"/>
  <c r="F12"/>
  <c r="H12" s="1"/>
  <c r="F11"/>
  <c r="M20" l="1"/>
  <c r="U20" s="1"/>
  <c r="H20"/>
  <c r="Q44"/>
  <c r="M44"/>
  <c r="U44" s="1"/>
  <c r="Q42"/>
  <c r="M42"/>
  <c r="U42" s="1"/>
  <c r="Q43"/>
  <c r="M43"/>
  <c r="U43" s="1"/>
  <c r="S13"/>
  <c r="P13"/>
  <c r="N13"/>
  <c r="M13"/>
  <c r="T13"/>
  <c r="R13"/>
  <c r="Q13"/>
  <c r="O13"/>
  <c r="S12"/>
  <c r="Q12"/>
  <c r="O12"/>
  <c r="T12"/>
  <c r="R12"/>
  <c r="P12"/>
  <c r="N12"/>
  <c r="M12"/>
  <c r="H23"/>
  <c r="Q23"/>
  <c r="O23"/>
  <c r="R23"/>
  <c r="P23"/>
  <c r="N23"/>
  <c r="M23"/>
  <c r="H25"/>
  <c r="M25"/>
  <c r="U25" s="1"/>
  <c r="S27"/>
  <c r="R27"/>
  <c r="P27"/>
  <c r="N27"/>
  <c r="M27"/>
  <c r="T27"/>
  <c r="Q27"/>
  <c r="O27"/>
  <c r="T53"/>
  <c r="S53"/>
  <c r="H61"/>
  <c r="M61"/>
  <c r="U61" s="1"/>
  <c r="H63"/>
  <c r="M63"/>
  <c r="U63" s="1"/>
  <c r="S11"/>
  <c r="R11"/>
  <c r="P11"/>
  <c r="N11"/>
  <c r="M11"/>
  <c r="T11"/>
  <c r="Q11"/>
  <c r="O11"/>
  <c r="H24"/>
  <c r="R24"/>
  <c r="P24"/>
  <c r="N24"/>
  <c r="M24"/>
  <c r="Q24"/>
  <c r="O24"/>
  <c r="S30"/>
  <c r="Q30"/>
  <c r="O30"/>
  <c r="T30"/>
  <c r="R30"/>
  <c r="P30"/>
  <c r="N30"/>
  <c r="M30"/>
  <c r="S37"/>
  <c r="T37"/>
  <c r="T46"/>
  <c r="M46"/>
  <c r="Q46"/>
  <c r="H60"/>
  <c r="M60"/>
  <c r="U60" s="1"/>
  <c r="H62"/>
  <c r="M62"/>
  <c r="U62" s="1"/>
  <c r="H64"/>
  <c r="M64"/>
  <c r="U64" s="1"/>
  <c r="T77"/>
  <c r="Q77"/>
  <c r="O77"/>
  <c r="M77"/>
  <c r="S77"/>
  <c r="R77"/>
  <c r="P77"/>
  <c r="N77"/>
  <c r="I11"/>
  <c r="L11"/>
  <c r="K11"/>
  <c r="J11"/>
  <c r="I12"/>
  <c r="L12"/>
  <c r="K12"/>
  <c r="J12"/>
  <c r="I27"/>
  <c r="L27"/>
  <c r="K27"/>
  <c r="J27"/>
  <c r="H44"/>
  <c r="H47"/>
  <c r="K47"/>
  <c r="U47" s="1"/>
  <c r="K53"/>
  <c r="L53"/>
  <c r="J53"/>
  <c r="I13"/>
  <c r="L13"/>
  <c r="K13"/>
  <c r="J13"/>
  <c r="L30"/>
  <c r="K30"/>
  <c r="J30"/>
  <c r="L37"/>
  <c r="K37"/>
  <c r="J37"/>
  <c r="H42"/>
  <c r="H43"/>
  <c r="I46"/>
  <c r="J46"/>
  <c r="H48"/>
  <c r="K48"/>
  <c r="U48" s="1"/>
  <c r="I77"/>
  <c r="L77"/>
  <c r="K77"/>
  <c r="J77"/>
  <c r="H30"/>
  <c r="I30"/>
  <c r="U30" s="1"/>
  <c r="H37"/>
  <c r="I37"/>
  <c r="U37" s="1"/>
  <c r="H38"/>
  <c r="U38"/>
  <c r="H53"/>
  <c r="I53"/>
  <c r="U53" s="1"/>
  <c r="H77"/>
  <c r="H78" s="1"/>
  <c r="H27"/>
  <c r="H46"/>
  <c r="H11"/>
  <c r="H21" s="1"/>
  <c r="F79"/>
  <c r="U77" l="1"/>
  <c r="U46"/>
  <c r="U23"/>
  <c r="U13"/>
  <c r="U27"/>
  <c r="U12"/>
  <c r="U11"/>
  <c r="U24"/>
  <c r="H40"/>
  <c r="H75"/>
  <c r="H51"/>
  <c r="U51"/>
  <c r="H31"/>
  <c r="U75"/>
  <c r="T79"/>
  <c r="R79"/>
  <c r="R117" s="1"/>
  <c r="P79"/>
  <c r="N79"/>
  <c r="N117" s="1"/>
  <c r="S79"/>
  <c r="S117" s="1"/>
  <c r="Q79"/>
  <c r="Q117" s="1"/>
  <c r="O79"/>
  <c r="O117" s="1"/>
  <c r="M79"/>
  <c r="M117" s="1"/>
  <c r="P117"/>
  <c r="I79"/>
  <c r="K79"/>
  <c r="K117" s="1"/>
  <c r="L79"/>
  <c r="J79"/>
  <c r="J117" s="1"/>
  <c r="U78"/>
  <c r="U31"/>
  <c r="L117"/>
  <c r="U40"/>
  <c r="H79"/>
  <c r="H80" s="1"/>
  <c r="U79" l="1"/>
  <c r="T117"/>
  <c r="U21"/>
  <c r="U80"/>
  <c r="I117"/>
  <c r="H81"/>
  <c r="H83" s="1"/>
  <c r="G117" s="1"/>
  <c r="H117" s="1"/>
  <c r="U81" l="1"/>
  <c r="U117" s="1"/>
  <c r="C122" l="1"/>
  <c r="C126" s="1"/>
</calcChain>
</file>

<file path=xl/sharedStrings.xml><?xml version="1.0" encoding="utf-8"?>
<sst xmlns="http://schemas.openxmlformats.org/spreadsheetml/2006/main" count="349" uniqueCount="250">
  <si>
    <t>ОТЧЁТ</t>
  </si>
  <si>
    <t xml:space="preserve">по предоставленным услугам и произведённым работам по содержанию и ремонту общего имущества собственников помещений в многоквартирном доме </t>
  </si>
  <si>
    <t>№ расц.</t>
  </si>
  <si>
    <t>Перечень работ</t>
  </si>
  <si>
    <t>Ед.изм</t>
  </si>
  <si>
    <t>Периодичность</t>
  </si>
  <si>
    <t>Объем работ разовый</t>
  </si>
  <si>
    <t xml:space="preserve">Объем работ на год </t>
  </si>
  <si>
    <t>Расценка (руб)</t>
  </si>
  <si>
    <t>Сумма в год (тыс.руб)</t>
  </si>
  <si>
    <t>А.Обязательные работы по содержанию общего имущества собственников помещений в многоквартирном доме</t>
  </si>
  <si>
    <t xml:space="preserve">1. Санитарное содержание </t>
  </si>
  <si>
    <t>Влажное подметание лестничных клеток 1 этажа</t>
  </si>
  <si>
    <t>100м2</t>
  </si>
  <si>
    <t>Влажное подметание лестничных клеток 2-5 этажа</t>
  </si>
  <si>
    <t>Мытье лестничных  площадок и маршей 1-5 этаж.</t>
  </si>
  <si>
    <t>Мытье окон</t>
  </si>
  <si>
    <t>10м2</t>
  </si>
  <si>
    <t>Влажная протирка перил</t>
  </si>
  <si>
    <t>Влажная протирка почтовых ящиков</t>
  </si>
  <si>
    <t xml:space="preserve">Влажная уборка стен </t>
  </si>
  <si>
    <t>100 м2</t>
  </si>
  <si>
    <t>Влажная протирка дверей</t>
  </si>
  <si>
    <t>Влажная протирка отопительных приборов</t>
  </si>
  <si>
    <t>итого:</t>
  </si>
  <si>
    <t>Летняя уборка</t>
  </si>
  <si>
    <t>1000м2</t>
  </si>
  <si>
    <t>Уборка газонов сильной загрязненности</t>
  </si>
  <si>
    <t>1 раз в год</t>
  </si>
  <si>
    <t xml:space="preserve"> - Уборка контейнерной площадки (16 кв.м.)</t>
  </si>
  <si>
    <t>шт.</t>
  </si>
  <si>
    <t>155 раз</t>
  </si>
  <si>
    <t>Подборка мусора на контейнерной площадке</t>
  </si>
  <si>
    <t>м3</t>
  </si>
  <si>
    <t>ежедневно 365 раз</t>
  </si>
  <si>
    <t>по мере необходимости</t>
  </si>
  <si>
    <t>м/час</t>
  </si>
  <si>
    <t>Вывоз ТБО и КГО</t>
  </si>
  <si>
    <t xml:space="preserve">кв. м </t>
  </si>
  <si>
    <t xml:space="preserve"> </t>
  </si>
  <si>
    <t>Зимняя уборка</t>
  </si>
  <si>
    <t>Механизированная уборка дворовой территории</t>
  </si>
  <si>
    <t>1000 м2</t>
  </si>
  <si>
    <t>155 раз за сезон</t>
  </si>
  <si>
    <t xml:space="preserve"> II. Плановые осмотры</t>
  </si>
  <si>
    <t>2 раза в год</t>
  </si>
  <si>
    <t>Осмотр внутренней и наружной отделки здания</t>
  </si>
  <si>
    <t>Осмотр каменных конструкций</t>
  </si>
  <si>
    <t xml:space="preserve">Осмотр СО 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</si>
  <si>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</si>
  <si>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</si>
  <si>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100 лест.</t>
  </si>
  <si>
    <t>Осмотр вводных электрических щитков</t>
  </si>
  <si>
    <t>100 шт.</t>
  </si>
  <si>
    <t>шт</t>
  </si>
  <si>
    <t>2-1-1б</t>
  </si>
  <si>
    <t>Проверка вентканалов</t>
  </si>
  <si>
    <t>Кровля</t>
  </si>
  <si>
    <t xml:space="preserve">6 раз за сезон </t>
  </si>
  <si>
    <t>1м3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</si>
  <si>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</si>
  <si>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</si>
  <si>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</si>
  <si>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</si>
  <si>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100м3</t>
  </si>
  <si>
    <t>Спуск воды и наполнение системы без осмотра</t>
  </si>
  <si>
    <t>1000м3</t>
  </si>
  <si>
    <t>Гидравлическое испытание СО</t>
  </si>
  <si>
    <t>100м</t>
  </si>
  <si>
    <t>Проверка на прогрев отопительных приборов</t>
  </si>
  <si>
    <t>прибор</t>
  </si>
  <si>
    <t>Электроснабжение</t>
  </si>
  <si>
    <t>Смена ламп накаливания</t>
  </si>
  <si>
    <t>10 шт</t>
  </si>
  <si>
    <t>Вентканалы, дымоходы</t>
  </si>
  <si>
    <t>ГЭСН60-16</t>
  </si>
  <si>
    <t xml:space="preserve"> - прочистка каналов</t>
  </si>
  <si>
    <t>Аварийно-диспетчерское обслуживание</t>
  </si>
  <si>
    <t>1 м2</t>
  </si>
  <si>
    <t>Услуги по выпуску квитанций, сопровождение собраний, работа с должниками</t>
  </si>
  <si>
    <t>ИТОГО</t>
  </si>
  <si>
    <t xml:space="preserve">ВСЕГО </t>
  </si>
  <si>
    <t>Площадь жилых помещений и нежилых</t>
  </si>
  <si>
    <t xml:space="preserve">     </t>
  </si>
  <si>
    <t>Затраты на 1 кв.м  в месяц в рублях  по плану</t>
  </si>
  <si>
    <t>Текущий ремонт</t>
  </si>
  <si>
    <t>итого по текущему ремонту</t>
  </si>
  <si>
    <t>Размер платы по текущему ремонту, руб/м2 в мес.</t>
  </si>
  <si>
    <t xml:space="preserve">Затраты в рублях  по плану   </t>
  </si>
  <si>
    <t xml:space="preserve">1 раз в год     </t>
  </si>
  <si>
    <t>Вода для промывки СО</t>
  </si>
  <si>
    <t>Сброс воды после промывки СО в канализацию</t>
  </si>
  <si>
    <t>Смена плавкой вставки в электрощите</t>
  </si>
  <si>
    <t>Генеральный директор ООО "Жилсервис"_______Ю.Л.Куканов</t>
  </si>
  <si>
    <t>Вывоз снега с придомовой территории</t>
  </si>
  <si>
    <t>30 раз за сезон</t>
  </si>
  <si>
    <t>Сдвигание снега в дни снегопада (проезд)</t>
  </si>
  <si>
    <t>Очистка  от мусора</t>
  </si>
  <si>
    <t>Влажная протирка подоконников</t>
  </si>
  <si>
    <t>Осмотр деревянных конструкций стропил</t>
  </si>
  <si>
    <t>Осмотр шиферной кровли</t>
  </si>
  <si>
    <t xml:space="preserve">Выполнение    январь  </t>
  </si>
  <si>
    <t>Выполнение   февраль</t>
  </si>
  <si>
    <t>Выполнение   март</t>
  </si>
  <si>
    <t>Выполнение    апрель</t>
  </si>
  <si>
    <t>Выполнение    июнь</t>
  </si>
  <si>
    <t>Выполнение    июль</t>
  </si>
  <si>
    <t>Выполнение    август</t>
  </si>
  <si>
    <t>Выполнение    сентябрь</t>
  </si>
  <si>
    <t>Выполнение    октябрь</t>
  </si>
  <si>
    <t>Выполнение    ноябрь</t>
  </si>
  <si>
    <t>Выполнение    декабрь</t>
  </si>
  <si>
    <t>3 раза в год</t>
  </si>
  <si>
    <t>калькуляция</t>
  </si>
  <si>
    <t>5 этажей, 4 подъезда</t>
  </si>
  <si>
    <t>Стоимость (руб.)</t>
  </si>
  <si>
    <t>договор</t>
  </si>
  <si>
    <t>ТО внутридомового газ.оборудования</t>
  </si>
  <si>
    <t>Выполне ние      май</t>
  </si>
  <si>
    <t xml:space="preserve"> - Уборка газонов</t>
  </si>
  <si>
    <t xml:space="preserve">Погрузка травы, ветвей </t>
  </si>
  <si>
    <t xml:space="preserve"> - Подметание территории с усовершенствованным покрытием асф.: крыльца, контейнерн пл., проезд, тротуар</t>
  </si>
  <si>
    <t>Очистка края кровли от слежавшегося снега со сбрасыванием сосулек (10% от S кровли и козырьки)</t>
  </si>
  <si>
    <t>Вывоз смета,травы,ветвей и т.п.- м/ч</t>
  </si>
  <si>
    <t>Сдвигание снега в дни снегопада (крыльца, тротуары)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</si>
  <si>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</si>
  <si>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 xml:space="preserve">Пескопосыпка территории: крыльца и тротуары </t>
  </si>
  <si>
    <t>Стоимость песка -100м2-0,002м3</t>
  </si>
  <si>
    <t>100 м3</t>
  </si>
  <si>
    <t>ТЕР 51-001</t>
  </si>
  <si>
    <t>ТЕР 51-009</t>
  </si>
  <si>
    <t>ТЕР 51-031</t>
  </si>
  <si>
    <t>ТЕР 51-025</t>
  </si>
  <si>
    <t>ТЕР 51-023</t>
  </si>
  <si>
    <t>ТЕР 51-018</t>
  </si>
  <si>
    <t>ТЕР 51-019</t>
  </si>
  <si>
    <t>ТЕР 51-020</t>
  </si>
  <si>
    <t>ТЕР 51-024</t>
  </si>
  <si>
    <t>ТЕР 53-020</t>
  </si>
  <si>
    <t>ТЕР 53-001</t>
  </si>
  <si>
    <t>ТЕР 53-021</t>
  </si>
  <si>
    <t>ТЕР 52-033</t>
  </si>
  <si>
    <t>пр.ТЕР 52-003</t>
  </si>
  <si>
    <t>ТЕР 53-030</t>
  </si>
  <si>
    <t>ТЕР 54-013</t>
  </si>
  <si>
    <t>ТЕР 54-022</t>
  </si>
  <si>
    <t>ТЕР 54-025</t>
  </si>
  <si>
    <t>ТЕР 3-7-1в</t>
  </si>
  <si>
    <t>ТЕР 42-009</t>
  </si>
  <si>
    <t>ТЕР 42-010</t>
  </si>
  <si>
    <t>ТЕР 42-003</t>
  </si>
  <si>
    <t>ТЕР 42-011</t>
  </si>
  <si>
    <t>ТЕР 42-013</t>
  </si>
  <si>
    <t>ТЕР 42-012</t>
  </si>
  <si>
    <t>ТЕР 42-014</t>
  </si>
  <si>
    <t xml:space="preserve">пр.ТЕР 54-041 </t>
  </si>
  <si>
    <t>ТЕР 51-034</t>
  </si>
  <si>
    <t>ТЕР 31-065</t>
  </si>
  <si>
    <t>ТЕР 31-064</t>
  </si>
  <si>
    <t>ТЕР 31-052</t>
  </si>
  <si>
    <t>ТЕР 31-043</t>
  </si>
  <si>
    <t>ТЕР 31-068</t>
  </si>
  <si>
    <t>ТЕР 31-045</t>
  </si>
  <si>
    <t>ТЕР 33-019</t>
  </si>
  <si>
    <t>ТЕР 33-043</t>
  </si>
  <si>
    <t>ТЕР 32-101</t>
  </si>
  <si>
    <t>Прочистка засоров ГВС, XВC</t>
  </si>
  <si>
    <t>3м</t>
  </si>
  <si>
    <t>156 раз в год</t>
  </si>
  <si>
    <t>104 раза в год</t>
  </si>
  <si>
    <t xml:space="preserve">24 раза в год </t>
  </si>
  <si>
    <t>52 раза в сезон</t>
  </si>
  <si>
    <t>78 раз за сезон</t>
  </si>
  <si>
    <t>35 раз за сезон</t>
  </si>
  <si>
    <t>20 раз за сезон</t>
  </si>
  <si>
    <t>1 раз в месяц (5 раз в году)</t>
  </si>
  <si>
    <t>Работа автовышки</t>
  </si>
  <si>
    <t>маш-час</t>
  </si>
  <si>
    <t>Чердак, распред.узел</t>
  </si>
  <si>
    <t>ТО внутренних сетей водопровода и канализации</t>
  </si>
  <si>
    <t>руб/м2 в мес</t>
  </si>
  <si>
    <t>пр.ТЕР 33-024</t>
  </si>
  <si>
    <t>Смена светодиодных светильников в.о.</t>
  </si>
  <si>
    <t>1 шт.</t>
  </si>
  <si>
    <t>счёт</t>
  </si>
  <si>
    <t>Стоимость светодиодного светильника</t>
  </si>
  <si>
    <t>руб.</t>
  </si>
  <si>
    <t>Смена светодиодных светильников н.о.</t>
  </si>
  <si>
    <t>Баланс выполненных работ на 01.01.2017 г. ( -долг за предприятием, +долг за населением)</t>
  </si>
  <si>
    <t>100шт</t>
  </si>
  <si>
    <t>Начислено за содержание и текущий ремонт за 2017 г.</t>
  </si>
  <si>
    <t>Выполнено работ по содержанию за 2017 г.</t>
  </si>
  <si>
    <t>Выполнено работ по текущему ремонту за 2017 г.</t>
  </si>
  <si>
    <t>Фактически оплачено за 2017 г.</t>
  </si>
  <si>
    <r>
      <t xml:space="preserve">по адресу:  </t>
    </r>
    <r>
      <rPr>
        <b/>
        <sz val="14"/>
        <color indexed="10"/>
        <rFont val="Arial"/>
        <family val="2"/>
        <charset val="204"/>
      </rPr>
      <t>ул. Космонавтов, 5</t>
    </r>
    <r>
      <rPr>
        <b/>
        <sz val="14"/>
        <rFont val="Arial"/>
        <family val="2"/>
        <charset val="204"/>
      </rPr>
      <t xml:space="preserve">  (п. Ярега)  </t>
    </r>
    <r>
      <rPr>
        <b/>
        <sz val="14"/>
        <color indexed="10"/>
        <rFont val="Arial"/>
        <family val="2"/>
        <charset val="204"/>
      </rPr>
      <t>за 2017 год</t>
    </r>
  </si>
  <si>
    <t xml:space="preserve">Смена сгонов у трубопроводов диаметром до 20 мм </t>
  </si>
  <si>
    <t>1 сгон</t>
  </si>
  <si>
    <t>ТЕР 31-009</t>
  </si>
  <si>
    <t>пр.ТЕР 11-013</t>
  </si>
  <si>
    <t>Заделка окон фанерой</t>
  </si>
  <si>
    <t>Пристрожка полотна по кромкам</t>
  </si>
  <si>
    <t>1 полотно</t>
  </si>
  <si>
    <t>ТЕР 20-1-134-2</t>
  </si>
  <si>
    <t>Ремонт и регулировка доводчика (без стоимости доводчика)</t>
  </si>
  <si>
    <t>1шт.</t>
  </si>
  <si>
    <t>Смена дверных приборов (замки навесные)</t>
  </si>
  <si>
    <t>ТЕР 15-051</t>
  </si>
  <si>
    <t>Ремонт групповых щитков на лестничной клетке без ремонта автоматов</t>
  </si>
  <si>
    <t>ТЕР 33-030</t>
  </si>
  <si>
    <t>Внеплановый осмотр вводных электрических щитков</t>
  </si>
  <si>
    <t>Внеплановый осмотр электросетей, армазуры и электрооборудования на лестничных клетках</t>
  </si>
  <si>
    <t>Ремонт силового предохранительного шкафа (без стоимости материалов)</t>
  </si>
  <si>
    <t>ТЕР 33-032</t>
  </si>
  <si>
    <t>Подключение и отключение сварочного аппарата</t>
  </si>
  <si>
    <t>ТЕР 33-060</t>
  </si>
  <si>
    <t>1 шт</t>
  </si>
  <si>
    <t>пр.ТЕР 15-008</t>
  </si>
  <si>
    <t>Ремонт слухового окна</t>
  </si>
  <si>
    <t>Укрепление оконных и дверных коробок без конопатки</t>
  </si>
  <si>
    <t>ТЕР 15-029</t>
  </si>
  <si>
    <t>пр.ТЕР 32-098</t>
  </si>
  <si>
    <t>Устройство хомута диаметром до 50 мм</t>
  </si>
  <si>
    <t>место</t>
  </si>
  <si>
    <t>пр.ТЕР 32-083</t>
  </si>
  <si>
    <t>Смена полиэтиленовых канализационных труб 110×2000 мм</t>
  </si>
  <si>
    <t xml:space="preserve">Переход чугун-пластик Ду 110 </t>
  </si>
  <si>
    <t>Манжета 110</t>
  </si>
  <si>
    <t>Патрубок компенсацинный ПП Ду 110</t>
  </si>
  <si>
    <t>Муфта 110</t>
  </si>
  <si>
    <t>Смена отдельных участков наружной проводки</t>
  </si>
  <si>
    <t>м</t>
  </si>
  <si>
    <t>ТЕР 33-034</t>
  </si>
  <si>
    <t>Смена автомата на ток до 25А</t>
  </si>
  <si>
    <t>ТЕР 33-046</t>
  </si>
  <si>
    <t>пр.ТЕР 32-101</t>
  </si>
  <si>
    <t>Прочистка засоров канализации</t>
  </si>
  <si>
    <t>смета</t>
  </si>
  <si>
    <t>1 м</t>
  </si>
  <si>
    <t>Смена трубопроводов на полипропиленовые трубы PN25 диаметром 25 мм</t>
  </si>
  <si>
    <t>ТЕР 32-027</t>
  </si>
  <si>
    <t>Смена арматуры - вентилей и клапанов обратных муфтовых диаметром до 20 мм</t>
  </si>
  <si>
    <t>пр.ТЕР 12-001</t>
  </si>
  <si>
    <t>Заделка "шахты" после работ ВДИС</t>
  </si>
  <si>
    <t>Ремонт штукатурки внутренних стен по камню и бетону цементно-известковым раствором площадью до 1 м2 толщиной слоя до 20 мм</t>
  </si>
  <si>
    <t>10 м2</t>
  </si>
  <si>
    <t>ТЕР 21-005</t>
  </si>
  <si>
    <t>Просроченная задолженность по Вашему дому по статье "Содержание и текущий ремонт МКД" на конец декабря 2017 г., составляет:</t>
  </si>
  <si>
    <t>Баланс выполненных работ на 01.01.2018 г. ( -долг за предприятием, +долг за населением)</t>
  </si>
  <si>
    <t>Сверхнормативы по ОДП за 1 полугодие</t>
  </si>
  <si>
    <t>Сверхнормативы по ОДП за 2 полугодие</t>
  </si>
</sst>
</file>

<file path=xl/styles.xml><?xml version="1.0" encoding="utf-8"?>
<styleSheet xmlns="http://schemas.openxmlformats.org/spreadsheetml/2006/main">
  <numFmts count="1">
    <numFmt numFmtId="164" formatCode="0.000"/>
  </numFmts>
  <fonts count="19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4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indexed="8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3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9">
    <xf numFmtId="0" fontId="0" fillId="0" borderId="0" xfId="0"/>
    <xf numFmtId="0" fontId="0" fillId="3" borderId="0" xfId="0" applyFill="1"/>
    <xf numFmtId="4" fontId="0" fillId="0" borderId="0" xfId="0" applyNumberFormat="1"/>
    <xf numFmtId="4" fontId="6" fillId="0" borderId="0" xfId="0" applyNumberFormat="1" applyFont="1"/>
    <xf numFmtId="0" fontId="6" fillId="0" borderId="0" xfId="0" applyFont="1"/>
    <xf numFmtId="164" fontId="0" fillId="0" borderId="0" xfId="0" applyNumberFormat="1"/>
    <xf numFmtId="2" fontId="0" fillId="0" borderId="0" xfId="0" applyNumberFormat="1"/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7" borderId="5" xfId="0" applyFont="1" applyFill="1" applyBorder="1" applyAlignment="1">
      <alignment horizontal="left" vertical="center" wrapText="1"/>
    </xf>
    <xf numFmtId="0" fontId="1" fillId="7" borderId="3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0" fillId="2" borderId="0" xfId="0" applyFill="1"/>
    <xf numFmtId="0" fontId="3" fillId="2" borderId="1" xfId="0" applyFont="1" applyFill="1" applyBorder="1" applyAlignment="1">
      <alignment horizontal="left" vertical="center" wrapText="1"/>
    </xf>
    <xf numFmtId="0" fontId="0" fillId="5" borderId="0" xfId="0" applyFill="1"/>
    <xf numFmtId="0" fontId="1" fillId="4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" fillId="8" borderId="3" xfId="0" applyFont="1" applyFill="1" applyBorder="1"/>
    <xf numFmtId="164" fontId="1" fillId="4" borderId="2" xfId="0" applyNumberFormat="1" applyFont="1" applyFill="1" applyBorder="1" applyAlignment="1">
      <alignment horizontal="center" vertical="center"/>
    </xf>
    <xf numFmtId="0" fontId="1" fillId="8" borderId="3" xfId="0" applyFont="1" applyFill="1" applyBorder="1" applyAlignment="1">
      <alignment vertical="center"/>
    </xf>
    <xf numFmtId="4" fontId="1" fillId="8" borderId="7" xfId="0" applyNumberFormat="1" applyFont="1" applyFill="1" applyBorder="1" applyAlignment="1">
      <alignment vertical="center"/>
    </xf>
    <xf numFmtId="4" fontId="1" fillId="4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/>
    </xf>
    <xf numFmtId="4" fontId="1" fillId="8" borderId="3" xfId="0" applyNumberFormat="1" applyFont="1" applyFill="1" applyBorder="1" applyAlignment="1">
      <alignment horizontal="center" vertical="center"/>
    </xf>
    <xf numFmtId="4" fontId="1" fillId="8" borderId="7" xfId="0" applyNumberFormat="1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 vertical="center" wrapText="1"/>
    </xf>
    <xf numFmtId="4" fontId="1" fillId="4" borderId="3" xfId="0" applyNumberFormat="1" applyFont="1" applyFill="1" applyBorder="1" applyAlignment="1">
      <alignment horizontal="center" vertical="center" wrapText="1"/>
    </xf>
    <xf numFmtId="4" fontId="1" fillId="4" borderId="15" xfId="0" applyNumberFormat="1" applyFont="1" applyFill="1" applyBorder="1" applyAlignment="1">
      <alignment horizontal="center" vertical="center"/>
    </xf>
    <xf numFmtId="4" fontId="1" fillId="4" borderId="9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11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center" vertical="center" wrapText="1"/>
    </xf>
    <xf numFmtId="4" fontId="1" fillId="7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4" fontId="3" fillId="10" borderId="2" xfId="0" applyNumberFormat="1" applyFont="1" applyFill="1" applyBorder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4" fontId="1" fillId="9" borderId="3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4" fontId="1" fillId="4" borderId="5" xfId="0" applyNumberFormat="1" applyFont="1" applyFill="1" applyBorder="1" applyAlignment="1">
      <alignment horizontal="center" vertical="center" wrapText="1"/>
    </xf>
    <xf numFmtId="4" fontId="1" fillId="4" borderId="6" xfId="0" applyNumberFormat="1" applyFont="1" applyFill="1" applyBorder="1" applyAlignment="1">
      <alignment horizontal="center" vertical="center"/>
    </xf>
    <xf numFmtId="4" fontId="1" fillId="4" borderId="14" xfId="0" applyNumberFormat="1" applyFont="1" applyFill="1" applyBorder="1" applyAlignment="1">
      <alignment horizontal="center" vertical="center"/>
    </xf>
    <xf numFmtId="4" fontId="1" fillId="4" borderId="5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0" borderId="0" xfId="0" applyFont="1"/>
    <xf numFmtId="4" fontId="1" fillId="4" borderId="0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/>
    </xf>
    <xf numFmtId="4" fontId="1" fillId="7" borderId="3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 wrapText="1"/>
    </xf>
    <xf numFmtId="4" fontId="3" fillId="5" borderId="3" xfId="0" applyNumberFormat="1" applyFont="1" applyFill="1" applyBorder="1" applyAlignment="1">
      <alignment horizontal="center" vertical="center" wrapText="1"/>
    </xf>
    <xf numFmtId="4" fontId="3" fillId="10" borderId="7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left" vertical="center" wrapText="1"/>
    </xf>
    <xf numFmtId="4" fontId="1" fillId="6" borderId="3" xfId="0" applyNumberFormat="1" applyFont="1" applyFill="1" applyBorder="1" applyAlignment="1">
      <alignment horizontal="center" vertical="center"/>
    </xf>
    <xf numFmtId="4" fontId="3" fillId="6" borderId="3" xfId="0" applyNumberFormat="1" applyFont="1" applyFill="1" applyBorder="1" applyAlignment="1">
      <alignment horizontal="center" vertical="center"/>
    </xf>
    <xf numFmtId="1" fontId="1" fillId="4" borderId="3" xfId="0" applyNumberFormat="1" applyFont="1" applyFill="1" applyBorder="1" applyAlignment="1">
      <alignment horizontal="left" vertical="center" wrapText="1"/>
    </xf>
    <xf numFmtId="4" fontId="3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2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4" fontId="1" fillId="2" borderId="3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 wrapText="1"/>
    </xf>
    <xf numFmtId="4" fontId="14" fillId="2" borderId="6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 applyProtection="1">
      <alignment horizontal="center" vertical="center" wrapText="1"/>
    </xf>
    <xf numFmtId="4" fontId="14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4" fontId="3" fillId="4" borderId="7" xfId="0" applyNumberFormat="1" applyFont="1" applyFill="1" applyBorder="1" applyAlignment="1">
      <alignment horizontal="center" vertical="center"/>
    </xf>
    <xf numFmtId="4" fontId="14" fillId="4" borderId="7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4" fontId="1" fillId="2" borderId="8" xfId="0" applyNumberFormat="1" applyFont="1" applyFill="1" applyBorder="1" applyAlignment="1">
      <alignment horizontal="center" vertical="center"/>
    </xf>
    <xf numFmtId="4" fontId="14" fillId="2" borderId="8" xfId="0" applyNumberFormat="1" applyFont="1" applyFill="1" applyBorder="1" applyAlignment="1">
      <alignment horizontal="center" vertical="center"/>
    </xf>
    <xf numFmtId="4" fontId="3" fillId="2" borderId="10" xfId="0" applyNumberFormat="1" applyFont="1" applyFill="1" applyBorder="1" applyAlignment="1">
      <alignment horizontal="center" vertical="center"/>
    </xf>
    <xf numFmtId="4" fontId="1" fillId="0" borderId="0" xfId="0" applyNumberFormat="1" applyFont="1"/>
    <xf numFmtId="4" fontId="15" fillId="0" borderId="0" xfId="0" applyNumberFormat="1" applyFont="1"/>
    <xf numFmtId="0" fontId="15" fillId="0" borderId="0" xfId="0" applyFont="1"/>
    <xf numFmtId="0" fontId="16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4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4" fontId="3" fillId="10" borderId="3" xfId="0" applyNumberFormat="1" applyFont="1" applyFill="1" applyBorder="1" applyAlignment="1">
      <alignment horizontal="center" vertical="center"/>
    </xf>
    <xf numFmtId="4" fontId="14" fillId="2" borderId="3" xfId="0" applyNumberFormat="1" applyFont="1" applyFill="1" applyBorder="1" applyAlignment="1">
      <alignment horizontal="center" vertical="center"/>
    </xf>
    <xf numFmtId="4" fontId="14" fillId="8" borderId="3" xfId="0" applyNumberFormat="1" applyFont="1" applyFill="1" applyBorder="1" applyAlignment="1">
      <alignment horizontal="center" vertical="center"/>
    </xf>
    <xf numFmtId="4" fontId="3" fillId="8" borderId="3" xfId="0" applyNumberFormat="1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 wrapText="1"/>
    </xf>
    <xf numFmtId="0" fontId="17" fillId="0" borderId="0" xfId="0" applyFont="1" applyAlignment="1"/>
    <xf numFmtId="4" fontId="1" fillId="4" borderId="7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7" borderId="19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0" borderId="21" xfId="0" applyFont="1" applyBorder="1"/>
    <xf numFmtId="0" fontId="1" fillId="5" borderId="21" xfId="0" applyFont="1" applyFill="1" applyBorder="1"/>
    <xf numFmtId="0" fontId="1" fillId="4" borderId="22" xfId="0" applyFont="1" applyFill="1" applyBorder="1" applyAlignment="1">
      <alignment horizontal="center" vertical="center"/>
    </xf>
    <xf numFmtId="0" fontId="1" fillId="0" borderId="3" xfId="0" applyFont="1" applyBorder="1"/>
    <xf numFmtId="4" fontId="1" fillId="2" borderId="23" xfId="0" applyNumberFormat="1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left" vertical="center"/>
    </xf>
    <xf numFmtId="0" fontId="1" fillId="4" borderId="3" xfId="0" applyNumberFormat="1" applyFont="1" applyFill="1" applyBorder="1" applyAlignment="1" applyProtection="1">
      <alignment horizontal="center" vertical="center"/>
    </xf>
    <xf numFmtId="0" fontId="1" fillId="4" borderId="3" xfId="0" applyNumberFormat="1" applyFont="1" applyFill="1" applyBorder="1" applyAlignment="1" applyProtection="1">
      <alignment horizontal="left" vertical="center" wrapText="1"/>
    </xf>
    <xf numFmtId="0" fontId="1" fillId="4" borderId="3" xfId="0" applyNumberFormat="1" applyFont="1" applyFill="1" applyBorder="1" applyAlignment="1" applyProtection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left" vertical="center"/>
    </xf>
    <xf numFmtId="4" fontId="1" fillId="8" borderId="13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left" vertical="center"/>
    </xf>
    <xf numFmtId="4" fontId="1" fillId="4" borderId="24" xfId="0" applyNumberFormat="1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0" fontId="1" fillId="0" borderId="13" xfId="0" applyNumberFormat="1" applyFont="1" applyFill="1" applyBorder="1" applyAlignment="1" applyProtection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left" vertical="center" wrapText="1"/>
    </xf>
    <xf numFmtId="4" fontId="1" fillId="4" borderId="11" xfId="0" applyNumberFormat="1" applyFont="1" applyFill="1" applyBorder="1" applyAlignment="1">
      <alignment horizontal="center" vertical="center"/>
    </xf>
    <xf numFmtId="0" fontId="0" fillId="8" borderId="0" xfId="0" applyFill="1" applyBorder="1"/>
    <xf numFmtId="0" fontId="0" fillId="0" borderId="0" xfId="0" applyBorder="1"/>
    <xf numFmtId="2" fontId="7" fillId="0" borderId="7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4" fontId="7" fillId="0" borderId="7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 vertical="center"/>
    </xf>
    <xf numFmtId="2" fontId="8" fillId="0" borderId="1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AA130"/>
  <sheetViews>
    <sheetView tabSelected="1" view="pageBreakPreview" zoomScaleNormal="75" zoomScaleSheetLayoutView="100" workbookViewId="0">
      <pane ySplit="7" topLeftCell="A123" activePane="bottomLeft" state="frozen"/>
      <selection activeCell="B1" sqref="B1"/>
      <selection pane="bottomLeft" activeCell="B127" sqref="B127"/>
    </sheetView>
  </sheetViews>
  <sheetFormatPr defaultRowHeight="12.75"/>
  <cols>
    <col min="1" max="1" width="14.42578125" customWidth="1"/>
    <col min="2" max="2" width="42.85546875" customWidth="1"/>
    <col min="3" max="3" width="9.140625" customWidth="1"/>
    <col min="4" max="4" width="22" customWidth="1"/>
    <col min="5" max="8" width="10.140625" customWidth="1"/>
    <col min="9" max="20" width="9.85546875" customWidth="1"/>
    <col min="21" max="21" width="12.28515625" customWidth="1"/>
  </cols>
  <sheetData>
    <row r="1" spans="1:21" ht="14.25" customHeight="1">
      <c r="A1" s="140"/>
    </row>
    <row r="3" spans="1:21" ht="18">
      <c r="A3" s="123"/>
      <c r="B3" s="175" t="s">
        <v>0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67"/>
      <c r="N3" s="67"/>
      <c r="O3" s="67"/>
      <c r="P3" s="67"/>
      <c r="Q3" s="67"/>
      <c r="R3" s="67"/>
      <c r="S3" s="67"/>
      <c r="T3" s="67"/>
      <c r="U3" s="67"/>
    </row>
    <row r="4" spans="1:21" ht="34.5" customHeight="1">
      <c r="A4" s="67"/>
      <c r="B4" s="176" t="s">
        <v>1</v>
      </c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67"/>
      <c r="N4" s="67"/>
      <c r="O4" s="67"/>
      <c r="P4" s="67"/>
      <c r="Q4" s="67"/>
      <c r="R4" s="67"/>
      <c r="S4" s="67"/>
      <c r="T4" s="67"/>
      <c r="U4" s="67"/>
    </row>
    <row r="5" spans="1:21" ht="18">
      <c r="A5" s="67"/>
      <c r="B5" s="176" t="s">
        <v>194</v>
      </c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67"/>
      <c r="N5" s="67"/>
      <c r="O5" s="67"/>
      <c r="P5" s="67"/>
      <c r="Q5" s="67"/>
      <c r="R5" s="67"/>
      <c r="S5" s="67"/>
      <c r="T5" s="67"/>
      <c r="U5" s="67"/>
    </row>
    <row r="6" spans="1:21" ht="14.25">
      <c r="A6" s="67"/>
      <c r="B6" s="177" t="s">
        <v>114</v>
      </c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67"/>
      <c r="N6" s="67"/>
      <c r="O6" s="67"/>
      <c r="P6" s="67"/>
      <c r="Q6" s="67"/>
      <c r="R6" s="67"/>
      <c r="S6" s="67"/>
      <c r="T6" s="67"/>
      <c r="U6" s="67"/>
    </row>
    <row r="7" spans="1:21" ht="54.75" customHeight="1">
      <c r="A7" s="128" t="s">
        <v>2</v>
      </c>
      <c r="B7" s="129" t="s">
        <v>3</v>
      </c>
      <c r="C7" s="129" t="s">
        <v>4</v>
      </c>
      <c r="D7" s="129" t="s">
        <v>5</v>
      </c>
      <c r="E7" s="129" t="s">
        <v>6</v>
      </c>
      <c r="F7" s="129" t="s">
        <v>7</v>
      </c>
      <c r="G7" s="129" t="s">
        <v>8</v>
      </c>
      <c r="H7" s="130" t="s">
        <v>9</v>
      </c>
      <c r="I7" s="23" t="s">
        <v>101</v>
      </c>
      <c r="J7" s="23" t="s">
        <v>102</v>
      </c>
      <c r="K7" s="23" t="s">
        <v>103</v>
      </c>
      <c r="L7" s="23" t="s">
        <v>104</v>
      </c>
      <c r="M7" s="23" t="s">
        <v>118</v>
      </c>
      <c r="N7" s="23" t="s">
        <v>105</v>
      </c>
      <c r="O7" s="23" t="s">
        <v>106</v>
      </c>
      <c r="P7" s="23" t="s">
        <v>107</v>
      </c>
      <c r="Q7" s="23" t="s">
        <v>108</v>
      </c>
      <c r="R7" s="23" t="s">
        <v>109</v>
      </c>
      <c r="S7" s="23" t="s">
        <v>110</v>
      </c>
      <c r="T7" s="23" t="s">
        <v>111</v>
      </c>
      <c r="U7" s="23" t="s">
        <v>115</v>
      </c>
    </row>
    <row r="8" spans="1:21">
      <c r="A8" s="131">
        <v>1</v>
      </c>
      <c r="B8" s="7">
        <v>2</v>
      </c>
      <c r="C8" s="24">
        <v>3</v>
      </c>
      <c r="D8" s="7">
        <v>4</v>
      </c>
      <c r="E8" s="7">
        <v>5</v>
      </c>
      <c r="F8" s="24">
        <v>6</v>
      </c>
      <c r="G8" s="24">
        <v>7</v>
      </c>
      <c r="H8" s="25">
        <v>8</v>
      </c>
      <c r="I8" s="26">
        <v>9</v>
      </c>
      <c r="J8" s="26">
        <v>10</v>
      </c>
      <c r="K8" s="26">
        <v>11</v>
      </c>
      <c r="L8" s="26">
        <v>12</v>
      </c>
      <c r="M8" s="26">
        <v>13</v>
      </c>
      <c r="N8" s="26">
        <v>14</v>
      </c>
      <c r="O8" s="26">
        <v>15</v>
      </c>
      <c r="P8" s="26">
        <v>16</v>
      </c>
      <c r="Q8" s="26">
        <v>17</v>
      </c>
      <c r="R8" s="26">
        <v>18</v>
      </c>
      <c r="S8" s="26">
        <v>19</v>
      </c>
      <c r="T8" s="26">
        <v>20</v>
      </c>
      <c r="U8" s="26">
        <v>21</v>
      </c>
    </row>
    <row r="9" spans="1:21" ht="38.25">
      <c r="A9" s="131"/>
      <c r="B9" s="9" t="s">
        <v>10</v>
      </c>
      <c r="C9" s="24"/>
      <c r="D9" s="10"/>
      <c r="E9" s="10"/>
      <c r="F9" s="24"/>
      <c r="G9" s="24"/>
      <c r="H9" s="28"/>
      <c r="I9" s="29"/>
      <c r="J9" s="29"/>
      <c r="K9" s="29"/>
      <c r="L9" s="29"/>
      <c r="M9" s="30"/>
      <c r="N9" s="27"/>
      <c r="O9" s="27"/>
      <c r="P9" s="27"/>
      <c r="Q9" s="27"/>
      <c r="R9" s="27"/>
      <c r="S9" s="27"/>
      <c r="T9" s="27"/>
      <c r="U9" s="27"/>
    </row>
    <row r="10" spans="1:21">
      <c r="A10" s="131"/>
      <c r="B10" s="9" t="s">
        <v>11</v>
      </c>
      <c r="C10" s="24"/>
      <c r="D10" s="10"/>
      <c r="E10" s="10"/>
      <c r="F10" s="24"/>
      <c r="G10" s="24"/>
      <c r="H10" s="28"/>
      <c r="I10" s="29"/>
      <c r="J10" s="29"/>
      <c r="K10" s="29"/>
      <c r="L10" s="29"/>
      <c r="M10" s="30"/>
      <c r="N10" s="27"/>
      <c r="O10" s="27"/>
      <c r="P10" s="27"/>
      <c r="Q10" s="27"/>
      <c r="R10" s="27"/>
      <c r="S10" s="27"/>
      <c r="T10" s="27"/>
      <c r="U10" s="27"/>
    </row>
    <row r="11" spans="1:21" ht="25.5">
      <c r="A11" s="131" t="s">
        <v>129</v>
      </c>
      <c r="B11" s="10" t="s">
        <v>12</v>
      </c>
      <c r="C11" s="24" t="s">
        <v>13</v>
      </c>
      <c r="D11" s="10" t="s">
        <v>168</v>
      </c>
      <c r="E11" s="31">
        <v>54</v>
      </c>
      <c r="F11" s="32">
        <f>SUM(E11*156/100)</f>
        <v>84.24</v>
      </c>
      <c r="G11" s="32">
        <v>218.21</v>
      </c>
      <c r="H11" s="33">
        <f t="shared" ref="H11:H20" si="0">SUM(F11*G11/1000)</f>
        <v>18.382010399999999</v>
      </c>
      <c r="I11" s="34">
        <f>F11/12*G11</f>
        <v>1531.8342</v>
      </c>
      <c r="J11" s="34">
        <f>F11/12*G11</f>
        <v>1531.8342</v>
      </c>
      <c r="K11" s="34">
        <f>F11/12*G11</f>
        <v>1531.8342</v>
      </c>
      <c r="L11" s="34">
        <f>F11/12*G11</f>
        <v>1531.8342</v>
      </c>
      <c r="M11" s="34">
        <f>F11/12*G11</f>
        <v>1531.8342</v>
      </c>
      <c r="N11" s="34">
        <f>F11/12*G11</f>
        <v>1531.8342</v>
      </c>
      <c r="O11" s="34">
        <f>F11/12*G11</f>
        <v>1531.8342</v>
      </c>
      <c r="P11" s="34">
        <f>F11/12*G11</f>
        <v>1531.8342</v>
      </c>
      <c r="Q11" s="34">
        <f>F11/12*G11</f>
        <v>1531.8342</v>
      </c>
      <c r="R11" s="34">
        <f>F11/12*G11</f>
        <v>1531.8342</v>
      </c>
      <c r="S11" s="34">
        <f>F11/12*G11</f>
        <v>1531.8342</v>
      </c>
      <c r="T11" s="34">
        <f>F11/12*G11</f>
        <v>1531.8342</v>
      </c>
      <c r="U11" s="34">
        <f>SUM(I11:T11)</f>
        <v>18382.010399999999</v>
      </c>
    </row>
    <row r="12" spans="1:21" ht="25.5">
      <c r="A12" s="131" t="s">
        <v>129</v>
      </c>
      <c r="B12" s="10" t="s">
        <v>14</v>
      </c>
      <c r="C12" s="24" t="s">
        <v>13</v>
      </c>
      <c r="D12" s="10" t="s">
        <v>169</v>
      </c>
      <c r="E12" s="31">
        <v>216</v>
      </c>
      <c r="F12" s="32">
        <f>SUM(E12*104/100)</f>
        <v>224.64</v>
      </c>
      <c r="G12" s="32">
        <v>218.21</v>
      </c>
      <c r="H12" s="33">
        <f t="shared" si="0"/>
        <v>49.018694400000001</v>
      </c>
      <c r="I12" s="34">
        <f>F12/12*G12</f>
        <v>4084.8912</v>
      </c>
      <c r="J12" s="34">
        <f>F12/12*G12</f>
        <v>4084.8912</v>
      </c>
      <c r="K12" s="34">
        <f>F12/12*G12</f>
        <v>4084.8912</v>
      </c>
      <c r="L12" s="34">
        <f>F12/12*G12</f>
        <v>4084.8912</v>
      </c>
      <c r="M12" s="34">
        <f>F12/12*G12</f>
        <v>4084.8912</v>
      </c>
      <c r="N12" s="34">
        <f>F12/12*G12</f>
        <v>4084.8912</v>
      </c>
      <c r="O12" s="34">
        <f>F12/12*G12</f>
        <v>4084.8912</v>
      </c>
      <c r="P12" s="34">
        <f>F12/12*G12</f>
        <v>4084.8912</v>
      </c>
      <c r="Q12" s="34">
        <f>F12/12*G12</f>
        <v>4084.8912</v>
      </c>
      <c r="R12" s="34">
        <f>F12/12*G12</f>
        <v>4084.8912</v>
      </c>
      <c r="S12" s="34">
        <f>F12/12*G12</f>
        <v>4084.8912</v>
      </c>
      <c r="T12" s="34">
        <f>F12/12*G12</f>
        <v>4084.8912</v>
      </c>
      <c r="U12" s="34">
        <f t="shared" ref="U12:U20" si="1">SUM(I12:T12)</f>
        <v>49018.694399999986</v>
      </c>
    </row>
    <row r="13" spans="1:21" ht="25.5">
      <c r="A13" s="131" t="s">
        <v>130</v>
      </c>
      <c r="B13" s="10" t="s">
        <v>15</v>
      </c>
      <c r="C13" s="24" t="s">
        <v>13</v>
      </c>
      <c r="D13" s="10" t="s">
        <v>170</v>
      </c>
      <c r="E13" s="31">
        <f>SUM(E11+E12)</f>
        <v>270</v>
      </c>
      <c r="F13" s="32">
        <f>SUM(E13*24/100)</f>
        <v>64.8</v>
      </c>
      <c r="G13" s="32">
        <v>627.77</v>
      </c>
      <c r="H13" s="33">
        <f t="shared" si="0"/>
        <v>40.679496</v>
      </c>
      <c r="I13" s="34">
        <f>F13/12*G13</f>
        <v>3389.9579999999996</v>
      </c>
      <c r="J13" s="34">
        <f>F13/12*G13</f>
        <v>3389.9579999999996</v>
      </c>
      <c r="K13" s="34">
        <f>F13/12*G13</f>
        <v>3389.9579999999996</v>
      </c>
      <c r="L13" s="34">
        <f>F13/12*G13</f>
        <v>3389.9579999999996</v>
      </c>
      <c r="M13" s="34">
        <f>F13/12*G13</f>
        <v>3389.9579999999996</v>
      </c>
      <c r="N13" s="34">
        <f>F13/12*G13</f>
        <v>3389.9579999999996</v>
      </c>
      <c r="O13" s="34">
        <f>F13/12*G13</f>
        <v>3389.9579999999996</v>
      </c>
      <c r="P13" s="34">
        <f>F13/12*G13</f>
        <v>3389.9579999999996</v>
      </c>
      <c r="Q13" s="34">
        <f>F13/12*G13</f>
        <v>3389.9579999999996</v>
      </c>
      <c r="R13" s="34">
        <f>F13/12*G13</f>
        <v>3389.9579999999996</v>
      </c>
      <c r="S13" s="34">
        <f>F13/12*G13</f>
        <v>3389.9579999999996</v>
      </c>
      <c r="T13" s="34">
        <f>F13/12*G13</f>
        <v>3389.9579999999996</v>
      </c>
      <c r="U13" s="34">
        <f t="shared" si="1"/>
        <v>40679.495999999992</v>
      </c>
    </row>
    <row r="14" spans="1:21">
      <c r="A14" s="131" t="s">
        <v>131</v>
      </c>
      <c r="B14" s="10" t="s">
        <v>16</v>
      </c>
      <c r="C14" s="24" t="s">
        <v>17</v>
      </c>
      <c r="D14" s="10" t="s">
        <v>89</v>
      </c>
      <c r="E14" s="31">
        <v>40</v>
      </c>
      <c r="F14" s="32">
        <f>SUM(E14/10)</f>
        <v>4</v>
      </c>
      <c r="G14" s="32">
        <v>211.74</v>
      </c>
      <c r="H14" s="33">
        <f t="shared" si="0"/>
        <v>0.84696000000000005</v>
      </c>
      <c r="I14" s="34">
        <v>0</v>
      </c>
      <c r="J14" s="34">
        <v>0</v>
      </c>
      <c r="K14" s="34">
        <v>0</v>
      </c>
      <c r="L14" s="34">
        <v>0</v>
      </c>
      <c r="M14" s="34">
        <f>F14/2*G14</f>
        <v>423.48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f t="shared" si="1"/>
        <v>423.48</v>
      </c>
    </row>
    <row r="15" spans="1:21">
      <c r="A15" s="131" t="s">
        <v>132</v>
      </c>
      <c r="B15" s="10" t="s">
        <v>18</v>
      </c>
      <c r="C15" s="24" t="s">
        <v>13</v>
      </c>
      <c r="D15" s="10" t="s">
        <v>45</v>
      </c>
      <c r="E15" s="31">
        <v>10.5</v>
      </c>
      <c r="F15" s="32">
        <f>SUM(E15*2/100)</f>
        <v>0.21</v>
      </c>
      <c r="G15" s="32">
        <v>271.12</v>
      </c>
      <c r="H15" s="33">
        <f>SUM(F15*G15/1000)</f>
        <v>5.6935200000000005E-2</v>
      </c>
      <c r="I15" s="34">
        <v>0</v>
      </c>
      <c r="J15" s="34">
        <v>0</v>
      </c>
      <c r="K15" s="34">
        <v>0</v>
      </c>
      <c r="L15" s="34">
        <v>0</v>
      </c>
      <c r="M15" s="34">
        <f>G15/2*F15</f>
        <v>28.467600000000001</v>
      </c>
      <c r="N15" s="34">
        <v>0</v>
      </c>
      <c r="O15" s="34">
        <v>0</v>
      </c>
      <c r="P15" s="34">
        <v>0</v>
      </c>
      <c r="Q15" s="34">
        <f>F15/2*G15</f>
        <v>28.467600000000001</v>
      </c>
      <c r="R15" s="34">
        <v>0</v>
      </c>
      <c r="S15" s="34">
        <v>0</v>
      </c>
      <c r="T15" s="34">
        <v>0</v>
      </c>
      <c r="U15" s="34">
        <f t="shared" si="1"/>
        <v>56.935200000000002</v>
      </c>
    </row>
    <row r="16" spans="1:21">
      <c r="A16" s="131" t="s">
        <v>133</v>
      </c>
      <c r="B16" s="10" t="s">
        <v>19</v>
      </c>
      <c r="C16" s="24" t="s">
        <v>13</v>
      </c>
      <c r="D16" s="10" t="s">
        <v>45</v>
      </c>
      <c r="E16" s="31">
        <v>2.7</v>
      </c>
      <c r="F16" s="32">
        <f>SUM(E16*2/100)</f>
        <v>5.4000000000000006E-2</v>
      </c>
      <c r="G16" s="32">
        <v>268.92</v>
      </c>
      <c r="H16" s="33">
        <f t="shared" si="0"/>
        <v>1.4521680000000002E-2</v>
      </c>
      <c r="I16" s="34">
        <v>0</v>
      </c>
      <c r="J16" s="34">
        <v>0</v>
      </c>
      <c r="K16" s="34">
        <v>0</v>
      </c>
      <c r="L16" s="34">
        <v>0</v>
      </c>
      <c r="M16" s="34">
        <f>G16/2*F16</f>
        <v>7.2608400000000008</v>
      </c>
      <c r="N16" s="34">
        <v>0</v>
      </c>
      <c r="O16" s="34">
        <v>0</v>
      </c>
      <c r="P16" s="34">
        <v>0</v>
      </c>
      <c r="Q16" s="34">
        <f>F16/2*G16</f>
        <v>7.2608400000000008</v>
      </c>
      <c r="R16" s="34">
        <v>0</v>
      </c>
      <c r="S16" s="34">
        <v>0</v>
      </c>
      <c r="T16" s="34">
        <v>0</v>
      </c>
      <c r="U16" s="34">
        <f t="shared" si="1"/>
        <v>14.521680000000002</v>
      </c>
    </row>
    <row r="17" spans="1:21">
      <c r="A17" s="131" t="s">
        <v>134</v>
      </c>
      <c r="B17" s="10" t="s">
        <v>20</v>
      </c>
      <c r="C17" s="24" t="s">
        <v>21</v>
      </c>
      <c r="D17" s="10" t="s">
        <v>89</v>
      </c>
      <c r="E17" s="31">
        <v>357</v>
      </c>
      <c r="F17" s="32">
        <f t="shared" ref="F17:F20" si="2">SUM(E17/100)</f>
        <v>3.57</v>
      </c>
      <c r="G17" s="32">
        <v>335.05</v>
      </c>
      <c r="H17" s="33">
        <f t="shared" si="0"/>
        <v>1.1961284999999999</v>
      </c>
      <c r="I17" s="34">
        <v>0</v>
      </c>
      <c r="J17" s="34">
        <v>0</v>
      </c>
      <c r="K17" s="34">
        <v>0</v>
      </c>
      <c r="L17" s="34">
        <v>0</v>
      </c>
      <c r="M17" s="34">
        <f t="shared" ref="M17:M20" si="3">G17*F17</f>
        <v>1196.1285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f t="shared" si="1"/>
        <v>1196.1285</v>
      </c>
    </row>
    <row r="18" spans="1:21">
      <c r="A18" s="131" t="s">
        <v>135</v>
      </c>
      <c r="B18" s="10" t="s">
        <v>22</v>
      </c>
      <c r="C18" s="24" t="s">
        <v>21</v>
      </c>
      <c r="D18" s="10" t="s">
        <v>89</v>
      </c>
      <c r="E18" s="36">
        <v>38.64</v>
      </c>
      <c r="F18" s="32">
        <f t="shared" si="2"/>
        <v>0.38640000000000002</v>
      </c>
      <c r="G18" s="32">
        <v>55.1</v>
      </c>
      <c r="H18" s="33">
        <f t="shared" si="0"/>
        <v>2.1290640000000003E-2</v>
      </c>
      <c r="I18" s="34">
        <v>0</v>
      </c>
      <c r="J18" s="34">
        <v>0</v>
      </c>
      <c r="K18" s="34">
        <v>0</v>
      </c>
      <c r="L18" s="34">
        <v>0</v>
      </c>
      <c r="M18" s="34">
        <f t="shared" si="3"/>
        <v>21.290640000000003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f t="shared" si="1"/>
        <v>21.290640000000003</v>
      </c>
    </row>
    <row r="19" spans="1:21">
      <c r="A19" s="131" t="s">
        <v>136</v>
      </c>
      <c r="B19" s="10" t="s">
        <v>98</v>
      </c>
      <c r="C19" s="24" t="s">
        <v>21</v>
      </c>
      <c r="D19" s="37" t="s">
        <v>89</v>
      </c>
      <c r="E19" s="38">
        <v>15</v>
      </c>
      <c r="F19" s="39">
        <f t="shared" si="2"/>
        <v>0.15</v>
      </c>
      <c r="G19" s="32">
        <v>484.94</v>
      </c>
      <c r="H19" s="33">
        <f t="shared" si="0"/>
        <v>7.2741E-2</v>
      </c>
      <c r="I19" s="34">
        <v>0</v>
      </c>
      <c r="J19" s="34">
        <v>0</v>
      </c>
      <c r="K19" s="34">
        <v>0</v>
      </c>
      <c r="L19" s="34">
        <v>0</v>
      </c>
      <c r="M19" s="34">
        <f t="shared" si="3"/>
        <v>72.741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f t="shared" si="1"/>
        <v>72.741</v>
      </c>
    </row>
    <row r="20" spans="1:21">
      <c r="A20" s="131" t="s">
        <v>137</v>
      </c>
      <c r="B20" s="10" t="s">
        <v>23</v>
      </c>
      <c r="C20" s="24" t="s">
        <v>21</v>
      </c>
      <c r="D20" s="10" t="s">
        <v>89</v>
      </c>
      <c r="E20" s="40">
        <v>6.38</v>
      </c>
      <c r="F20" s="32">
        <f t="shared" si="2"/>
        <v>6.3799999999999996E-2</v>
      </c>
      <c r="G20" s="32">
        <v>648.04999999999995</v>
      </c>
      <c r="H20" s="33">
        <f t="shared" si="0"/>
        <v>4.1345589999999995E-2</v>
      </c>
      <c r="I20" s="34">
        <v>0</v>
      </c>
      <c r="J20" s="34">
        <v>0</v>
      </c>
      <c r="K20" s="34">
        <v>0</v>
      </c>
      <c r="L20" s="34">
        <v>0</v>
      </c>
      <c r="M20" s="34">
        <f t="shared" si="3"/>
        <v>41.345589999999994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f t="shared" si="1"/>
        <v>41.345589999999994</v>
      </c>
    </row>
    <row r="21" spans="1:21" s="18" customFormat="1">
      <c r="A21" s="132"/>
      <c r="B21" s="19" t="s">
        <v>24</v>
      </c>
      <c r="C21" s="41"/>
      <c r="D21" s="19"/>
      <c r="E21" s="42"/>
      <c r="F21" s="43"/>
      <c r="G21" s="43"/>
      <c r="H21" s="44">
        <f>SUM(H11:H20)</f>
        <v>110.33012341</v>
      </c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>
        <f>SUM(U11:U20)</f>
        <v>109906.64340999998</v>
      </c>
    </row>
    <row r="22" spans="1:21">
      <c r="A22" s="131"/>
      <c r="B22" s="11" t="s">
        <v>25</v>
      </c>
      <c r="C22" s="24"/>
      <c r="D22" s="10"/>
      <c r="E22" s="31"/>
      <c r="F22" s="32"/>
      <c r="G22" s="32"/>
      <c r="H22" s="33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</row>
    <row r="23" spans="1:21" ht="25.5" customHeight="1">
      <c r="A23" s="131" t="s">
        <v>138</v>
      </c>
      <c r="B23" s="10" t="s">
        <v>119</v>
      </c>
      <c r="C23" s="24" t="s">
        <v>26</v>
      </c>
      <c r="D23" s="10" t="s">
        <v>171</v>
      </c>
      <c r="E23" s="32">
        <v>191.65</v>
      </c>
      <c r="F23" s="32">
        <f>SUM(E23*52/1000)</f>
        <v>9.9658000000000015</v>
      </c>
      <c r="G23" s="32">
        <v>193.97</v>
      </c>
      <c r="H23" s="33">
        <f t="shared" ref="H23:H30" si="4">SUM(F23*G23/1000)</f>
        <v>1.9330662260000004</v>
      </c>
      <c r="I23" s="34">
        <v>0</v>
      </c>
      <c r="J23" s="34">
        <v>0</v>
      </c>
      <c r="K23" s="34">
        <v>0</v>
      </c>
      <c r="L23" s="34">
        <v>0</v>
      </c>
      <c r="M23" s="34">
        <f>F23/6*G23</f>
        <v>322.17770433333339</v>
      </c>
      <c r="N23" s="34">
        <f>F23/6*G23</f>
        <v>322.17770433333339</v>
      </c>
      <c r="O23" s="34">
        <f>F23/6*G23</f>
        <v>322.17770433333339</v>
      </c>
      <c r="P23" s="34">
        <f>F23/6*G23</f>
        <v>322.17770433333339</v>
      </c>
      <c r="Q23" s="34">
        <f>F23/6*G23</f>
        <v>322.17770433333339</v>
      </c>
      <c r="R23" s="34">
        <f>F23/6*G23</f>
        <v>322.17770433333339</v>
      </c>
      <c r="S23" s="34">
        <v>0</v>
      </c>
      <c r="T23" s="34">
        <v>0</v>
      </c>
      <c r="U23" s="34">
        <f t="shared" ref="U23:U30" si="5">SUM(I23:T23)</f>
        <v>1933.0662260000004</v>
      </c>
    </row>
    <row r="24" spans="1:21" ht="38.25" customHeight="1">
      <c r="A24" s="131" t="s">
        <v>139</v>
      </c>
      <c r="B24" s="10" t="s">
        <v>121</v>
      </c>
      <c r="C24" s="24" t="s">
        <v>26</v>
      </c>
      <c r="D24" s="10" t="s">
        <v>172</v>
      </c>
      <c r="E24" s="32">
        <v>67.650000000000006</v>
      </c>
      <c r="F24" s="32">
        <f>SUM(E24*78/1000)</f>
        <v>5.2767000000000008</v>
      </c>
      <c r="G24" s="32">
        <v>321.82</v>
      </c>
      <c r="H24" s="33">
        <f t="shared" si="4"/>
        <v>1.6981475940000001</v>
      </c>
      <c r="I24" s="34">
        <v>0</v>
      </c>
      <c r="J24" s="34">
        <v>0</v>
      </c>
      <c r="K24" s="34">
        <v>0</v>
      </c>
      <c r="L24" s="34">
        <v>0</v>
      </c>
      <c r="M24" s="34">
        <f>F24/6*G24</f>
        <v>283.02459900000002</v>
      </c>
      <c r="N24" s="34">
        <f>F24/6*G24</f>
        <v>283.02459900000002</v>
      </c>
      <c r="O24" s="34">
        <f>F24/6*G24</f>
        <v>283.02459900000002</v>
      </c>
      <c r="P24" s="34">
        <f>F24/6*G24</f>
        <v>283.02459900000002</v>
      </c>
      <c r="Q24" s="34">
        <f>F24/6*G24</f>
        <v>283.02459900000002</v>
      </c>
      <c r="R24" s="34">
        <f>F24/6*G24</f>
        <v>283.02459900000002</v>
      </c>
      <c r="S24" s="34">
        <v>0</v>
      </c>
      <c r="T24" s="34">
        <v>0</v>
      </c>
      <c r="U24" s="34">
        <f t="shared" si="5"/>
        <v>1698.1475940000003</v>
      </c>
    </row>
    <row r="25" spans="1:21">
      <c r="A25" s="131" t="s">
        <v>140</v>
      </c>
      <c r="B25" s="10" t="s">
        <v>27</v>
      </c>
      <c r="C25" s="24" t="s">
        <v>26</v>
      </c>
      <c r="D25" s="10" t="s">
        <v>28</v>
      </c>
      <c r="E25" s="32">
        <v>191.65</v>
      </c>
      <c r="F25" s="32">
        <f>SUM(E25/1000)</f>
        <v>0.19165000000000001</v>
      </c>
      <c r="G25" s="32">
        <v>3758.28</v>
      </c>
      <c r="H25" s="33">
        <f t="shared" si="4"/>
        <v>0.72027436200000006</v>
      </c>
      <c r="I25" s="34">
        <v>0</v>
      </c>
      <c r="J25" s="34">
        <v>0</v>
      </c>
      <c r="K25" s="34">
        <v>0</v>
      </c>
      <c r="L25" s="34">
        <v>0</v>
      </c>
      <c r="M25" s="34">
        <f>F25*G25</f>
        <v>720.27436200000011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f t="shared" si="5"/>
        <v>720.27436200000011</v>
      </c>
    </row>
    <row r="26" spans="1:21">
      <c r="A26" s="131" t="s">
        <v>141</v>
      </c>
      <c r="B26" s="10" t="s">
        <v>29</v>
      </c>
      <c r="C26" s="24" t="s">
        <v>30</v>
      </c>
      <c r="D26" s="10" t="s">
        <v>31</v>
      </c>
      <c r="E26" s="47">
        <f>1/3</f>
        <v>0.33333333333333331</v>
      </c>
      <c r="F26" s="32">
        <f>155/3</f>
        <v>51.666666666666664</v>
      </c>
      <c r="G26" s="32">
        <v>70.540000000000006</v>
      </c>
      <c r="H26" s="33">
        <f t="shared" si="4"/>
        <v>3.6445666666666665</v>
      </c>
      <c r="I26" s="34">
        <v>0</v>
      </c>
      <c r="J26" s="34">
        <v>0</v>
      </c>
      <c r="K26" s="34">
        <v>0</v>
      </c>
      <c r="L26" s="34">
        <v>0</v>
      </c>
      <c r="M26" s="34">
        <f>F26/6*G26</f>
        <v>607.42777777777781</v>
      </c>
      <c r="N26" s="34">
        <f>F26/6*G26</f>
        <v>607.42777777777781</v>
      </c>
      <c r="O26" s="34">
        <f>F26/6*G26</f>
        <v>607.42777777777781</v>
      </c>
      <c r="P26" s="34">
        <f>F26/6*G26</f>
        <v>607.42777777777781</v>
      </c>
      <c r="Q26" s="34">
        <f>F26/6*G26</f>
        <v>607.42777777777781</v>
      </c>
      <c r="R26" s="34">
        <f>F26/6*G26</f>
        <v>607.42777777777781</v>
      </c>
      <c r="S26" s="34">
        <v>0</v>
      </c>
      <c r="T26" s="34">
        <v>0</v>
      </c>
      <c r="U26" s="34">
        <f t="shared" si="5"/>
        <v>3644.5666666666671</v>
      </c>
    </row>
    <row r="27" spans="1:21" ht="12.75" customHeight="1">
      <c r="A27" s="131" t="s">
        <v>142</v>
      </c>
      <c r="B27" s="10" t="s">
        <v>32</v>
      </c>
      <c r="C27" s="24" t="s">
        <v>33</v>
      </c>
      <c r="D27" s="10" t="s">
        <v>34</v>
      </c>
      <c r="E27" s="48">
        <v>0.1</v>
      </c>
      <c r="F27" s="32">
        <f>SUM(E27*365)</f>
        <v>36.5</v>
      </c>
      <c r="G27" s="32">
        <v>182.96</v>
      </c>
      <c r="H27" s="33">
        <f t="shared" si="4"/>
        <v>6.6780400000000002</v>
      </c>
      <c r="I27" s="34">
        <f>F27/12*G27</f>
        <v>556.50333333333333</v>
      </c>
      <c r="J27" s="34">
        <f>F27/12*G27</f>
        <v>556.50333333333333</v>
      </c>
      <c r="K27" s="34">
        <f>F27/12*G27</f>
        <v>556.50333333333333</v>
      </c>
      <c r="L27" s="34">
        <f>F27/12*G27</f>
        <v>556.50333333333333</v>
      </c>
      <c r="M27" s="34">
        <f>F27/12*G27</f>
        <v>556.50333333333333</v>
      </c>
      <c r="N27" s="34">
        <f>F27/12*G27</f>
        <v>556.50333333333333</v>
      </c>
      <c r="O27" s="34">
        <f>F27/12*G27</f>
        <v>556.50333333333333</v>
      </c>
      <c r="P27" s="34">
        <f>F27/12*G27</f>
        <v>556.50333333333333</v>
      </c>
      <c r="Q27" s="34">
        <f>F27/12*G27</f>
        <v>556.50333333333333</v>
      </c>
      <c r="R27" s="34">
        <f>F27/12*G27</f>
        <v>556.50333333333333</v>
      </c>
      <c r="S27" s="34">
        <f>F27/12*G27</f>
        <v>556.50333333333333</v>
      </c>
      <c r="T27" s="34">
        <f>F27/12*G27</f>
        <v>556.50333333333333</v>
      </c>
      <c r="U27" s="34">
        <f t="shared" si="5"/>
        <v>6678.0399999999981</v>
      </c>
    </row>
    <row r="28" spans="1:21" ht="12.75" customHeight="1">
      <c r="A28" s="131" t="s">
        <v>143</v>
      </c>
      <c r="B28" s="10" t="s">
        <v>120</v>
      </c>
      <c r="C28" s="24" t="s">
        <v>33</v>
      </c>
      <c r="D28" s="10" t="s">
        <v>35</v>
      </c>
      <c r="E28" s="31"/>
      <c r="F28" s="32">
        <v>3</v>
      </c>
      <c r="G28" s="32">
        <v>238.07</v>
      </c>
      <c r="H28" s="33">
        <f t="shared" si="4"/>
        <v>0.71421000000000001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f t="shared" si="5"/>
        <v>0</v>
      </c>
    </row>
    <row r="29" spans="1:21" ht="12.75" customHeight="1">
      <c r="A29" s="131" t="s">
        <v>113</v>
      </c>
      <c r="B29" s="10" t="s">
        <v>123</v>
      </c>
      <c r="C29" s="24" t="s">
        <v>36</v>
      </c>
      <c r="D29" s="10" t="s">
        <v>35</v>
      </c>
      <c r="E29" s="31"/>
      <c r="F29" s="32">
        <v>2</v>
      </c>
      <c r="G29" s="32">
        <v>1413.96</v>
      </c>
      <c r="H29" s="33">
        <f t="shared" si="4"/>
        <v>2.8279200000000002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f t="shared" si="5"/>
        <v>0</v>
      </c>
    </row>
    <row r="30" spans="1:21">
      <c r="A30" s="131"/>
      <c r="B30" s="49" t="s">
        <v>37</v>
      </c>
      <c r="C30" s="24" t="s">
        <v>38</v>
      </c>
      <c r="D30" s="49" t="s">
        <v>39</v>
      </c>
      <c r="E30" s="31">
        <v>3216.2</v>
      </c>
      <c r="F30" s="32">
        <f>SUM(E30*12)</f>
        <v>38594.399999999994</v>
      </c>
      <c r="G30" s="32">
        <v>4.01</v>
      </c>
      <c r="H30" s="33">
        <f t="shared" si="4"/>
        <v>154.76354399999997</v>
      </c>
      <c r="I30" s="34">
        <f>F30/12*G30</f>
        <v>12896.961999999996</v>
      </c>
      <c r="J30" s="34">
        <f>F30/12*G30</f>
        <v>12896.961999999996</v>
      </c>
      <c r="K30" s="34">
        <f>F30/12*G30</f>
        <v>12896.961999999996</v>
      </c>
      <c r="L30" s="34">
        <f>F30/12*G30</f>
        <v>12896.961999999996</v>
      </c>
      <c r="M30" s="34">
        <f>F30/12*G30</f>
        <v>12896.961999999996</v>
      </c>
      <c r="N30" s="34">
        <f>F30/12*G30</f>
        <v>12896.961999999996</v>
      </c>
      <c r="O30" s="34">
        <f>F30/12*G30</f>
        <v>12896.961999999996</v>
      </c>
      <c r="P30" s="34">
        <f>F30/12*G30</f>
        <v>12896.961999999996</v>
      </c>
      <c r="Q30" s="34">
        <f>F30/12*G30</f>
        <v>12896.961999999996</v>
      </c>
      <c r="R30" s="34">
        <f>F30/12*G30</f>
        <v>12896.961999999996</v>
      </c>
      <c r="S30" s="34">
        <f>F30/12*G30</f>
        <v>12896.961999999996</v>
      </c>
      <c r="T30" s="34">
        <f>F30/12*G30</f>
        <v>12896.961999999996</v>
      </c>
      <c r="U30" s="34">
        <f t="shared" si="5"/>
        <v>154763.54399999997</v>
      </c>
    </row>
    <row r="31" spans="1:21" s="18" customFormat="1">
      <c r="A31" s="132"/>
      <c r="B31" s="19" t="s">
        <v>24</v>
      </c>
      <c r="C31" s="41"/>
      <c r="D31" s="19"/>
      <c r="E31" s="42"/>
      <c r="F31" s="43"/>
      <c r="G31" s="43"/>
      <c r="H31" s="50">
        <f>SUM(H23:H30)</f>
        <v>172.97976884866662</v>
      </c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>
        <f>SUM(U23:U30)</f>
        <v>169437.63884866663</v>
      </c>
    </row>
    <row r="32" spans="1:21">
      <c r="A32" s="131"/>
      <c r="B32" s="11" t="s">
        <v>40</v>
      </c>
      <c r="C32" s="24"/>
      <c r="D32" s="10"/>
      <c r="E32" s="31"/>
      <c r="F32" s="32"/>
      <c r="G32" s="32"/>
      <c r="H32" s="33" t="s">
        <v>39</v>
      </c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</row>
    <row r="33" spans="1:21" ht="12.75" customHeight="1">
      <c r="A33" s="131" t="s">
        <v>113</v>
      </c>
      <c r="B33" s="12" t="s">
        <v>41</v>
      </c>
      <c r="C33" s="24" t="s">
        <v>36</v>
      </c>
      <c r="D33" s="10"/>
      <c r="E33" s="31"/>
      <c r="F33" s="32">
        <v>3</v>
      </c>
      <c r="G33" s="32">
        <v>1900.37</v>
      </c>
      <c r="H33" s="33">
        <f t="shared" ref="H33:H39" si="6">SUM(F33*G33/1000)</f>
        <v>5.7011099999999999</v>
      </c>
      <c r="I33" s="34">
        <f>F33/6*G33</f>
        <v>950.18499999999995</v>
      </c>
      <c r="J33" s="34">
        <f>F33/6*G33</f>
        <v>950.18499999999995</v>
      </c>
      <c r="K33" s="34">
        <f>F33/6*G33</f>
        <v>950.18499999999995</v>
      </c>
      <c r="L33" s="34">
        <f>F33/6*G33</f>
        <v>950.18499999999995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f>F33/6*G33</f>
        <v>950.18499999999995</v>
      </c>
      <c r="T33" s="34">
        <f>F33/6*G33</f>
        <v>950.18499999999995</v>
      </c>
      <c r="U33" s="34">
        <f t="shared" ref="U33:U39" si="7">SUM(I33:T33)</f>
        <v>5701.1099999999988</v>
      </c>
    </row>
    <row r="34" spans="1:21">
      <c r="A34" s="133" t="s">
        <v>144</v>
      </c>
      <c r="B34" s="12" t="s">
        <v>96</v>
      </c>
      <c r="C34" s="52" t="s">
        <v>42</v>
      </c>
      <c r="D34" s="10" t="s">
        <v>95</v>
      </c>
      <c r="E34" s="31">
        <v>67.650000000000006</v>
      </c>
      <c r="F34" s="51">
        <f>E34*30/1000</f>
        <v>2.0295000000000001</v>
      </c>
      <c r="G34" s="32">
        <v>2616.4899999999998</v>
      </c>
      <c r="H34" s="33">
        <f>G34*F34/1000</f>
        <v>5.3101664549999992</v>
      </c>
      <c r="I34" s="34">
        <f>F34/6*G34</f>
        <v>885.02774249999993</v>
      </c>
      <c r="J34" s="34">
        <f>F34/6*G34</f>
        <v>885.02774249999993</v>
      </c>
      <c r="K34" s="34">
        <f>F34/6*G34</f>
        <v>885.02774249999993</v>
      </c>
      <c r="L34" s="34">
        <f>F34/6*G34</f>
        <v>885.02774249999993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f>F34/6*G34</f>
        <v>885.02774249999993</v>
      </c>
      <c r="T34" s="34">
        <f>F34/6*G34</f>
        <v>885.02774249999993</v>
      </c>
      <c r="U34" s="34">
        <f t="shared" si="7"/>
        <v>5310.1664550000005</v>
      </c>
    </row>
    <row r="35" spans="1:21" ht="25.5">
      <c r="A35" s="133" t="s">
        <v>144</v>
      </c>
      <c r="B35" s="12" t="s">
        <v>124</v>
      </c>
      <c r="C35" s="52" t="s">
        <v>42</v>
      </c>
      <c r="D35" s="10" t="s">
        <v>43</v>
      </c>
      <c r="E35" s="31">
        <v>67.650000000000006</v>
      </c>
      <c r="F35" s="51">
        <f>E35*155/1000</f>
        <v>10.485749999999999</v>
      </c>
      <c r="G35" s="32">
        <v>436.45</v>
      </c>
      <c r="H35" s="33">
        <f>G35*F35/1000</f>
        <v>4.5765055874999998</v>
      </c>
      <c r="I35" s="34">
        <f>F35/6*G35</f>
        <v>762.75093125000001</v>
      </c>
      <c r="J35" s="34">
        <f>F35/6*G35</f>
        <v>762.75093125000001</v>
      </c>
      <c r="K35" s="34">
        <f>F35/6*G35</f>
        <v>762.75093125000001</v>
      </c>
      <c r="L35" s="34">
        <f>F35/6*G35</f>
        <v>762.75093125000001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f>F35/6*G35</f>
        <v>762.75093125000001</v>
      </c>
      <c r="T35" s="34">
        <f>F35/6*G35</f>
        <v>762.75093125000001</v>
      </c>
      <c r="U35" s="34">
        <f t="shared" si="7"/>
        <v>4576.5055874999998</v>
      </c>
    </row>
    <row r="36" spans="1:21">
      <c r="A36" s="131" t="s">
        <v>113</v>
      </c>
      <c r="B36" s="10" t="s">
        <v>94</v>
      </c>
      <c r="C36" s="24" t="s">
        <v>59</v>
      </c>
      <c r="D36" s="10" t="s">
        <v>35</v>
      </c>
      <c r="E36" s="31"/>
      <c r="F36" s="51">
        <v>64</v>
      </c>
      <c r="G36" s="32">
        <v>226.84</v>
      </c>
      <c r="H36" s="33">
        <f>G36*F36/1000</f>
        <v>14.517760000000001</v>
      </c>
      <c r="I36" s="34">
        <v>0</v>
      </c>
      <c r="J36" s="34">
        <v>0</v>
      </c>
      <c r="K36" s="34">
        <f>G36*45.5</f>
        <v>10321.219999999999</v>
      </c>
      <c r="L36" s="34">
        <f>G36*13</f>
        <v>2948.92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f t="shared" si="7"/>
        <v>13270.14</v>
      </c>
    </row>
    <row r="37" spans="1:21" ht="51" customHeight="1">
      <c r="A37" s="131" t="s">
        <v>145</v>
      </c>
      <c r="B37" s="10" t="s">
        <v>125</v>
      </c>
      <c r="C37" s="24" t="s">
        <v>42</v>
      </c>
      <c r="D37" s="10" t="s">
        <v>173</v>
      </c>
      <c r="E37" s="32">
        <v>67.650000000000006</v>
      </c>
      <c r="F37" s="51">
        <f>SUM(E37*35/1000)</f>
        <v>2.36775</v>
      </c>
      <c r="G37" s="32">
        <v>7221.21</v>
      </c>
      <c r="H37" s="33">
        <f t="shared" si="6"/>
        <v>17.098019977500002</v>
      </c>
      <c r="I37" s="34">
        <f>F37/6*G37</f>
        <v>2849.6699962500002</v>
      </c>
      <c r="J37" s="34">
        <f>F37/6*G37</f>
        <v>2849.6699962500002</v>
      </c>
      <c r="K37" s="34">
        <f>F37/6*G37</f>
        <v>2849.6699962500002</v>
      </c>
      <c r="L37" s="34">
        <f>F37/6*G37</f>
        <v>2849.6699962500002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f>F37/6*G37</f>
        <v>2849.6699962500002</v>
      </c>
      <c r="T37" s="34">
        <f>F37/6*G37</f>
        <v>2849.6699962500002</v>
      </c>
      <c r="U37" s="34">
        <f t="shared" si="7"/>
        <v>17098.0199775</v>
      </c>
    </row>
    <row r="38" spans="1:21" ht="12.75" customHeight="1">
      <c r="A38" s="131" t="s">
        <v>146</v>
      </c>
      <c r="B38" s="10" t="s">
        <v>126</v>
      </c>
      <c r="C38" s="24" t="s">
        <v>26</v>
      </c>
      <c r="D38" s="10" t="s">
        <v>174</v>
      </c>
      <c r="E38" s="32">
        <v>67.650000000000006</v>
      </c>
      <c r="F38" s="51">
        <f>SUM(E38*20/1000)</f>
        <v>1.353</v>
      </c>
      <c r="G38" s="32">
        <v>533.45000000000005</v>
      </c>
      <c r="H38" s="33">
        <f t="shared" si="6"/>
        <v>0.72175785000000003</v>
      </c>
      <c r="I38" s="34">
        <v>0</v>
      </c>
      <c r="J38" s="34">
        <v>0</v>
      </c>
      <c r="K38" s="34">
        <f>F38/2*G38</f>
        <v>360.87892500000004</v>
      </c>
      <c r="L38" s="34">
        <f>F38/2*G38</f>
        <v>360.87892500000004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f t="shared" si="7"/>
        <v>721.75785000000008</v>
      </c>
    </row>
    <row r="39" spans="1:21" s="1" customFormat="1">
      <c r="A39" s="133"/>
      <c r="B39" s="12" t="s">
        <v>127</v>
      </c>
      <c r="C39" s="52" t="s">
        <v>33</v>
      </c>
      <c r="D39" s="12"/>
      <c r="E39" s="48"/>
      <c r="F39" s="51">
        <v>0.8</v>
      </c>
      <c r="G39" s="51">
        <v>992.97</v>
      </c>
      <c r="H39" s="33">
        <f t="shared" si="6"/>
        <v>0.79437600000000008</v>
      </c>
      <c r="I39" s="53">
        <f>F39/6*G39</f>
        <v>132.39600000000002</v>
      </c>
      <c r="J39" s="53">
        <f>F39/6*G39</f>
        <v>132.39600000000002</v>
      </c>
      <c r="K39" s="53">
        <f>F39/6*G39</f>
        <v>132.39600000000002</v>
      </c>
      <c r="L39" s="53">
        <f>F39/6*G39</f>
        <v>132.39600000000002</v>
      </c>
      <c r="M39" s="53">
        <v>0</v>
      </c>
      <c r="N39" s="53">
        <v>0</v>
      </c>
      <c r="O39" s="53">
        <v>0</v>
      </c>
      <c r="P39" s="53">
        <v>0</v>
      </c>
      <c r="Q39" s="53">
        <v>0</v>
      </c>
      <c r="R39" s="53">
        <v>0</v>
      </c>
      <c r="S39" s="53">
        <f>F39/6*G39</f>
        <v>132.39600000000002</v>
      </c>
      <c r="T39" s="53">
        <f>F39/6*G39</f>
        <v>132.39600000000002</v>
      </c>
      <c r="U39" s="34">
        <f t="shared" si="7"/>
        <v>794.37599999999998</v>
      </c>
    </row>
    <row r="40" spans="1:21" s="18" customFormat="1">
      <c r="A40" s="132"/>
      <c r="B40" s="19" t="s">
        <v>24</v>
      </c>
      <c r="C40" s="41"/>
      <c r="D40" s="19"/>
      <c r="E40" s="42"/>
      <c r="F40" s="43" t="s">
        <v>39</v>
      </c>
      <c r="G40" s="43"/>
      <c r="H40" s="50">
        <f>SUM(H33:H39)</f>
        <v>48.719695870000002</v>
      </c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>
        <f>SUM(U33:U39)</f>
        <v>47472.075870000001</v>
      </c>
    </row>
    <row r="41" spans="1:21">
      <c r="A41" s="131"/>
      <c r="B41" s="13" t="s">
        <v>44</v>
      </c>
      <c r="C41" s="24"/>
      <c r="D41" s="10"/>
      <c r="E41" s="31"/>
      <c r="F41" s="32"/>
      <c r="G41" s="32"/>
      <c r="H41" s="33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</row>
    <row r="42" spans="1:21">
      <c r="A42" s="131" t="s">
        <v>147</v>
      </c>
      <c r="B42" s="10" t="s">
        <v>100</v>
      </c>
      <c r="C42" s="24" t="s">
        <v>26</v>
      </c>
      <c r="D42" s="10" t="s">
        <v>45</v>
      </c>
      <c r="E42" s="31">
        <v>1114.75</v>
      </c>
      <c r="F42" s="32">
        <f>SUM(E42*2/1000)</f>
        <v>2.2294999999999998</v>
      </c>
      <c r="G42" s="54">
        <v>1283.46</v>
      </c>
      <c r="H42" s="33">
        <f t="shared" ref="H42:H50" si="8">SUM(F42*G42/1000)</f>
        <v>2.8614740699999999</v>
      </c>
      <c r="I42" s="34">
        <v>0</v>
      </c>
      <c r="J42" s="34">
        <v>0</v>
      </c>
      <c r="K42" s="34">
        <v>0</v>
      </c>
      <c r="L42" s="34">
        <v>0</v>
      </c>
      <c r="M42" s="34">
        <f>F42/2*G42</f>
        <v>1430.7370349999999</v>
      </c>
      <c r="N42" s="34">
        <v>0</v>
      </c>
      <c r="O42" s="34">
        <v>0</v>
      </c>
      <c r="P42" s="34">
        <v>0</v>
      </c>
      <c r="Q42" s="34">
        <f>F42/2*G42</f>
        <v>1430.7370349999999</v>
      </c>
      <c r="R42" s="34">
        <v>0</v>
      </c>
      <c r="S42" s="34">
        <v>0</v>
      </c>
      <c r="T42" s="34">
        <v>0</v>
      </c>
      <c r="U42" s="34">
        <f t="shared" ref="U42:U50" si="9">SUM(I42:T42)</f>
        <v>2861.4740699999998</v>
      </c>
    </row>
    <row r="43" spans="1:21" ht="12.75" customHeight="1">
      <c r="A43" s="131" t="s">
        <v>148</v>
      </c>
      <c r="B43" s="10" t="s">
        <v>46</v>
      </c>
      <c r="C43" s="24" t="s">
        <v>26</v>
      </c>
      <c r="D43" s="10" t="s">
        <v>45</v>
      </c>
      <c r="E43" s="31">
        <v>1563.3</v>
      </c>
      <c r="F43" s="32">
        <f>SUM(E43*2/1000)</f>
        <v>3.1265999999999998</v>
      </c>
      <c r="G43" s="54">
        <v>1711.28</v>
      </c>
      <c r="H43" s="33">
        <f t="shared" si="8"/>
        <v>5.350488047999999</v>
      </c>
      <c r="I43" s="34">
        <v>0</v>
      </c>
      <c r="J43" s="34">
        <v>0</v>
      </c>
      <c r="K43" s="34">
        <v>0</v>
      </c>
      <c r="L43" s="34">
        <v>0</v>
      </c>
      <c r="M43" s="34">
        <f t="shared" ref="M43:M45" si="10">F43/2*G43</f>
        <v>2675.2440239999996</v>
      </c>
      <c r="N43" s="34">
        <v>0</v>
      </c>
      <c r="O43" s="34">
        <v>0</v>
      </c>
      <c r="P43" s="34">
        <v>0</v>
      </c>
      <c r="Q43" s="34">
        <f>F43/2*G43</f>
        <v>2675.2440239999996</v>
      </c>
      <c r="R43" s="34">
        <v>0</v>
      </c>
      <c r="S43" s="34">
        <v>0</v>
      </c>
      <c r="T43" s="34">
        <v>0</v>
      </c>
      <c r="U43" s="34">
        <f t="shared" si="9"/>
        <v>5350.4880479999993</v>
      </c>
    </row>
    <row r="44" spans="1:21">
      <c r="A44" s="131" t="s">
        <v>149</v>
      </c>
      <c r="B44" s="10" t="s">
        <v>47</v>
      </c>
      <c r="C44" s="24" t="s">
        <v>26</v>
      </c>
      <c r="D44" s="10" t="s">
        <v>45</v>
      </c>
      <c r="E44" s="31">
        <v>1619.6</v>
      </c>
      <c r="F44" s="32">
        <f>SUM(E44*2/1000)</f>
        <v>3.2391999999999999</v>
      </c>
      <c r="G44" s="54">
        <v>1179.73</v>
      </c>
      <c r="H44" s="33">
        <f t="shared" si="8"/>
        <v>3.8213814159999999</v>
      </c>
      <c r="I44" s="34">
        <v>0</v>
      </c>
      <c r="J44" s="34">
        <v>0</v>
      </c>
      <c r="K44" s="34">
        <v>0</v>
      </c>
      <c r="L44" s="34">
        <v>0</v>
      </c>
      <c r="M44" s="34">
        <f t="shared" si="10"/>
        <v>1910.6907079999999</v>
      </c>
      <c r="N44" s="34">
        <v>0</v>
      </c>
      <c r="O44" s="34">
        <v>0</v>
      </c>
      <c r="P44" s="34">
        <v>0</v>
      </c>
      <c r="Q44" s="34">
        <f>F44/2*G44</f>
        <v>1910.6907079999999</v>
      </c>
      <c r="R44" s="34">
        <v>0</v>
      </c>
      <c r="S44" s="34">
        <v>0</v>
      </c>
      <c r="T44" s="34">
        <v>0</v>
      </c>
      <c r="U44" s="34">
        <f t="shared" si="9"/>
        <v>3821.3814159999997</v>
      </c>
    </row>
    <row r="45" spans="1:21">
      <c r="A45" s="131" t="s">
        <v>150</v>
      </c>
      <c r="B45" s="10" t="s">
        <v>99</v>
      </c>
      <c r="C45" s="24" t="s">
        <v>128</v>
      </c>
      <c r="D45" s="10" t="s">
        <v>45</v>
      </c>
      <c r="E45" s="31">
        <v>85.84</v>
      </c>
      <c r="F45" s="32">
        <f>SUM(E45*2/100)</f>
        <v>1.7168000000000001</v>
      </c>
      <c r="G45" s="54">
        <v>90.61</v>
      </c>
      <c r="H45" s="33">
        <f t="shared" ref="H45" si="11">SUM(F45*G45/1000)</f>
        <v>0.15555924799999998</v>
      </c>
      <c r="I45" s="34">
        <v>0</v>
      </c>
      <c r="J45" s="34">
        <v>0</v>
      </c>
      <c r="K45" s="34">
        <v>0</v>
      </c>
      <c r="L45" s="34">
        <v>0</v>
      </c>
      <c r="M45" s="34">
        <f t="shared" si="10"/>
        <v>77.779623999999998</v>
      </c>
      <c r="N45" s="34">
        <v>0</v>
      </c>
      <c r="O45" s="34">
        <v>0</v>
      </c>
      <c r="P45" s="34">
        <v>0</v>
      </c>
      <c r="Q45" s="34">
        <f>F45/2*G45</f>
        <v>77.779623999999998</v>
      </c>
      <c r="R45" s="34">
        <v>0</v>
      </c>
      <c r="S45" s="34">
        <v>0</v>
      </c>
      <c r="T45" s="34">
        <v>0</v>
      </c>
      <c r="U45" s="34">
        <f t="shared" si="9"/>
        <v>155.559248</v>
      </c>
    </row>
    <row r="46" spans="1:21" ht="25.5">
      <c r="A46" s="131" t="s">
        <v>151</v>
      </c>
      <c r="B46" s="10" t="s">
        <v>48</v>
      </c>
      <c r="C46" s="24" t="s">
        <v>26</v>
      </c>
      <c r="D46" s="10" t="s">
        <v>175</v>
      </c>
      <c r="E46" s="31">
        <v>3216.2</v>
      </c>
      <c r="F46" s="32">
        <f>SUM(E46*5/1000)</f>
        <v>16.081</v>
      </c>
      <c r="G46" s="54">
        <v>1711.28</v>
      </c>
      <c r="H46" s="33">
        <f t="shared" si="8"/>
        <v>27.519093679999997</v>
      </c>
      <c r="I46" s="34">
        <f>F46/5*G46</f>
        <v>5503.8187359999993</v>
      </c>
      <c r="J46" s="34">
        <f>F46/5*G46</f>
        <v>5503.8187359999993</v>
      </c>
      <c r="K46" s="34">
        <v>0</v>
      </c>
      <c r="L46" s="34">
        <v>0</v>
      </c>
      <c r="M46" s="34">
        <f>F46/5*G46</f>
        <v>5503.8187359999993</v>
      </c>
      <c r="N46" s="34">
        <v>0</v>
      </c>
      <c r="O46" s="34">
        <v>0</v>
      </c>
      <c r="P46" s="34">
        <v>0</v>
      </c>
      <c r="Q46" s="34">
        <f>F46/5*G46</f>
        <v>5503.8187359999993</v>
      </c>
      <c r="R46" s="34">
        <v>0</v>
      </c>
      <c r="S46" s="34">
        <v>0</v>
      </c>
      <c r="T46" s="34">
        <f>F46/5*G46</f>
        <v>5503.8187359999993</v>
      </c>
      <c r="U46" s="34">
        <f t="shared" si="9"/>
        <v>27519.093679999998</v>
      </c>
    </row>
    <row r="47" spans="1:21" ht="38.25" customHeight="1">
      <c r="A47" s="131" t="s">
        <v>152</v>
      </c>
      <c r="B47" s="10" t="s">
        <v>49</v>
      </c>
      <c r="C47" s="24" t="s">
        <v>26</v>
      </c>
      <c r="D47" s="10" t="s">
        <v>45</v>
      </c>
      <c r="E47" s="31">
        <v>3216.2</v>
      </c>
      <c r="F47" s="32">
        <f>SUM(E47*2/1000)</f>
        <v>6.4323999999999995</v>
      </c>
      <c r="G47" s="54">
        <v>1510.06</v>
      </c>
      <c r="H47" s="33">
        <f t="shared" si="8"/>
        <v>9.7133099439999988</v>
      </c>
      <c r="I47" s="34">
        <v>0</v>
      </c>
      <c r="J47" s="34">
        <v>0</v>
      </c>
      <c r="K47" s="34">
        <f>F47/2*G47</f>
        <v>4856.6549719999994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f>F47/2*G47</f>
        <v>4856.6549719999994</v>
      </c>
      <c r="R47" s="34">
        <v>0</v>
      </c>
      <c r="S47" s="34">
        <v>0</v>
      </c>
      <c r="T47" s="34">
        <v>0</v>
      </c>
      <c r="U47" s="34">
        <f t="shared" si="9"/>
        <v>9713.3099439999987</v>
      </c>
    </row>
    <row r="48" spans="1:21" ht="25.5" customHeight="1">
      <c r="A48" s="131" t="s">
        <v>153</v>
      </c>
      <c r="B48" s="10" t="s">
        <v>50</v>
      </c>
      <c r="C48" s="24" t="s">
        <v>51</v>
      </c>
      <c r="D48" s="10" t="s">
        <v>45</v>
      </c>
      <c r="E48" s="31">
        <v>16</v>
      </c>
      <c r="F48" s="32">
        <f>SUM(E48*2/100)</f>
        <v>0.32</v>
      </c>
      <c r="G48" s="54">
        <v>3850.4</v>
      </c>
      <c r="H48" s="33">
        <f t="shared" si="8"/>
        <v>1.2321280000000001</v>
      </c>
      <c r="I48" s="34">
        <v>0</v>
      </c>
      <c r="J48" s="34">
        <v>0</v>
      </c>
      <c r="K48" s="34">
        <f>F48/2*G48</f>
        <v>616.06400000000008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f>F48/2*G48</f>
        <v>616.06400000000008</v>
      </c>
      <c r="R48" s="34">
        <v>0</v>
      </c>
      <c r="S48" s="34">
        <v>0</v>
      </c>
      <c r="T48" s="34">
        <v>0</v>
      </c>
      <c r="U48" s="34">
        <f t="shared" si="9"/>
        <v>1232.1280000000002</v>
      </c>
    </row>
    <row r="49" spans="1:21">
      <c r="A49" s="131" t="s">
        <v>154</v>
      </c>
      <c r="B49" s="10" t="s">
        <v>52</v>
      </c>
      <c r="C49" s="24" t="s">
        <v>53</v>
      </c>
      <c r="D49" s="10" t="s">
        <v>45</v>
      </c>
      <c r="E49" s="31">
        <v>1</v>
      </c>
      <c r="F49" s="32">
        <v>0.02</v>
      </c>
      <c r="G49" s="54">
        <v>7033.13</v>
      </c>
      <c r="H49" s="33">
        <f t="shared" si="8"/>
        <v>0.1406626</v>
      </c>
      <c r="I49" s="34">
        <v>0</v>
      </c>
      <c r="J49" s="34">
        <v>0</v>
      </c>
      <c r="K49" s="34">
        <f>F49/2*G49</f>
        <v>70.331299999999999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f>F49/2*G49</f>
        <v>70.331299999999999</v>
      </c>
      <c r="R49" s="34">
        <v>0</v>
      </c>
      <c r="S49" s="34">
        <v>0</v>
      </c>
      <c r="T49" s="34">
        <v>0</v>
      </c>
      <c r="U49" s="34">
        <f t="shared" si="9"/>
        <v>140.6626</v>
      </c>
    </row>
    <row r="50" spans="1:21" ht="13.5" customHeight="1">
      <c r="A50" s="131" t="s">
        <v>55</v>
      </c>
      <c r="B50" s="10" t="s">
        <v>56</v>
      </c>
      <c r="C50" s="24" t="s">
        <v>54</v>
      </c>
      <c r="D50" s="10" t="s">
        <v>112</v>
      </c>
      <c r="E50" s="31">
        <v>128</v>
      </c>
      <c r="F50" s="32">
        <f>SUM(E50)*3</f>
        <v>384</v>
      </c>
      <c r="G50" s="55">
        <v>81.73</v>
      </c>
      <c r="H50" s="33">
        <f t="shared" si="8"/>
        <v>31.384319999999999</v>
      </c>
      <c r="I50" s="34">
        <f>E50*G50</f>
        <v>10461.44</v>
      </c>
      <c r="J50" s="34">
        <v>0</v>
      </c>
      <c r="K50" s="34">
        <v>0</v>
      </c>
      <c r="L50" s="34">
        <v>0</v>
      </c>
      <c r="M50" s="34">
        <f>G50*E50</f>
        <v>10461.44</v>
      </c>
      <c r="N50" s="34">
        <v>0</v>
      </c>
      <c r="O50" s="34">
        <v>0</v>
      </c>
      <c r="P50" s="34">
        <v>0</v>
      </c>
      <c r="Q50" s="34">
        <f>E50*G50</f>
        <v>10461.44</v>
      </c>
      <c r="R50" s="34">
        <v>0</v>
      </c>
      <c r="S50" s="34">
        <v>0</v>
      </c>
      <c r="T50" s="34">
        <v>0</v>
      </c>
      <c r="U50" s="34">
        <f t="shared" si="9"/>
        <v>31384.32</v>
      </c>
    </row>
    <row r="51" spans="1:21" s="20" customFormat="1">
      <c r="A51" s="132"/>
      <c r="B51" s="19" t="s">
        <v>24</v>
      </c>
      <c r="C51" s="56"/>
      <c r="D51" s="19"/>
      <c r="E51" s="57"/>
      <c r="F51" s="58"/>
      <c r="G51" s="58"/>
      <c r="H51" s="50">
        <f>SUM(H42:H50)</f>
        <v>82.178417006000004</v>
      </c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>
        <f>SUM(U42:U50)</f>
        <v>82178.417006000003</v>
      </c>
    </row>
    <row r="52" spans="1:21">
      <c r="A52" s="131"/>
      <c r="B52" s="11" t="s">
        <v>57</v>
      </c>
      <c r="C52" s="24"/>
      <c r="D52" s="10"/>
      <c r="E52" s="31"/>
      <c r="F52" s="32"/>
      <c r="G52" s="32"/>
      <c r="H52" s="33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</row>
    <row r="53" spans="1:21" ht="38.25" customHeight="1">
      <c r="A53" s="131" t="s">
        <v>155</v>
      </c>
      <c r="B53" s="10" t="s">
        <v>122</v>
      </c>
      <c r="C53" s="24" t="s">
        <v>13</v>
      </c>
      <c r="D53" s="10" t="s">
        <v>58</v>
      </c>
      <c r="E53" s="31">
        <v>123.31</v>
      </c>
      <c r="F53" s="32">
        <f>SUM(E53*6/100)</f>
        <v>7.3986000000000001</v>
      </c>
      <c r="G53" s="54">
        <v>2306.62</v>
      </c>
      <c r="H53" s="33">
        <f>SUM(F53*G53/1000)</f>
        <v>17.065758731999999</v>
      </c>
      <c r="I53" s="34">
        <f>F53/6*G53</f>
        <v>2844.293122</v>
      </c>
      <c r="J53" s="34">
        <f>F53/6*G53</f>
        <v>2844.293122</v>
      </c>
      <c r="K53" s="34">
        <f>F53/6*G53</f>
        <v>2844.293122</v>
      </c>
      <c r="L53" s="34">
        <f>F53/6*G53</f>
        <v>2844.293122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34">
        <f>F53/6*G53</f>
        <v>2844.293122</v>
      </c>
      <c r="T53" s="34">
        <f>F53/6*G53</f>
        <v>2844.293122</v>
      </c>
      <c r="U53" s="34">
        <f t="shared" ref="U53:U79" si="12">SUM(I53:T53)</f>
        <v>17065.758731999998</v>
      </c>
    </row>
    <row r="54" spans="1:21" ht="12.75" customHeight="1">
      <c r="A54" s="134" t="s">
        <v>113</v>
      </c>
      <c r="B54" s="21" t="s">
        <v>176</v>
      </c>
      <c r="C54" s="60" t="s">
        <v>177</v>
      </c>
      <c r="D54" s="21" t="s">
        <v>35</v>
      </c>
      <c r="E54" s="61"/>
      <c r="F54" s="62">
        <v>3</v>
      </c>
      <c r="G54" s="54">
        <v>1501</v>
      </c>
      <c r="H54" s="33">
        <f>SUM(F54*G54/1000)</f>
        <v>4.5030000000000001</v>
      </c>
      <c r="I54" s="34">
        <v>0</v>
      </c>
      <c r="J54" s="34">
        <v>0</v>
      </c>
      <c r="K54" s="34">
        <f>G54</f>
        <v>1501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4">
        <f t="shared" si="12"/>
        <v>1501</v>
      </c>
    </row>
    <row r="55" spans="1:21" ht="12.75" customHeight="1">
      <c r="A55" s="134"/>
      <c r="B55" s="22" t="s">
        <v>178</v>
      </c>
      <c r="C55" s="60"/>
      <c r="D55" s="21"/>
      <c r="E55" s="61"/>
      <c r="F55" s="62"/>
      <c r="G55" s="54"/>
      <c r="H55" s="63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</row>
    <row r="56" spans="1:21" ht="12.75" customHeight="1">
      <c r="A56" s="134" t="s">
        <v>156</v>
      </c>
      <c r="B56" s="21" t="s">
        <v>97</v>
      </c>
      <c r="C56" s="60" t="s">
        <v>21</v>
      </c>
      <c r="D56" s="21" t="s">
        <v>28</v>
      </c>
      <c r="E56" s="61">
        <v>451</v>
      </c>
      <c r="F56" s="62">
        <v>8.9</v>
      </c>
      <c r="G56" s="54">
        <v>987.51</v>
      </c>
      <c r="H56" s="63">
        <f>F56*G56/1000</f>
        <v>8.7888389999999994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v>0</v>
      </c>
      <c r="S56" s="34">
        <v>0</v>
      </c>
      <c r="T56" s="34">
        <v>0</v>
      </c>
      <c r="U56" s="34">
        <f t="shared" si="12"/>
        <v>0</v>
      </c>
    </row>
    <row r="57" spans="1:21">
      <c r="A57" s="134"/>
      <c r="B57" s="14" t="s">
        <v>60</v>
      </c>
      <c r="C57" s="60"/>
      <c r="D57" s="21"/>
      <c r="E57" s="61"/>
      <c r="F57" s="64"/>
      <c r="G57" s="64"/>
      <c r="H57" s="62" t="s">
        <v>39</v>
      </c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</row>
    <row r="58" spans="1:21" ht="12.75" customHeight="1">
      <c r="A58" s="65" t="s">
        <v>157</v>
      </c>
      <c r="B58" s="15" t="s">
        <v>61</v>
      </c>
      <c r="C58" s="65" t="s">
        <v>54</v>
      </c>
      <c r="D58" s="8" t="s">
        <v>35</v>
      </c>
      <c r="E58" s="38">
        <v>10</v>
      </c>
      <c r="F58" s="32">
        <f>E58</f>
        <v>10</v>
      </c>
      <c r="G58" s="54">
        <v>276.74</v>
      </c>
      <c r="H58" s="124">
        <f t="shared" ref="H58:H74" si="13">SUM(F58*G58/1000)</f>
        <v>2.7674000000000003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f>G58*3</f>
        <v>830.22</v>
      </c>
      <c r="R58" s="34">
        <f>G58*11</f>
        <v>3044.1400000000003</v>
      </c>
      <c r="S58" s="34">
        <v>0</v>
      </c>
      <c r="T58" s="34">
        <v>0</v>
      </c>
      <c r="U58" s="34">
        <f t="shared" si="12"/>
        <v>3874.3600000000006</v>
      </c>
    </row>
    <row r="59" spans="1:21" ht="12.75" customHeight="1">
      <c r="A59" s="65" t="s">
        <v>158</v>
      </c>
      <c r="B59" s="15" t="s">
        <v>62</v>
      </c>
      <c r="C59" s="65" t="s">
        <v>54</v>
      </c>
      <c r="D59" s="8" t="s">
        <v>35</v>
      </c>
      <c r="E59" s="38">
        <v>10</v>
      </c>
      <c r="F59" s="32">
        <f>E59</f>
        <v>10</v>
      </c>
      <c r="G59" s="54">
        <v>94.89</v>
      </c>
      <c r="H59" s="124">
        <f t="shared" si="13"/>
        <v>0.94889999999999997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4">
        <f t="shared" si="12"/>
        <v>0</v>
      </c>
    </row>
    <row r="60" spans="1:21" s="1" customFormat="1">
      <c r="A60" s="66" t="s">
        <v>159</v>
      </c>
      <c r="B60" s="15" t="s">
        <v>63</v>
      </c>
      <c r="C60" s="66" t="s">
        <v>64</v>
      </c>
      <c r="D60" s="8" t="s">
        <v>28</v>
      </c>
      <c r="E60" s="31">
        <v>13447</v>
      </c>
      <c r="F60" s="55">
        <f>SUM(E60/100)</f>
        <v>134.47</v>
      </c>
      <c r="G60" s="54">
        <v>263.99</v>
      </c>
      <c r="H60" s="124">
        <f t="shared" si="13"/>
        <v>35.4987353</v>
      </c>
      <c r="I60" s="53">
        <v>0</v>
      </c>
      <c r="J60" s="53">
        <v>0</v>
      </c>
      <c r="K60" s="53">
        <v>0</v>
      </c>
      <c r="L60" s="53">
        <v>0</v>
      </c>
      <c r="M60" s="53">
        <f>F60*G60</f>
        <v>35498.7353</v>
      </c>
      <c r="N60" s="53">
        <v>0</v>
      </c>
      <c r="O60" s="53">
        <v>0</v>
      </c>
      <c r="P60" s="53">
        <v>0</v>
      </c>
      <c r="Q60" s="53">
        <v>0</v>
      </c>
      <c r="R60" s="53">
        <v>0</v>
      </c>
      <c r="S60" s="53">
        <v>0</v>
      </c>
      <c r="T60" s="53">
        <v>0</v>
      </c>
      <c r="U60" s="34">
        <f t="shared" si="12"/>
        <v>35498.7353</v>
      </c>
    </row>
    <row r="61" spans="1:21" ht="12.75" customHeight="1">
      <c r="A61" s="65" t="s">
        <v>160</v>
      </c>
      <c r="B61" s="15" t="s">
        <v>65</v>
      </c>
      <c r="C61" s="65" t="s">
        <v>66</v>
      </c>
      <c r="D61" s="8"/>
      <c r="E61" s="31">
        <v>13447</v>
      </c>
      <c r="F61" s="54">
        <f>SUM(E61/1000)</f>
        <v>13.446999999999999</v>
      </c>
      <c r="G61" s="54">
        <v>205.57</v>
      </c>
      <c r="H61" s="124">
        <f t="shared" si="13"/>
        <v>2.7642997899999995</v>
      </c>
      <c r="I61" s="34">
        <v>0</v>
      </c>
      <c r="J61" s="34">
        <v>0</v>
      </c>
      <c r="K61" s="34">
        <v>0</v>
      </c>
      <c r="L61" s="34">
        <v>0</v>
      </c>
      <c r="M61" s="34">
        <f>F61*G61</f>
        <v>2764.2997899999996</v>
      </c>
      <c r="N61" s="34">
        <v>0</v>
      </c>
      <c r="O61" s="34">
        <v>0</v>
      </c>
      <c r="P61" s="34">
        <v>0</v>
      </c>
      <c r="Q61" s="34">
        <v>0</v>
      </c>
      <c r="R61" s="34">
        <v>0</v>
      </c>
      <c r="S61" s="34">
        <v>0</v>
      </c>
      <c r="T61" s="34">
        <v>0</v>
      </c>
      <c r="U61" s="34">
        <f t="shared" si="12"/>
        <v>2764.2997899999996</v>
      </c>
    </row>
    <row r="62" spans="1:21">
      <c r="A62" s="65" t="s">
        <v>161</v>
      </c>
      <c r="B62" s="15" t="s">
        <v>67</v>
      </c>
      <c r="C62" s="65" t="s">
        <v>68</v>
      </c>
      <c r="D62" s="8" t="s">
        <v>28</v>
      </c>
      <c r="E62" s="31">
        <v>2200</v>
      </c>
      <c r="F62" s="54">
        <f>SUM(E62/100)</f>
        <v>22</v>
      </c>
      <c r="G62" s="54">
        <v>2581.5300000000002</v>
      </c>
      <c r="H62" s="124">
        <f t="shared" si="13"/>
        <v>56.793660000000003</v>
      </c>
      <c r="I62" s="34">
        <v>0</v>
      </c>
      <c r="J62" s="34">
        <v>0</v>
      </c>
      <c r="K62" s="34">
        <v>0</v>
      </c>
      <c r="L62" s="34">
        <v>0</v>
      </c>
      <c r="M62" s="34">
        <f>F62*G62</f>
        <v>56793.66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f t="shared" si="12"/>
        <v>56793.66</v>
      </c>
    </row>
    <row r="63" spans="1:21">
      <c r="A63" s="65"/>
      <c r="B63" s="16" t="s">
        <v>90</v>
      </c>
      <c r="C63" s="65" t="s">
        <v>33</v>
      </c>
      <c r="D63" s="8"/>
      <c r="E63" s="31">
        <v>12.1</v>
      </c>
      <c r="F63" s="54">
        <f>SUM(E63)</f>
        <v>12.1</v>
      </c>
      <c r="G63" s="54">
        <v>47.45</v>
      </c>
      <c r="H63" s="124">
        <f t="shared" si="13"/>
        <v>0.57414500000000002</v>
      </c>
      <c r="I63" s="34">
        <v>0</v>
      </c>
      <c r="J63" s="34">
        <v>0</v>
      </c>
      <c r="K63" s="34">
        <v>0</v>
      </c>
      <c r="L63" s="34">
        <v>0</v>
      </c>
      <c r="M63" s="34">
        <f>F63*G63</f>
        <v>574.14499999999998</v>
      </c>
      <c r="N63" s="34">
        <v>0</v>
      </c>
      <c r="O63" s="34">
        <v>0</v>
      </c>
      <c r="P63" s="34">
        <v>0</v>
      </c>
      <c r="Q63" s="34">
        <v>0</v>
      </c>
      <c r="R63" s="34">
        <v>0</v>
      </c>
      <c r="S63" s="34">
        <v>0</v>
      </c>
      <c r="T63" s="34">
        <v>0</v>
      </c>
      <c r="U63" s="34">
        <f t="shared" si="12"/>
        <v>574.14499999999998</v>
      </c>
    </row>
    <row r="64" spans="1:21" ht="12.75" customHeight="1">
      <c r="A64" s="135"/>
      <c r="B64" s="16" t="s">
        <v>91</v>
      </c>
      <c r="C64" s="65" t="s">
        <v>33</v>
      </c>
      <c r="D64" s="8"/>
      <c r="E64" s="31">
        <v>12.1</v>
      </c>
      <c r="F64" s="54">
        <f>SUM(E64)</f>
        <v>12.1</v>
      </c>
      <c r="G64" s="54">
        <v>44.27</v>
      </c>
      <c r="H64" s="124">
        <f t="shared" si="13"/>
        <v>0.535667</v>
      </c>
      <c r="I64" s="34">
        <v>0</v>
      </c>
      <c r="J64" s="34">
        <v>0</v>
      </c>
      <c r="K64" s="34">
        <v>0</v>
      </c>
      <c r="L64" s="34">
        <v>0</v>
      </c>
      <c r="M64" s="34">
        <f>F64*G64</f>
        <v>535.66700000000003</v>
      </c>
      <c r="N64" s="34">
        <v>0</v>
      </c>
      <c r="O64" s="34">
        <v>0</v>
      </c>
      <c r="P64" s="34">
        <v>0</v>
      </c>
      <c r="Q64" s="34">
        <v>0</v>
      </c>
      <c r="R64" s="34">
        <v>0</v>
      </c>
      <c r="S64" s="34">
        <v>0</v>
      </c>
      <c r="T64" s="34">
        <v>0</v>
      </c>
      <c r="U64" s="34">
        <f t="shared" si="12"/>
        <v>535.66700000000003</v>
      </c>
    </row>
    <row r="65" spans="1:27">
      <c r="A65" s="65" t="s">
        <v>162</v>
      </c>
      <c r="B65" s="8" t="s">
        <v>69</v>
      </c>
      <c r="C65" s="65" t="s">
        <v>70</v>
      </c>
      <c r="D65" s="8" t="s">
        <v>28</v>
      </c>
      <c r="E65" s="38">
        <v>4</v>
      </c>
      <c r="F65" s="32">
        <v>4</v>
      </c>
      <c r="G65" s="54">
        <v>62.07</v>
      </c>
      <c r="H65" s="124">
        <f t="shared" si="13"/>
        <v>0.24828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f>F65*G65</f>
        <v>248.28</v>
      </c>
      <c r="R65" s="34">
        <v>0</v>
      </c>
      <c r="S65" s="34">
        <v>0</v>
      </c>
      <c r="T65" s="34">
        <v>0</v>
      </c>
      <c r="U65" s="34">
        <f t="shared" si="12"/>
        <v>248.28</v>
      </c>
    </row>
    <row r="66" spans="1:27" ht="25.5">
      <c r="A66" s="65"/>
      <c r="B66" s="8" t="s">
        <v>179</v>
      </c>
      <c r="C66" s="127" t="s">
        <v>180</v>
      </c>
      <c r="D66" s="8"/>
      <c r="E66" s="38">
        <v>3216.2</v>
      </c>
      <c r="F66" s="68">
        <v>38594.400000000001</v>
      </c>
      <c r="G66" s="54">
        <v>2.16</v>
      </c>
      <c r="H66" s="124">
        <f t="shared" si="13"/>
        <v>83.363904000000005</v>
      </c>
      <c r="I66" s="34">
        <f>F66/12*G66</f>
        <v>6946.9920000000011</v>
      </c>
      <c r="J66" s="34">
        <f>F66/12*G66</f>
        <v>6946.9920000000011</v>
      </c>
      <c r="K66" s="34">
        <f>F66/12*G66</f>
        <v>6946.9920000000011</v>
      </c>
      <c r="L66" s="34">
        <f>F66/12*G66</f>
        <v>6946.9920000000011</v>
      </c>
      <c r="M66" s="34">
        <f>F66/12*G66</f>
        <v>6946.9920000000011</v>
      </c>
      <c r="N66" s="34">
        <f>F66/12*G66</f>
        <v>6946.9920000000011</v>
      </c>
      <c r="O66" s="34">
        <f>F66/12*G66</f>
        <v>6946.9920000000011</v>
      </c>
      <c r="P66" s="34">
        <f>F66/12*G66</f>
        <v>6946.9920000000011</v>
      </c>
      <c r="Q66" s="34">
        <f>F66/12*G66</f>
        <v>6946.9920000000011</v>
      </c>
      <c r="R66" s="34">
        <f>F66/12*G66</f>
        <v>6946.9920000000011</v>
      </c>
      <c r="S66" s="34">
        <f>F66/12*G66</f>
        <v>6946.9920000000011</v>
      </c>
      <c r="T66" s="34">
        <f>F66/12*G66</f>
        <v>6946.9920000000011</v>
      </c>
      <c r="U66" s="34">
        <f t="shared" si="12"/>
        <v>83363.903999999995</v>
      </c>
    </row>
    <row r="67" spans="1:27">
      <c r="A67" s="138"/>
      <c r="B67" s="17" t="s">
        <v>71</v>
      </c>
      <c r="C67" s="65"/>
      <c r="D67" s="8"/>
      <c r="E67" s="38"/>
      <c r="F67" s="54"/>
      <c r="G67" s="54"/>
      <c r="H67" s="124" t="s">
        <v>39</v>
      </c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</row>
    <row r="68" spans="1:27">
      <c r="A68" s="65" t="s">
        <v>181</v>
      </c>
      <c r="B68" s="8" t="s">
        <v>182</v>
      </c>
      <c r="C68" s="65" t="s">
        <v>183</v>
      </c>
      <c r="D68" s="8" t="s">
        <v>35</v>
      </c>
      <c r="E68" s="38">
        <v>2</v>
      </c>
      <c r="F68" s="54">
        <f>E68</f>
        <v>2</v>
      </c>
      <c r="G68" s="54">
        <v>976.4</v>
      </c>
      <c r="H68" s="124">
        <f t="shared" ref="H68:H69" si="14">SUM(F68*G68/1000)</f>
        <v>1.9527999999999999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34">
        <v>0</v>
      </c>
      <c r="T68" s="34">
        <v>0</v>
      </c>
      <c r="U68" s="34">
        <f t="shared" si="12"/>
        <v>0</v>
      </c>
    </row>
    <row r="69" spans="1:27">
      <c r="A69" s="65" t="s">
        <v>184</v>
      </c>
      <c r="B69" s="8" t="s">
        <v>185</v>
      </c>
      <c r="C69" s="65" t="s">
        <v>186</v>
      </c>
      <c r="D69" s="8" t="s">
        <v>35</v>
      </c>
      <c r="E69" s="38">
        <v>1</v>
      </c>
      <c r="F69" s="54">
        <v>1</v>
      </c>
      <c r="G69" s="54">
        <v>735</v>
      </c>
      <c r="H69" s="124">
        <f t="shared" si="14"/>
        <v>0.73499999999999999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v>0</v>
      </c>
      <c r="S69" s="34">
        <v>0</v>
      </c>
      <c r="T69" s="34">
        <v>0</v>
      </c>
      <c r="U69" s="34">
        <f t="shared" si="12"/>
        <v>0</v>
      </c>
    </row>
    <row r="70" spans="1:27">
      <c r="A70" s="65" t="s">
        <v>163</v>
      </c>
      <c r="B70" s="8" t="s">
        <v>72</v>
      </c>
      <c r="C70" s="65" t="s">
        <v>73</v>
      </c>
      <c r="D70" s="8" t="s">
        <v>35</v>
      </c>
      <c r="E70" s="38">
        <v>4</v>
      </c>
      <c r="F70" s="54">
        <f>E70/10</f>
        <v>0.4</v>
      </c>
      <c r="G70" s="54">
        <v>624.16999999999996</v>
      </c>
      <c r="H70" s="124">
        <f t="shared" si="13"/>
        <v>0.249668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34">
        <v>0</v>
      </c>
      <c r="T70" s="34">
        <v>0</v>
      </c>
      <c r="U70" s="34">
        <f t="shared" si="12"/>
        <v>0</v>
      </c>
    </row>
    <row r="71" spans="1:27">
      <c r="A71" s="65" t="s">
        <v>164</v>
      </c>
      <c r="B71" s="8" t="s">
        <v>92</v>
      </c>
      <c r="C71" s="65" t="s">
        <v>30</v>
      </c>
      <c r="D71" s="8" t="s">
        <v>35</v>
      </c>
      <c r="E71" s="38">
        <v>1</v>
      </c>
      <c r="F71" s="68">
        <v>1</v>
      </c>
      <c r="G71" s="54">
        <v>1061.4100000000001</v>
      </c>
      <c r="H71" s="124">
        <f t="shared" si="13"/>
        <v>1.0614100000000002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v>0</v>
      </c>
      <c r="S71" s="34">
        <v>0</v>
      </c>
      <c r="T71" s="34">
        <v>0</v>
      </c>
      <c r="U71" s="34">
        <f t="shared" si="12"/>
        <v>0</v>
      </c>
    </row>
    <row r="72" spans="1:27">
      <c r="A72" s="65" t="s">
        <v>181</v>
      </c>
      <c r="B72" s="8" t="s">
        <v>187</v>
      </c>
      <c r="C72" s="65" t="s">
        <v>183</v>
      </c>
      <c r="D72" s="8" t="s">
        <v>35</v>
      </c>
      <c r="E72" s="38">
        <v>1</v>
      </c>
      <c r="F72" s="54">
        <f>E72</f>
        <v>1</v>
      </c>
      <c r="G72" s="54">
        <v>976.1</v>
      </c>
      <c r="H72" s="124">
        <f t="shared" ref="H72" si="15">SUM(F72*G72/1000)</f>
        <v>0.97609999999999997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v>0</v>
      </c>
      <c r="S72" s="34">
        <v>0</v>
      </c>
      <c r="T72" s="34">
        <v>0</v>
      </c>
      <c r="U72" s="34">
        <f t="shared" si="12"/>
        <v>0</v>
      </c>
    </row>
    <row r="73" spans="1:27">
      <c r="A73" s="135"/>
      <c r="B73" s="69" t="s">
        <v>74</v>
      </c>
      <c r="C73" s="65"/>
      <c r="D73" s="8"/>
      <c r="E73" s="38"/>
      <c r="F73" s="54"/>
      <c r="G73" s="54" t="s">
        <v>39</v>
      </c>
      <c r="H73" s="124" t="s">
        <v>39</v>
      </c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</row>
    <row r="74" spans="1:27" s="1" customFormat="1">
      <c r="A74" s="66" t="s">
        <v>75</v>
      </c>
      <c r="B74" s="70" t="s">
        <v>76</v>
      </c>
      <c r="C74" s="66" t="s">
        <v>68</v>
      </c>
      <c r="D74" s="15"/>
      <c r="E74" s="71"/>
      <c r="F74" s="55">
        <v>0.1</v>
      </c>
      <c r="G74" s="55">
        <v>3433.68</v>
      </c>
      <c r="H74" s="124">
        <f t="shared" si="13"/>
        <v>0.34336800000000001</v>
      </c>
      <c r="I74" s="53">
        <v>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53">
        <v>0</v>
      </c>
      <c r="P74" s="53">
        <v>0</v>
      </c>
      <c r="Q74" s="53">
        <v>0</v>
      </c>
      <c r="R74" s="53">
        <v>0</v>
      </c>
      <c r="S74" s="53">
        <v>0</v>
      </c>
      <c r="T74" s="53">
        <v>0</v>
      </c>
      <c r="U74" s="34">
        <f t="shared" si="12"/>
        <v>0</v>
      </c>
    </row>
    <row r="75" spans="1:27" s="20" customFormat="1">
      <c r="A75" s="136"/>
      <c r="B75" s="19" t="s">
        <v>24</v>
      </c>
      <c r="C75" s="72"/>
      <c r="D75" s="73"/>
      <c r="E75" s="74"/>
      <c r="F75" s="59"/>
      <c r="G75" s="59"/>
      <c r="H75" s="75">
        <f>SUM(H53:H74)</f>
        <v>219.17093482199999</v>
      </c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>
        <f>SUM(U53:U74)</f>
        <v>202219.80982199998</v>
      </c>
    </row>
    <row r="76" spans="1:27">
      <c r="A76" s="137" t="s">
        <v>116</v>
      </c>
      <c r="B76" s="10" t="s">
        <v>117</v>
      </c>
      <c r="C76" s="77"/>
      <c r="D76" s="78"/>
      <c r="E76" s="122"/>
      <c r="F76" s="79">
        <v>1</v>
      </c>
      <c r="G76" s="80">
        <v>14133</v>
      </c>
      <c r="H76" s="124">
        <f>G76*F76/1000</f>
        <v>14.132999999999999</v>
      </c>
      <c r="I76" s="34">
        <v>0</v>
      </c>
      <c r="J76" s="34">
        <v>0</v>
      </c>
      <c r="K76" s="34">
        <v>0</v>
      </c>
      <c r="L76" s="34">
        <v>0</v>
      </c>
      <c r="M76" s="35">
        <v>0</v>
      </c>
      <c r="N76" s="35">
        <v>0</v>
      </c>
      <c r="O76" s="34">
        <v>0</v>
      </c>
      <c r="P76" s="34">
        <v>0</v>
      </c>
      <c r="Q76" s="34">
        <v>0</v>
      </c>
      <c r="R76" s="34">
        <v>0</v>
      </c>
      <c r="S76" s="34">
        <f>G76</f>
        <v>14133</v>
      </c>
      <c r="T76" s="34">
        <v>0</v>
      </c>
      <c r="U76" s="34">
        <f t="shared" si="12"/>
        <v>14133</v>
      </c>
    </row>
    <row r="77" spans="1:27" ht="12.75" customHeight="1">
      <c r="A77" s="65"/>
      <c r="B77" s="76" t="s">
        <v>77</v>
      </c>
      <c r="C77" s="65" t="s">
        <v>78</v>
      </c>
      <c r="D77" s="81"/>
      <c r="E77" s="54">
        <v>3216.2</v>
      </c>
      <c r="F77" s="54">
        <f>SUM(E77*12)</f>
        <v>38594.399999999994</v>
      </c>
      <c r="G77" s="82">
        <v>2.95</v>
      </c>
      <c r="H77" s="124">
        <f>SUM(F77*G77/1000)</f>
        <v>113.85347999999999</v>
      </c>
      <c r="I77" s="34">
        <f>F77/12*G77</f>
        <v>9487.7899999999991</v>
      </c>
      <c r="J77" s="34">
        <f>F77/12*G77</f>
        <v>9487.7899999999991</v>
      </c>
      <c r="K77" s="34">
        <f>F77/12*G77</f>
        <v>9487.7899999999991</v>
      </c>
      <c r="L77" s="34">
        <f>F77/12*G77</f>
        <v>9487.7899999999991</v>
      </c>
      <c r="M77" s="34">
        <f>F77/12*G77</f>
        <v>9487.7899999999991</v>
      </c>
      <c r="N77" s="34">
        <f>F77/12*G77</f>
        <v>9487.7899999999991</v>
      </c>
      <c r="O77" s="34">
        <f>F77/12*G77</f>
        <v>9487.7899999999991</v>
      </c>
      <c r="P77" s="34">
        <f>F77/12*G77</f>
        <v>9487.7899999999991</v>
      </c>
      <c r="Q77" s="34">
        <f>F77/12*G77</f>
        <v>9487.7899999999991</v>
      </c>
      <c r="R77" s="34">
        <f>F77/12*G77</f>
        <v>9487.7899999999991</v>
      </c>
      <c r="S77" s="34">
        <f>F77/12*G77</f>
        <v>9487.7899999999991</v>
      </c>
      <c r="T77" s="34">
        <f>F77/12*G77</f>
        <v>9487.7899999999991</v>
      </c>
      <c r="U77" s="34">
        <f t="shared" si="12"/>
        <v>113853.47999999997</v>
      </c>
    </row>
    <row r="78" spans="1:27" s="18" customFormat="1">
      <c r="A78" s="83"/>
      <c r="B78" s="19" t="s">
        <v>24</v>
      </c>
      <c r="C78" s="84"/>
      <c r="D78" s="85"/>
      <c r="E78" s="86"/>
      <c r="F78" s="45"/>
      <c r="G78" s="87"/>
      <c r="H78" s="46">
        <f>SUM(H76:H77)</f>
        <v>127.98647999999999</v>
      </c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>
        <f>SUM(U76:U77)</f>
        <v>127986.47999999997</v>
      </c>
    </row>
    <row r="79" spans="1:27" ht="25.5" customHeight="1">
      <c r="A79" s="135"/>
      <c r="B79" s="8" t="s">
        <v>79</v>
      </c>
      <c r="C79" s="65"/>
      <c r="D79" s="88"/>
      <c r="E79" s="31">
        <f>E77</f>
        <v>3216.2</v>
      </c>
      <c r="F79" s="54">
        <f>E79*12</f>
        <v>38594.399999999994</v>
      </c>
      <c r="G79" s="54">
        <v>3.05</v>
      </c>
      <c r="H79" s="124">
        <f>F79*G79/1000</f>
        <v>117.71291999999997</v>
      </c>
      <c r="I79" s="34">
        <f>F79/12*G79</f>
        <v>9809.409999999998</v>
      </c>
      <c r="J79" s="34">
        <f>F79/12*G79</f>
        <v>9809.409999999998</v>
      </c>
      <c r="K79" s="34">
        <f>F79/12*G79</f>
        <v>9809.409999999998</v>
      </c>
      <c r="L79" s="34">
        <f>F79/12*G79</f>
        <v>9809.409999999998</v>
      </c>
      <c r="M79" s="34">
        <f>F79/12*G79</f>
        <v>9809.409999999998</v>
      </c>
      <c r="N79" s="34">
        <f>F79/12*G79</f>
        <v>9809.409999999998</v>
      </c>
      <c r="O79" s="34">
        <f>F79/12*G79</f>
        <v>9809.409999999998</v>
      </c>
      <c r="P79" s="34">
        <f>F79/12*G79</f>
        <v>9809.409999999998</v>
      </c>
      <c r="Q79" s="34">
        <f>F79/12*G79</f>
        <v>9809.409999999998</v>
      </c>
      <c r="R79" s="34">
        <f>F79/12*G79</f>
        <v>9809.409999999998</v>
      </c>
      <c r="S79" s="34">
        <f>F79/12*G79</f>
        <v>9809.409999999998</v>
      </c>
      <c r="T79" s="34">
        <f>F79/12*G79</f>
        <v>9809.409999999998</v>
      </c>
      <c r="U79" s="34">
        <f t="shared" si="12"/>
        <v>117712.92</v>
      </c>
    </row>
    <row r="80" spans="1:27" s="18" customFormat="1">
      <c r="A80" s="83"/>
      <c r="B80" s="89" t="s">
        <v>80</v>
      </c>
      <c r="C80" s="90"/>
      <c r="D80" s="89"/>
      <c r="E80" s="45"/>
      <c r="F80" s="45"/>
      <c r="G80" s="45"/>
      <c r="H80" s="75">
        <f>H79</f>
        <v>117.71291999999997</v>
      </c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118">
        <f>U79</f>
        <v>117712.92</v>
      </c>
      <c r="X80" s="178"/>
      <c r="Y80" s="178"/>
      <c r="Z80" s="178"/>
      <c r="AA80" s="178"/>
    </row>
    <row r="81" spans="1:21" s="18" customFormat="1">
      <c r="A81" s="83"/>
      <c r="B81" s="89" t="s">
        <v>81</v>
      </c>
      <c r="C81" s="91"/>
      <c r="D81" s="92"/>
      <c r="E81" s="93"/>
      <c r="F81" s="93"/>
      <c r="G81" s="93"/>
      <c r="H81" s="75">
        <f>SUM(H80+H78+H75+H51+H40+H31+H21)</f>
        <v>879.07833995666647</v>
      </c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118">
        <f>SUM(U80+U78+U75+U51+U40+U31+U21)</f>
        <v>856913.98495666659</v>
      </c>
    </row>
    <row r="82" spans="1:21">
      <c r="A82" s="138"/>
      <c r="B82" s="88" t="s">
        <v>82</v>
      </c>
      <c r="C82" s="65"/>
      <c r="D82" s="88"/>
      <c r="E82" s="54"/>
      <c r="F82" s="54"/>
      <c r="G82" s="54" t="s">
        <v>83</v>
      </c>
      <c r="H82" s="94">
        <f>E79</f>
        <v>3216.2</v>
      </c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</row>
    <row r="83" spans="1:21" s="18" customFormat="1">
      <c r="A83" s="83"/>
      <c r="B83" s="92" t="s">
        <v>84</v>
      </c>
      <c r="C83" s="91"/>
      <c r="D83" s="92"/>
      <c r="E83" s="93"/>
      <c r="F83" s="93"/>
      <c r="G83" s="93"/>
      <c r="H83" s="95">
        <f>SUM(H81/H82/12*1000)</f>
        <v>22.777354744643432</v>
      </c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119"/>
    </row>
    <row r="84" spans="1:21">
      <c r="A84" s="96"/>
      <c r="B84" s="88"/>
      <c r="C84" s="65"/>
      <c r="D84" s="88"/>
      <c r="E84" s="54"/>
      <c r="F84" s="54"/>
      <c r="G84" s="54"/>
      <c r="H84" s="97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120"/>
    </row>
    <row r="85" spans="1:21">
      <c r="A85" s="96"/>
      <c r="B85" s="69" t="s">
        <v>85</v>
      </c>
      <c r="C85" s="65"/>
      <c r="D85" s="88"/>
      <c r="E85" s="54"/>
      <c r="F85" s="54"/>
      <c r="G85" s="54"/>
      <c r="H85" s="5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</row>
    <row r="86" spans="1:21" ht="25.5">
      <c r="A86" s="159" t="s">
        <v>239</v>
      </c>
      <c r="B86" s="126" t="s">
        <v>240</v>
      </c>
      <c r="C86" s="125" t="s">
        <v>215</v>
      </c>
      <c r="D86" s="8"/>
      <c r="E86" s="38"/>
      <c r="F86" s="54">
        <v>1</v>
      </c>
      <c r="G86" s="54">
        <v>589.84</v>
      </c>
      <c r="H86" s="124">
        <f t="shared" ref="H86" si="16">G86*F86/1000</f>
        <v>0.58984000000000003</v>
      </c>
      <c r="I86" s="150">
        <f>G86</f>
        <v>589.84</v>
      </c>
      <c r="J86" s="150">
        <v>0</v>
      </c>
      <c r="K86" s="150">
        <v>0</v>
      </c>
      <c r="L86" s="150">
        <v>0</v>
      </c>
      <c r="M86" s="150">
        <v>0</v>
      </c>
      <c r="N86" s="150">
        <v>0</v>
      </c>
      <c r="O86" s="150">
        <v>0</v>
      </c>
      <c r="P86" s="150">
        <v>0</v>
      </c>
      <c r="Q86" s="150">
        <v>0</v>
      </c>
      <c r="R86" s="150">
        <v>0</v>
      </c>
      <c r="S86" s="150">
        <v>0</v>
      </c>
      <c r="T86" s="150">
        <v>0</v>
      </c>
      <c r="U86" s="34">
        <f t="shared" ref="U86:U113" si="17">SUM(I86:T86)</f>
        <v>589.84</v>
      </c>
    </row>
    <row r="87" spans="1:21" ht="25.5">
      <c r="A87" s="125" t="s">
        <v>154</v>
      </c>
      <c r="B87" s="126" t="s">
        <v>209</v>
      </c>
      <c r="C87" s="125" t="s">
        <v>189</v>
      </c>
      <c r="D87" s="88"/>
      <c r="E87" s="54"/>
      <c r="F87" s="54">
        <f>1/100</f>
        <v>0.01</v>
      </c>
      <c r="G87" s="54">
        <v>7412.92</v>
      </c>
      <c r="H87" s="124">
        <f t="shared" ref="H87:H109" si="18">G87*F87/1000</f>
        <v>7.4129199999999992E-2</v>
      </c>
      <c r="I87" s="34">
        <f>G87*0.01</f>
        <v>74.129199999999997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v>0</v>
      </c>
      <c r="S87" s="34">
        <v>0</v>
      </c>
      <c r="T87" s="34">
        <v>0</v>
      </c>
      <c r="U87" s="34">
        <f t="shared" si="17"/>
        <v>74.129199999999997</v>
      </c>
    </row>
    <row r="88" spans="1:21">
      <c r="A88" s="125" t="s">
        <v>165</v>
      </c>
      <c r="B88" s="126" t="s">
        <v>166</v>
      </c>
      <c r="C88" s="125" t="s">
        <v>167</v>
      </c>
      <c r="D88" s="88"/>
      <c r="E88" s="54"/>
      <c r="F88" s="54">
        <v>2</v>
      </c>
      <c r="G88" s="54">
        <v>1120.8900000000001</v>
      </c>
      <c r="H88" s="124">
        <f t="shared" si="18"/>
        <v>2.2417800000000003</v>
      </c>
      <c r="I88" s="34">
        <v>0</v>
      </c>
      <c r="J88" s="34">
        <f>G88</f>
        <v>1120.8900000000001</v>
      </c>
      <c r="K88" s="34">
        <v>0</v>
      </c>
      <c r="L88" s="34">
        <v>0</v>
      </c>
      <c r="M88" s="34">
        <f>G88</f>
        <v>1120.8900000000001</v>
      </c>
      <c r="N88" s="34">
        <v>0</v>
      </c>
      <c r="O88" s="34">
        <v>0</v>
      </c>
      <c r="P88" s="34">
        <v>0</v>
      </c>
      <c r="Q88" s="34">
        <v>0</v>
      </c>
      <c r="R88" s="34">
        <v>0</v>
      </c>
      <c r="S88" s="34">
        <v>0</v>
      </c>
      <c r="T88" s="34">
        <v>0</v>
      </c>
      <c r="U88" s="34">
        <f t="shared" si="17"/>
        <v>2241.7800000000002</v>
      </c>
    </row>
    <row r="89" spans="1:21" ht="25.5">
      <c r="A89" s="125" t="s">
        <v>197</v>
      </c>
      <c r="B89" s="126" t="s">
        <v>195</v>
      </c>
      <c r="C89" s="125" t="s">
        <v>196</v>
      </c>
      <c r="D89" s="88"/>
      <c r="E89" s="54"/>
      <c r="F89" s="54">
        <v>1</v>
      </c>
      <c r="G89" s="54">
        <v>206.54</v>
      </c>
      <c r="H89" s="124">
        <f t="shared" si="18"/>
        <v>0.20654</v>
      </c>
      <c r="I89" s="34">
        <v>0</v>
      </c>
      <c r="J89" s="34">
        <f>G89</f>
        <v>206.54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v>0</v>
      </c>
      <c r="S89" s="34">
        <v>0</v>
      </c>
      <c r="T89" s="34">
        <v>0</v>
      </c>
      <c r="U89" s="34">
        <f t="shared" si="17"/>
        <v>206.54</v>
      </c>
    </row>
    <row r="90" spans="1:21">
      <c r="A90" s="142" t="s">
        <v>198</v>
      </c>
      <c r="B90" s="143" t="s">
        <v>199</v>
      </c>
      <c r="C90" s="127" t="s">
        <v>17</v>
      </c>
      <c r="D90" s="88"/>
      <c r="E90" s="54"/>
      <c r="F90" s="54">
        <f>0.81/10</f>
        <v>8.1000000000000003E-2</v>
      </c>
      <c r="G90" s="54">
        <v>3282.12</v>
      </c>
      <c r="H90" s="124">
        <f t="shared" si="18"/>
        <v>0.26585172000000001</v>
      </c>
      <c r="I90" s="34">
        <v>0</v>
      </c>
      <c r="J90" s="34">
        <f>G90*F90</f>
        <v>265.85172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0</v>
      </c>
      <c r="R90" s="34">
        <v>0</v>
      </c>
      <c r="S90" s="34">
        <v>0</v>
      </c>
      <c r="T90" s="34">
        <v>0</v>
      </c>
      <c r="U90" s="34">
        <f t="shared" si="17"/>
        <v>265.85172</v>
      </c>
    </row>
    <row r="91" spans="1:21" ht="12.75" customHeight="1">
      <c r="A91" s="125" t="s">
        <v>202</v>
      </c>
      <c r="B91" s="126" t="s">
        <v>200</v>
      </c>
      <c r="C91" s="125" t="s">
        <v>201</v>
      </c>
      <c r="D91" s="88"/>
      <c r="E91" s="54"/>
      <c r="F91" s="54">
        <v>1</v>
      </c>
      <c r="G91" s="54">
        <v>306.62</v>
      </c>
      <c r="H91" s="124">
        <f t="shared" si="18"/>
        <v>0.30662</v>
      </c>
      <c r="I91" s="34">
        <v>0</v>
      </c>
      <c r="J91" s="34">
        <f>G91</f>
        <v>306.62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0</v>
      </c>
      <c r="R91" s="34">
        <v>0</v>
      </c>
      <c r="S91" s="34">
        <v>0</v>
      </c>
      <c r="T91" s="34">
        <v>0</v>
      </c>
      <c r="U91" s="34">
        <f t="shared" si="17"/>
        <v>306.62</v>
      </c>
    </row>
    <row r="92" spans="1:21" ht="25.5" customHeight="1">
      <c r="A92" s="142" t="s">
        <v>113</v>
      </c>
      <c r="B92" s="143" t="s">
        <v>203</v>
      </c>
      <c r="C92" s="127" t="s">
        <v>204</v>
      </c>
      <c r="D92" s="88"/>
      <c r="E92" s="54"/>
      <c r="F92" s="54">
        <v>1</v>
      </c>
      <c r="G92" s="54">
        <v>403.69</v>
      </c>
      <c r="H92" s="124">
        <f t="shared" si="18"/>
        <v>0.40368999999999999</v>
      </c>
      <c r="I92" s="34">
        <v>0</v>
      </c>
      <c r="J92" s="34">
        <v>0</v>
      </c>
      <c r="K92" s="34">
        <f>G92</f>
        <v>403.69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4">
        <v>0</v>
      </c>
      <c r="S92" s="34">
        <v>0</v>
      </c>
      <c r="T92" s="34">
        <v>0</v>
      </c>
      <c r="U92" s="34">
        <f t="shared" si="17"/>
        <v>403.69</v>
      </c>
    </row>
    <row r="93" spans="1:21" ht="12.75" customHeight="1">
      <c r="A93" s="144" t="s">
        <v>206</v>
      </c>
      <c r="B93" s="145" t="s">
        <v>205</v>
      </c>
      <c r="C93" s="125" t="s">
        <v>54</v>
      </c>
      <c r="D93" s="88"/>
      <c r="E93" s="54"/>
      <c r="F93" s="54">
        <v>2</v>
      </c>
      <c r="G93" s="54">
        <v>189.67</v>
      </c>
      <c r="H93" s="124">
        <f t="shared" si="18"/>
        <v>0.37933999999999996</v>
      </c>
      <c r="I93" s="34">
        <v>0</v>
      </c>
      <c r="J93" s="34">
        <v>0</v>
      </c>
      <c r="K93" s="34">
        <f>G93</f>
        <v>189.67</v>
      </c>
      <c r="L93" s="34">
        <v>0</v>
      </c>
      <c r="M93" s="34">
        <v>0</v>
      </c>
      <c r="N93" s="34">
        <v>0</v>
      </c>
      <c r="O93" s="34">
        <f>G93</f>
        <v>189.67</v>
      </c>
      <c r="P93" s="34">
        <v>0</v>
      </c>
      <c r="Q93" s="34">
        <v>0</v>
      </c>
      <c r="R93" s="34">
        <v>0</v>
      </c>
      <c r="S93" s="34">
        <v>0</v>
      </c>
      <c r="T93" s="34">
        <v>0</v>
      </c>
      <c r="U93" s="34">
        <f t="shared" si="17"/>
        <v>379.34</v>
      </c>
    </row>
    <row r="94" spans="1:21" ht="25.5" customHeight="1">
      <c r="A94" s="146" t="s">
        <v>208</v>
      </c>
      <c r="B94" s="147" t="s">
        <v>207</v>
      </c>
      <c r="C94" s="148" t="s">
        <v>54</v>
      </c>
      <c r="D94" s="88"/>
      <c r="E94" s="54"/>
      <c r="F94" s="54">
        <v>3</v>
      </c>
      <c r="G94" s="54">
        <v>83.36</v>
      </c>
      <c r="H94" s="124">
        <f t="shared" si="18"/>
        <v>0.25007999999999997</v>
      </c>
      <c r="I94" s="34">
        <v>0</v>
      </c>
      <c r="J94" s="34">
        <v>0</v>
      </c>
      <c r="K94" s="34">
        <v>0</v>
      </c>
      <c r="L94" s="34">
        <f>G94*2</f>
        <v>166.72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34">
        <f>G94</f>
        <v>83.36</v>
      </c>
      <c r="S94" s="34">
        <v>0</v>
      </c>
      <c r="T94" s="34">
        <v>0</v>
      </c>
      <c r="U94" s="34">
        <f t="shared" si="17"/>
        <v>250.07999999999998</v>
      </c>
    </row>
    <row r="95" spans="1:21" ht="25.5" customHeight="1">
      <c r="A95" s="125" t="s">
        <v>153</v>
      </c>
      <c r="B95" s="126" t="s">
        <v>210</v>
      </c>
      <c r="C95" s="125" t="s">
        <v>51</v>
      </c>
      <c r="D95" s="88"/>
      <c r="E95" s="54"/>
      <c r="F95" s="54">
        <v>0.02</v>
      </c>
      <c r="G95" s="54">
        <v>3581.13</v>
      </c>
      <c r="H95" s="124">
        <f t="shared" si="18"/>
        <v>7.1622600000000008E-2</v>
      </c>
      <c r="I95" s="34">
        <v>0</v>
      </c>
      <c r="J95" s="34">
        <v>0</v>
      </c>
      <c r="K95" s="34">
        <v>0</v>
      </c>
      <c r="L95" s="34">
        <f>G95*0.01</f>
        <v>35.811300000000003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v>0</v>
      </c>
      <c r="S95" s="34">
        <f>G95*0.01</f>
        <v>35.811300000000003</v>
      </c>
      <c r="T95" s="34">
        <v>0</v>
      </c>
      <c r="U95" s="34">
        <f t="shared" si="17"/>
        <v>71.622600000000006</v>
      </c>
    </row>
    <row r="96" spans="1:21" ht="25.5" customHeight="1">
      <c r="A96" s="146" t="s">
        <v>212</v>
      </c>
      <c r="B96" s="147" t="s">
        <v>211</v>
      </c>
      <c r="C96" s="148" t="s">
        <v>54</v>
      </c>
      <c r="D96" s="88"/>
      <c r="E96" s="54"/>
      <c r="F96" s="54">
        <v>1</v>
      </c>
      <c r="G96" s="54">
        <v>2297.02</v>
      </c>
      <c r="H96" s="124">
        <f t="shared" si="18"/>
        <v>2.2970199999999998</v>
      </c>
      <c r="I96" s="34">
        <v>0</v>
      </c>
      <c r="J96" s="34">
        <v>0</v>
      </c>
      <c r="K96" s="34">
        <v>0</v>
      </c>
      <c r="L96" s="34">
        <f>G96</f>
        <v>2297.02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v>0</v>
      </c>
      <c r="S96" s="34">
        <v>0</v>
      </c>
      <c r="T96" s="34">
        <v>0</v>
      </c>
      <c r="U96" s="34">
        <f t="shared" si="17"/>
        <v>2297.02</v>
      </c>
    </row>
    <row r="97" spans="1:23" ht="12.75" customHeight="1">
      <c r="A97" s="142" t="s">
        <v>216</v>
      </c>
      <c r="B97" s="149" t="s">
        <v>217</v>
      </c>
      <c r="C97" s="146" t="s">
        <v>215</v>
      </c>
      <c r="D97" s="88"/>
      <c r="E97" s="54"/>
      <c r="F97" s="54">
        <v>1</v>
      </c>
      <c r="G97" s="54">
        <v>783.56</v>
      </c>
      <c r="H97" s="124">
        <f t="shared" si="18"/>
        <v>0.78355999999999992</v>
      </c>
      <c r="I97" s="34">
        <v>0</v>
      </c>
      <c r="J97" s="34">
        <v>0</v>
      </c>
      <c r="K97" s="34">
        <v>0</v>
      </c>
      <c r="L97" s="34">
        <f>G97</f>
        <v>783.56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34">
        <v>0</v>
      </c>
      <c r="T97" s="34">
        <v>0</v>
      </c>
      <c r="U97" s="34">
        <f t="shared" si="17"/>
        <v>783.56</v>
      </c>
    </row>
    <row r="98" spans="1:23" ht="25.5" customHeight="1">
      <c r="A98" s="125" t="s">
        <v>214</v>
      </c>
      <c r="B98" s="126" t="s">
        <v>213</v>
      </c>
      <c r="C98" s="125" t="s">
        <v>54</v>
      </c>
      <c r="D98" s="88"/>
      <c r="E98" s="54"/>
      <c r="F98" s="54">
        <v>3</v>
      </c>
      <c r="G98" s="54">
        <v>189.88</v>
      </c>
      <c r="H98" s="124">
        <f>G98*F98/1000</f>
        <v>0.56964000000000004</v>
      </c>
      <c r="I98" s="34">
        <v>0</v>
      </c>
      <c r="J98" s="34">
        <v>0</v>
      </c>
      <c r="K98" s="34">
        <v>0</v>
      </c>
      <c r="L98" s="34">
        <v>0</v>
      </c>
      <c r="M98" s="34">
        <f>G98</f>
        <v>189.88</v>
      </c>
      <c r="N98" s="34">
        <v>0</v>
      </c>
      <c r="O98" s="34">
        <f>G98</f>
        <v>189.88</v>
      </c>
      <c r="P98" s="34">
        <v>0</v>
      </c>
      <c r="Q98" s="34">
        <v>0</v>
      </c>
      <c r="R98" s="34">
        <v>0</v>
      </c>
      <c r="S98" s="34">
        <f>G98</f>
        <v>189.88</v>
      </c>
      <c r="T98" s="34">
        <v>0</v>
      </c>
      <c r="U98" s="34">
        <f t="shared" si="17"/>
        <v>569.64</v>
      </c>
    </row>
    <row r="99" spans="1:23" ht="25.5" customHeight="1">
      <c r="A99" s="142" t="s">
        <v>219</v>
      </c>
      <c r="B99" s="147" t="s">
        <v>218</v>
      </c>
      <c r="C99" s="146" t="s">
        <v>73</v>
      </c>
      <c r="D99" s="88"/>
      <c r="E99" s="54"/>
      <c r="F99" s="54">
        <f>1/10</f>
        <v>0.1</v>
      </c>
      <c r="G99" s="54">
        <v>4097.97</v>
      </c>
      <c r="H99" s="124">
        <f t="shared" si="18"/>
        <v>0.40979700000000002</v>
      </c>
      <c r="I99" s="34">
        <v>0</v>
      </c>
      <c r="J99" s="34">
        <v>0</v>
      </c>
      <c r="K99" s="34">
        <v>0</v>
      </c>
      <c r="L99" s="34">
        <v>0</v>
      </c>
      <c r="M99" s="34">
        <f>G99*0.1</f>
        <v>409.79700000000003</v>
      </c>
      <c r="N99" s="34">
        <v>0</v>
      </c>
      <c r="O99" s="34">
        <v>0</v>
      </c>
      <c r="P99" s="34">
        <v>0</v>
      </c>
      <c r="Q99" s="34">
        <v>0</v>
      </c>
      <c r="R99" s="34">
        <v>0</v>
      </c>
      <c r="S99" s="34">
        <v>0</v>
      </c>
      <c r="T99" s="34">
        <v>0</v>
      </c>
      <c r="U99" s="34">
        <f t="shared" si="17"/>
        <v>409.79700000000003</v>
      </c>
    </row>
    <row r="100" spans="1:23">
      <c r="A100" s="125" t="s">
        <v>220</v>
      </c>
      <c r="B100" s="126" t="s">
        <v>221</v>
      </c>
      <c r="C100" s="125" t="s">
        <v>222</v>
      </c>
      <c r="D100" s="8"/>
      <c r="E100" s="38"/>
      <c r="F100" s="54">
        <v>1</v>
      </c>
      <c r="G100" s="54">
        <v>195.85</v>
      </c>
      <c r="H100" s="124">
        <f t="shared" si="18"/>
        <v>0.19585</v>
      </c>
      <c r="I100" s="150">
        <v>0</v>
      </c>
      <c r="J100" s="150">
        <v>0</v>
      </c>
      <c r="K100" s="150">
        <v>0</v>
      </c>
      <c r="L100" s="150">
        <v>0</v>
      </c>
      <c r="M100" s="150">
        <v>0</v>
      </c>
      <c r="N100" s="150">
        <f>G100</f>
        <v>195.85</v>
      </c>
      <c r="O100" s="150">
        <v>0</v>
      </c>
      <c r="P100" s="150">
        <v>0</v>
      </c>
      <c r="Q100" s="34">
        <v>0</v>
      </c>
      <c r="R100" s="34">
        <v>0</v>
      </c>
      <c r="S100" s="34">
        <v>0</v>
      </c>
      <c r="T100" s="34">
        <v>0</v>
      </c>
      <c r="U100" s="34">
        <f t="shared" si="17"/>
        <v>195.85</v>
      </c>
    </row>
    <row r="101" spans="1:23">
      <c r="A101" s="125" t="s">
        <v>113</v>
      </c>
      <c r="B101" s="126" t="s">
        <v>248</v>
      </c>
      <c r="C101" s="125" t="s">
        <v>33</v>
      </c>
      <c r="D101" s="8"/>
      <c r="E101" s="38"/>
      <c r="F101" s="54">
        <f>(53.59+88.31+60.8+33.98+118.72+137.38)-(5.55*6)</f>
        <v>459.47999999999996</v>
      </c>
      <c r="G101" s="54">
        <v>42.61</v>
      </c>
      <c r="H101" s="54">
        <f t="shared" si="18"/>
        <v>19.578442799999998</v>
      </c>
      <c r="I101" s="150">
        <v>0</v>
      </c>
      <c r="J101" s="150">
        <v>0</v>
      </c>
      <c r="K101" s="150">
        <v>0</v>
      </c>
      <c r="L101" s="150">
        <v>0</v>
      </c>
      <c r="M101" s="150">
        <v>0</v>
      </c>
      <c r="N101" s="34">
        <f>G101*F101</f>
        <v>19578.442799999997</v>
      </c>
      <c r="O101" s="34">
        <v>0</v>
      </c>
      <c r="P101" s="34">
        <v>0</v>
      </c>
      <c r="Q101" s="34">
        <v>0</v>
      </c>
      <c r="R101" s="34">
        <v>0</v>
      </c>
      <c r="S101" s="34">
        <v>0</v>
      </c>
      <c r="T101" s="34">
        <v>0</v>
      </c>
      <c r="U101" s="34">
        <f t="shared" si="17"/>
        <v>19578.442799999997</v>
      </c>
    </row>
    <row r="102" spans="1:23" ht="25.5">
      <c r="A102" s="148" t="s">
        <v>223</v>
      </c>
      <c r="B102" s="147" t="s">
        <v>224</v>
      </c>
      <c r="C102" s="148" t="s">
        <v>215</v>
      </c>
      <c r="D102" s="88"/>
      <c r="E102" s="54"/>
      <c r="F102" s="54">
        <v>2</v>
      </c>
      <c r="G102" s="54">
        <v>1002.79</v>
      </c>
      <c r="H102" s="124">
        <f t="shared" si="18"/>
        <v>2.0055800000000001</v>
      </c>
      <c r="I102" s="150">
        <v>0</v>
      </c>
      <c r="J102" s="150">
        <v>0</v>
      </c>
      <c r="K102" s="150">
        <v>0</v>
      </c>
      <c r="L102" s="150">
        <v>0</v>
      </c>
      <c r="M102" s="150">
        <v>0</v>
      </c>
      <c r="N102" s="150">
        <v>0</v>
      </c>
      <c r="O102" s="150">
        <f>G102*2</f>
        <v>2005.58</v>
      </c>
      <c r="P102" s="150">
        <v>0</v>
      </c>
      <c r="Q102" s="34">
        <v>0</v>
      </c>
      <c r="R102" s="34">
        <v>0</v>
      </c>
      <c r="S102" s="34">
        <v>0</v>
      </c>
      <c r="T102" s="34">
        <v>0</v>
      </c>
      <c r="U102" s="34">
        <f t="shared" si="17"/>
        <v>2005.58</v>
      </c>
    </row>
    <row r="103" spans="1:23">
      <c r="A103" s="125" t="s">
        <v>184</v>
      </c>
      <c r="B103" s="126" t="s">
        <v>225</v>
      </c>
      <c r="C103" s="125" t="s">
        <v>54</v>
      </c>
      <c r="D103" s="8"/>
      <c r="E103" s="38"/>
      <c r="F103" s="54">
        <v>2</v>
      </c>
      <c r="G103" s="54">
        <v>140</v>
      </c>
      <c r="H103" s="124">
        <f t="shared" si="18"/>
        <v>0.28000000000000003</v>
      </c>
      <c r="I103" s="150">
        <v>0</v>
      </c>
      <c r="J103" s="150">
        <v>0</v>
      </c>
      <c r="K103" s="150">
        <v>0</v>
      </c>
      <c r="L103" s="150">
        <v>0</v>
      </c>
      <c r="M103" s="150">
        <v>0</v>
      </c>
      <c r="N103" s="150">
        <v>0</v>
      </c>
      <c r="O103" s="150">
        <f>G103*2</f>
        <v>280</v>
      </c>
      <c r="P103" s="150">
        <v>0</v>
      </c>
      <c r="Q103" s="34">
        <v>0</v>
      </c>
      <c r="R103" s="34">
        <v>0</v>
      </c>
      <c r="S103" s="34">
        <v>0</v>
      </c>
      <c r="T103" s="34">
        <v>0</v>
      </c>
      <c r="U103" s="34">
        <f t="shared" si="17"/>
        <v>280</v>
      </c>
    </row>
    <row r="104" spans="1:23">
      <c r="A104" s="125" t="s">
        <v>184</v>
      </c>
      <c r="B104" s="126" t="s">
        <v>226</v>
      </c>
      <c r="C104" s="125" t="s">
        <v>54</v>
      </c>
      <c r="D104" s="8"/>
      <c r="E104" s="38"/>
      <c r="F104" s="54">
        <v>1</v>
      </c>
      <c r="G104" s="54">
        <v>27.36</v>
      </c>
      <c r="H104" s="124">
        <f t="shared" si="18"/>
        <v>2.7359999999999999E-2</v>
      </c>
      <c r="I104" s="150">
        <v>0</v>
      </c>
      <c r="J104" s="150">
        <v>0</v>
      </c>
      <c r="K104" s="150">
        <v>0</v>
      </c>
      <c r="L104" s="150">
        <v>0</v>
      </c>
      <c r="M104" s="150">
        <v>0</v>
      </c>
      <c r="N104" s="150">
        <v>0</v>
      </c>
      <c r="O104" s="150">
        <f>G104</f>
        <v>27.36</v>
      </c>
      <c r="P104" s="150">
        <v>0</v>
      </c>
      <c r="Q104" s="34">
        <v>0</v>
      </c>
      <c r="R104" s="34">
        <v>0</v>
      </c>
      <c r="S104" s="34">
        <v>0</v>
      </c>
      <c r="T104" s="34">
        <v>0</v>
      </c>
      <c r="U104" s="34">
        <f t="shared" si="17"/>
        <v>27.36</v>
      </c>
    </row>
    <row r="105" spans="1:23">
      <c r="A105" s="125" t="s">
        <v>184</v>
      </c>
      <c r="B105" s="151" t="s">
        <v>227</v>
      </c>
      <c r="C105" s="125" t="s">
        <v>54</v>
      </c>
      <c r="D105" s="8"/>
      <c r="E105" s="38"/>
      <c r="F105" s="54">
        <v>1</v>
      </c>
      <c r="G105" s="152">
        <v>108</v>
      </c>
      <c r="H105" s="124">
        <f t="shared" si="18"/>
        <v>0.108</v>
      </c>
      <c r="I105" s="150">
        <v>0</v>
      </c>
      <c r="J105" s="150">
        <v>0</v>
      </c>
      <c r="K105" s="150">
        <v>0</v>
      </c>
      <c r="L105" s="150">
        <v>0</v>
      </c>
      <c r="M105" s="150">
        <v>0</v>
      </c>
      <c r="N105" s="150">
        <v>0</v>
      </c>
      <c r="O105" s="150">
        <f>G105</f>
        <v>108</v>
      </c>
      <c r="P105" s="150">
        <v>0</v>
      </c>
      <c r="Q105" s="34">
        <v>0</v>
      </c>
      <c r="R105" s="34">
        <v>0</v>
      </c>
      <c r="S105" s="34">
        <v>0</v>
      </c>
      <c r="T105" s="34">
        <v>0</v>
      </c>
      <c r="U105" s="34">
        <f t="shared" si="17"/>
        <v>108</v>
      </c>
    </row>
    <row r="106" spans="1:23">
      <c r="A106" s="125" t="s">
        <v>184</v>
      </c>
      <c r="B106" s="126" t="s">
        <v>228</v>
      </c>
      <c r="C106" s="125" t="s">
        <v>54</v>
      </c>
      <c r="D106" s="8"/>
      <c r="E106" s="38"/>
      <c r="F106" s="54">
        <v>1</v>
      </c>
      <c r="G106" s="54">
        <v>70</v>
      </c>
      <c r="H106" s="124">
        <f t="shared" si="18"/>
        <v>7.0000000000000007E-2</v>
      </c>
      <c r="I106" s="150">
        <v>0</v>
      </c>
      <c r="J106" s="150">
        <v>0</v>
      </c>
      <c r="K106" s="150">
        <v>0</v>
      </c>
      <c r="L106" s="150">
        <v>0</v>
      </c>
      <c r="M106" s="150">
        <v>0</v>
      </c>
      <c r="N106" s="150">
        <v>0</v>
      </c>
      <c r="O106" s="150">
        <f>G106</f>
        <v>70</v>
      </c>
      <c r="P106" s="150">
        <v>0</v>
      </c>
      <c r="Q106" s="34">
        <v>0</v>
      </c>
      <c r="R106" s="34">
        <v>0</v>
      </c>
      <c r="S106" s="34">
        <v>0</v>
      </c>
      <c r="T106" s="34">
        <v>0</v>
      </c>
      <c r="U106" s="34">
        <f t="shared" si="17"/>
        <v>70</v>
      </c>
    </row>
    <row r="107" spans="1:23" ht="12.75" customHeight="1">
      <c r="A107" s="146" t="s">
        <v>231</v>
      </c>
      <c r="B107" s="147" t="s">
        <v>229</v>
      </c>
      <c r="C107" s="148" t="s">
        <v>230</v>
      </c>
      <c r="D107" s="8"/>
      <c r="E107" s="38"/>
      <c r="F107" s="54">
        <v>1</v>
      </c>
      <c r="G107" s="54">
        <v>88.14</v>
      </c>
      <c r="H107" s="124">
        <f t="shared" si="18"/>
        <v>8.8139999999999996E-2</v>
      </c>
      <c r="I107" s="150">
        <v>0</v>
      </c>
      <c r="J107" s="150">
        <v>0</v>
      </c>
      <c r="K107" s="150">
        <v>0</v>
      </c>
      <c r="L107" s="150">
        <v>0</v>
      </c>
      <c r="M107" s="150">
        <v>0</v>
      </c>
      <c r="N107" s="150">
        <v>0</v>
      </c>
      <c r="O107" s="150">
        <v>0</v>
      </c>
      <c r="P107" s="150">
        <f>G107</f>
        <v>88.14</v>
      </c>
      <c r="Q107" s="34">
        <v>0</v>
      </c>
      <c r="R107" s="34">
        <v>0</v>
      </c>
      <c r="S107" s="34">
        <v>0</v>
      </c>
      <c r="T107" s="34">
        <v>0</v>
      </c>
      <c r="U107" s="34">
        <f t="shared" si="17"/>
        <v>88.14</v>
      </c>
    </row>
    <row r="108" spans="1:23" ht="12.75" customHeight="1">
      <c r="A108" s="148" t="s">
        <v>233</v>
      </c>
      <c r="B108" s="147" t="s">
        <v>232</v>
      </c>
      <c r="C108" s="148" t="s">
        <v>54</v>
      </c>
      <c r="D108" s="8"/>
      <c r="E108" s="38"/>
      <c r="F108" s="54">
        <v>1</v>
      </c>
      <c r="G108" s="54">
        <v>613.35</v>
      </c>
      <c r="H108" s="124">
        <f t="shared" si="18"/>
        <v>0.61335000000000006</v>
      </c>
      <c r="I108" s="150">
        <v>0</v>
      </c>
      <c r="J108" s="150">
        <v>0</v>
      </c>
      <c r="K108" s="150">
        <v>0</v>
      </c>
      <c r="L108" s="150">
        <v>0</v>
      </c>
      <c r="M108" s="150">
        <v>0</v>
      </c>
      <c r="N108" s="150">
        <v>0</v>
      </c>
      <c r="O108" s="150">
        <v>0</v>
      </c>
      <c r="P108" s="150">
        <f>G108</f>
        <v>613.35</v>
      </c>
      <c r="Q108" s="34">
        <v>0</v>
      </c>
      <c r="R108" s="34">
        <v>0</v>
      </c>
      <c r="S108" s="34">
        <v>0</v>
      </c>
      <c r="T108" s="34">
        <v>0</v>
      </c>
      <c r="U108" s="34">
        <f t="shared" si="17"/>
        <v>613.35</v>
      </c>
    </row>
    <row r="109" spans="1:23">
      <c r="A109" s="154" t="s">
        <v>234</v>
      </c>
      <c r="B109" s="155" t="s">
        <v>235</v>
      </c>
      <c r="C109" s="154" t="s">
        <v>167</v>
      </c>
      <c r="D109" s="156"/>
      <c r="E109" s="157"/>
      <c r="F109" s="153">
        <f>3/3</f>
        <v>1</v>
      </c>
      <c r="G109" s="153">
        <v>1120.8900000000001</v>
      </c>
      <c r="H109" s="158">
        <f t="shared" si="18"/>
        <v>1.1208900000000002</v>
      </c>
      <c r="I109" s="150">
        <v>0</v>
      </c>
      <c r="J109" s="150">
        <v>0</v>
      </c>
      <c r="K109" s="150">
        <v>0</v>
      </c>
      <c r="L109" s="150">
        <v>0</v>
      </c>
      <c r="M109" s="150">
        <v>0</v>
      </c>
      <c r="N109" s="150">
        <v>0</v>
      </c>
      <c r="O109" s="150">
        <v>0</v>
      </c>
      <c r="P109" s="150">
        <v>0</v>
      </c>
      <c r="Q109" s="150">
        <f>G109</f>
        <v>1120.8900000000001</v>
      </c>
      <c r="R109" s="150">
        <v>0</v>
      </c>
      <c r="S109" s="150">
        <v>0</v>
      </c>
      <c r="T109" s="150">
        <v>0</v>
      </c>
      <c r="U109" s="34">
        <f t="shared" si="17"/>
        <v>1120.8900000000001</v>
      </c>
    </row>
    <row r="110" spans="1:23" ht="25.5">
      <c r="A110" s="125" t="s">
        <v>236</v>
      </c>
      <c r="B110" s="126" t="s">
        <v>238</v>
      </c>
      <c r="C110" s="125" t="s">
        <v>237</v>
      </c>
      <c r="D110" s="8"/>
      <c r="E110" s="38"/>
      <c r="F110" s="54">
        <v>4</v>
      </c>
      <c r="G110" s="54">
        <v>1272</v>
      </c>
      <c r="H110" s="124">
        <f>G110*F110/1000</f>
        <v>5.0880000000000001</v>
      </c>
      <c r="I110" s="150">
        <v>0</v>
      </c>
      <c r="J110" s="150">
        <v>0</v>
      </c>
      <c r="K110" s="150">
        <v>0</v>
      </c>
      <c r="L110" s="150">
        <v>0</v>
      </c>
      <c r="M110" s="150">
        <v>0</v>
      </c>
      <c r="N110" s="150">
        <v>0</v>
      </c>
      <c r="O110" s="150">
        <v>0</v>
      </c>
      <c r="P110" s="150">
        <v>0</v>
      </c>
      <c r="Q110" s="150">
        <f>G110*(1+3)</f>
        <v>5088</v>
      </c>
      <c r="R110" s="150">
        <v>0</v>
      </c>
      <c r="S110" s="150">
        <v>0</v>
      </c>
      <c r="T110" s="150">
        <v>0</v>
      </c>
      <c r="U110" s="34">
        <f t="shared" si="17"/>
        <v>5088</v>
      </c>
    </row>
    <row r="111" spans="1:23" ht="12.75" customHeight="1">
      <c r="A111" s="144" t="s">
        <v>241</v>
      </c>
      <c r="B111" s="160" t="s">
        <v>242</v>
      </c>
      <c r="C111" s="161" t="s">
        <v>17</v>
      </c>
      <c r="D111" s="162"/>
      <c r="E111" s="38"/>
      <c r="F111" s="163">
        <f>2/10</f>
        <v>0.2</v>
      </c>
      <c r="G111" s="54">
        <v>29021.3</v>
      </c>
      <c r="H111" s="62">
        <f t="shared" ref="H111:H112" si="19">SUM(F111*G111/1000)</f>
        <v>5.8042600000000002</v>
      </c>
      <c r="I111" s="150">
        <v>0</v>
      </c>
      <c r="J111" s="150">
        <v>0</v>
      </c>
      <c r="K111" s="150">
        <v>0</v>
      </c>
      <c r="L111" s="150">
        <v>0</v>
      </c>
      <c r="M111" s="150">
        <v>0</v>
      </c>
      <c r="N111" s="150">
        <v>0</v>
      </c>
      <c r="O111" s="150">
        <v>0</v>
      </c>
      <c r="P111" s="150">
        <v>0</v>
      </c>
      <c r="Q111" s="150">
        <v>0</v>
      </c>
      <c r="R111" s="150">
        <f>G111*0.2</f>
        <v>5804.26</v>
      </c>
      <c r="S111" s="150">
        <v>0</v>
      </c>
      <c r="T111" s="150">
        <v>0</v>
      </c>
      <c r="U111" s="34">
        <f t="shared" si="17"/>
        <v>5804.26</v>
      </c>
      <c r="V111" s="164"/>
      <c r="W111" s="165"/>
    </row>
    <row r="112" spans="1:23" ht="38.25">
      <c r="A112" s="142" t="s">
        <v>245</v>
      </c>
      <c r="B112" s="147" t="s">
        <v>243</v>
      </c>
      <c r="C112" s="148" t="s">
        <v>244</v>
      </c>
      <c r="D112" s="8"/>
      <c r="E112" s="38"/>
      <c r="F112" s="54">
        <f>2/10</f>
        <v>0.2</v>
      </c>
      <c r="G112" s="54">
        <v>10276.98</v>
      </c>
      <c r="H112" s="124">
        <f t="shared" si="19"/>
        <v>2.055396</v>
      </c>
      <c r="I112" s="150">
        <v>0</v>
      </c>
      <c r="J112" s="150">
        <v>0</v>
      </c>
      <c r="K112" s="150">
        <v>0</v>
      </c>
      <c r="L112" s="150">
        <v>0</v>
      </c>
      <c r="M112" s="150">
        <v>0</v>
      </c>
      <c r="N112" s="150">
        <v>0</v>
      </c>
      <c r="O112" s="150">
        <v>0</v>
      </c>
      <c r="P112" s="150">
        <v>0</v>
      </c>
      <c r="Q112" s="150">
        <v>0</v>
      </c>
      <c r="R112" s="150">
        <f>G112*0.2</f>
        <v>2055.3960000000002</v>
      </c>
      <c r="S112" s="150">
        <v>0</v>
      </c>
      <c r="T112" s="150">
        <v>0</v>
      </c>
      <c r="U112" s="34">
        <f t="shared" si="17"/>
        <v>2055.3960000000002</v>
      </c>
    </row>
    <row r="113" spans="1:21">
      <c r="A113" s="125" t="s">
        <v>113</v>
      </c>
      <c r="B113" s="126" t="s">
        <v>249</v>
      </c>
      <c r="C113" s="125" t="s">
        <v>33</v>
      </c>
      <c r="D113" s="8"/>
      <c r="E113" s="38"/>
      <c r="F113" s="54">
        <f>(109.49+133.35+115.58+143.73+91.98+139.57)-(5.55*6)</f>
        <v>700.40000000000009</v>
      </c>
      <c r="G113" s="54">
        <v>44.31</v>
      </c>
      <c r="H113" s="54">
        <f t="shared" ref="H113" si="20">G113*F113/1000</f>
        <v>31.034724000000004</v>
      </c>
      <c r="I113" s="150">
        <v>0</v>
      </c>
      <c r="J113" s="150">
        <v>0</v>
      </c>
      <c r="K113" s="150">
        <v>0</v>
      </c>
      <c r="L113" s="150">
        <v>0</v>
      </c>
      <c r="M113" s="150">
        <v>0</v>
      </c>
      <c r="N113" s="150">
        <v>0</v>
      </c>
      <c r="O113" s="34">
        <v>0</v>
      </c>
      <c r="P113" s="34">
        <v>0</v>
      </c>
      <c r="Q113" s="34">
        <v>0</v>
      </c>
      <c r="R113" s="34">
        <v>0</v>
      </c>
      <c r="S113" s="34">
        <v>0</v>
      </c>
      <c r="T113" s="34">
        <f>G113*F113</f>
        <v>31034.724000000006</v>
      </c>
      <c r="U113" s="34">
        <f t="shared" si="17"/>
        <v>31034.724000000006</v>
      </c>
    </row>
    <row r="114" spans="1:21">
      <c r="A114" s="98"/>
      <c r="B114" s="99" t="s">
        <v>86</v>
      </c>
      <c r="C114" s="98"/>
      <c r="D114" s="98"/>
      <c r="E114" s="93"/>
      <c r="F114" s="93"/>
      <c r="G114" s="93"/>
      <c r="H114" s="46">
        <f>SUM(H85:H113)</f>
        <v>76.919503320000004</v>
      </c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45">
        <f>SUM(U85:U113)</f>
        <v>76919.503320000003</v>
      </c>
    </row>
    <row r="115" spans="1:21" ht="12" customHeight="1">
      <c r="A115" s="96"/>
      <c r="B115" s="100"/>
      <c r="C115" s="101"/>
      <c r="D115" s="101"/>
      <c r="E115" s="54"/>
      <c r="F115" s="54"/>
      <c r="G115" s="54"/>
      <c r="H115" s="102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121"/>
    </row>
    <row r="116" spans="1:21" s="18" customFormat="1" ht="25.5">
      <c r="A116" s="135"/>
      <c r="B116" s="17" t="s">
        <v>87</v>
      </c>
      <c r="C116" s="65"/>
      <c r="D116" s="88"/>
      <c r="E116" s="54"/>
      <c r="F116" s="54"/>
      <c r="G116" s="54"/>
      <c r="H116" s="103">
        <f>H114/E117/12*1000</f>
        <v>1.9930223897767552</v>
      </c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121"/>
    </row>
    <row r="117" spans="1:21">
      <c r="A117" s="83"/>
      <c r="B117" s="104" t="s">
        <v>88</v>
      </c>
      <c r="C117" s="105"/>
      <c r="D117" s="104"/>
      <c r="E117" s="139">
        <v>3216.2</v>
      </c>
      <c r="F117" s="106">
        <f>SUM(E117*12)</f>
        <v>38594.399999999994</v>
      </c>
      <c r="G117" s="107">
        <f>H83+H116</f>
        <v>24.770377134420187</v>
      </c>
      <c r="H117" s="108">
        <f>SUM(F117*G117/1000)</f>
        <v>955.99784327666634</v>
      </c>
      <c r="I117" s="93">
        <f t="shared" ref="I117:T117" si="21">SUM(I11:I116)</f>
        <v>73757.891461333318</v>
      </c>
      <c r="J117" s="93">
        <f t="shared" si="21"/>
        <v>64532.383981333325</v>
      </c>
      <c r="K117" s="93">
        <f t="shared" si="21"/>
        <v>75448.172722333315</v>
      </c>
      <c r="L117" s="93">
        <f t="shared" si="21"/>
        <v>63721.573750333322</v>
      </c>
      <c r="M117" s="93">
        <f t="shared" si="21"/>
        <v>172374.74356344444</v>
      </c>
      <c r="N117" s="93">
        <f t="shared" si="21"/>
        <v>69691.26361444444</v>
      </c>
      <c r="O117" s="93">
        <f t="shared" si="21"/>
        <v>52787.460814444436</v>
      </c>
      <c r="P117" s="93">
        <f t="shared" si="21"/>
        <v>50618.460814444436</v>
      </c>
      <c r="Q117" s="93">
        <f t="shared" si="21"/>
        <v>84842.849653444428</v>
      </c>
      <c r="R117" s="93">
        <f t="shared" si="21"/>
        <v>60904.12681444444</v>
      </c>
      <c r="S117" s="93">
        <f t="shared" si="21"/>
        <v>71487.354825333328</v>
      </c>
      <c r="T117" s="93">
        <f t="shared" si="21"/>
        <v>93667.206261333326</v>
      </c>
      <c r="U117" s="45">
        <f>U81+U114</f>
        <v>933833.48827666661</v>
      </c>
    </row>
    <row r="118" spans="1:21">
      <c r="A118" s="67"/>
      <c r="B118" s="67"/>
      <c r="C118" s="67"/>
      <c r="D118" s="67"/>
      <c r="E118" s="109"/>
      <c r="F118" s="109"/>
      <c r="G118" s="109"/>
      <c r="H118" s="109"/>
      <c r="I118" s="109"/>
      <c r="J118" s="109"/>
      <c r="K118" s="109"/>
      <c r="L118" s="109"/>
      <c r="M118" s="67"/>
      <c r="N118" s="109"/>
      <c r="O118" s="67"/>
      <c r="P118" s="67"/>
      <c r="Q118" s="67"/>
      <c r="R118" s="67"/>
      <c r="S118" s="67"/>
      <c r="T118" s="67"/>
      <c r="U118" s="67"/>
    </row>
    <row r="119" spans="1:21">
      <c r="A119" s="67"/>
      <c r="B119" s="67"/>
      <c r="C119" s="67"/>
      <c r="D119" s="67"/>
      <c r="E119" s="109"/>
      <c r="F119" s="109"/>
      <c r="G119" s="109"/>
      <c r="H119" s="109"/>
      <c r="I119" s="109"/>
      <c r="J119" s="110"/>
      <c r="K119" s="111"/>
      <c r="L119" s="110"/>
      <c r="M119" s="109"/>
      <c r="N119" s="67"/>
      <c r="O119" s="67"/>
      <c r="P119" s="67"/>
      <c r="Q119" s="67"/>
      <c r="R119" s="67"/>
      <c r="S119" s="67"/>
      <c r="T119" s="67"/>
      <c r="U119" s="67"/>
    </row>
    <row r="120" spans="1:21" ht="51.75" customHeight="1">
      <c r="A120" s="67"/>
      <c r="B120" s="116" t="s">
        <v>188</v>
      </c>
      <c r="C120" s="166">
        <v>186820.38</v>
      </c>
      <c r="D120" s="167"/>
      <c r="E120" s="167"/>
      <c r="F120" s="168"/>
      <c r="G120" s="109"/>
      <c r="H120" s="109"/>
      <c r="I120" s="109"/>
      <c r="J120" s="110"/>
      <c r="K120" s="111"/>
      <c r="L120" s="110"/>
      <c r="M120" s="109"/>
      <c r="N120" s="67"/>
      <c r="O120" s="67"/>
      <c r="P120" s="67"/>
      <c r="Q120" s="67"/>
      <c r="R120" s="67"/>
      <c r="S120" s="67"/>
      <c r="T120" s="67"/>
      <c r="U120" s="67"/>
    </row>
    <row r="121" spans="1:21" ht="33.75" customHeight="1">
      <c r="A121" s="67"/>
      <c r="B121" s="116" t="s">
        <v>190</v>
      </c>
      <c r="C121" s="166">
        <f>(71163.62*11)+66507.05</f>
        <v>849306.87</v>
      </c>
      <c r="D121" s="167"/>
      <c r="E121" s="167"/>
      <c r="F121" s="168"/>
      <c r="G121" s="109"/>
      <c r="H121" s="109"/>
      <c r="I121" s="109"/>
      <c r="J121" s="110"/>
      <c r="K121" s="111"/>
      <c r="L121" s="110"/>
      <c r="M121" s="109"/>
      <c r="N121" s="67"/>
      <c r="O121" s="67"/>
      <c r="P121" s="67"/>
      <c r="Q121" s="67"/>
      <c r="R121" s="67"/>
      <c r="S121" s="67"/>
      <c r="T121" s="67"/>
      <c r="U121" s="67"/>
    </row>
    <row r="122" spans="1:21" ht="33.75" customHeight="1">
      <c r="A122" s="67"/>
      <c r="B122" s="116" t="s">
        <v>191</v>
      </c>
      <c r="C122" s="166">
        <f>SUM(U117-U114)</f>
        <v>856913.98495666659</v>
      </c>
      <c r="D122" s="167"/>
      <c r="E122" s="167"/>
      <c r="F122" s="168"/>
      <c r="G122" s="109"/>
      <c r="H122" s="109"/>
      <c r="I122" s="109"/>
      <c r="J122" s="110"/>
      <c r="K122" s="111"/>
      <c r="L122" s="110"/>
      <c r="M122" s="109"/>
      <c r="N122" s="67"/>
      <c r="O122" s="67"/>
      <c r="P122" s="67"/>
      <c r="Q122" s="67"/>
      <c r="R122" s="67"/>
      <c r="S122" s="67"/>
      <c r="T122" s="67"/>
      <c r="U122" s="67"/>
    </row>
    <row r="123" spans="1:21" ht="33.75" customHeight="1">
      <c r="A123" s="67"/>
      <c r="B123" s="116" t="s">
        <v>192</v>
      </c>
      <c r="C123" s="166">
        <f>SUM(U114)</f>
        <v>76919.503320000003</v>
      </c>
      <c r="D123" s="167"/>
      <c r="E123" s="167"/>
      <c r="F123" s="168"/>
      <c r="G123" s="109"/>
      <c r="H123" s="109"/>
      <c r="I123" s="109"/>
      <c r="J123" s="110"/>
      <c r="K123" s="111"/>
      <c r="L123" s="110"/>
      <c r="M123" s="109"/>
      <c r="N123" s="67"/>
      <c r="O123" s="67"/>
      <c r="P123" s="67"/>
      <c r="Q123" s="67"/>
      <c r="R123" s="67"/>
      <c r="S123" s="67"/>
      <c r="T123" s="67"/>
      <c r="U123" s="67"/>
    </row>
    <row r="124" spans="1:21" ht="18">
      <c r="A124" s="67"/>
      <c r="B124" s="117" t="s">
        <v>193</v>
      </c>
      <c r="C124" s="166">
        <f>72246.55+53404.5+99353.44+61180.46+61727.39+59860.79+78882.54+60518.49+70096.68+80319.94+69974.74+84067.61</f>
        <v>851633.13</v>
      </c>
      <c r="D124" s="167"/>
      <c r="E124" s="167"/>
      <c r="F124" s="168"/>
      <c r="G124" s="67"/>
      <c r="I124" s="112" t="s">
        <v>93</v>
      </c>
      <c r="J124" s="113"/>
      <c r="K124" s="114"/>
      <c r="L124" s="115"/>
      <c r="M124" s="112"/>
      <c r="N124" s="112"/>
      <c r="O124" s="67"/>
      <c r="P124" s="67"/>
      <c r="Q124" s="67"/>
      <c r="R124" s="67"/>
      <c r="S124" s="67"/>
      <c r="T124" s="67"/>
      <c r="U124" s="67"/>
    </row>
    <row r="125" spans="1:21" ht="78.75">
      <c r="A125" s="67"/>
      <c r="B125" s="141" t="s">
        <v>246</v>
      </c>
      <c r="C125" s="172">
        <v>371565.8</v>
      </c>
      <c r="D125" s="173"/>
      <c r="E125" s="173"/>
      <c r="F125" s="174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</row>
    <row r="126" spans="1:21" ht="51.75" customHeight="1">
      <c r="A126" s="67"/>
      <c r="B126" s="116" t="s">
        <v>247</v>
      </c>
      <c r="C126" s="169">
        <f>(C122+C123-C121)+C120</f>
        <v>271346.99827666662</v>
      </c>
      <c r="D126" s="170"/>
      <c r="E126" s="170"/>
      <c r="F126" s="171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</row>
    <row r="128" spans="1:21">
      <c r="J128" s="3"/>
      <c r="K128" s="4"/>
      <c r="L128" s="4"/>
      <c r="M128" s="2"/>
    </row>
    <row r="129" spans="7:8">
      <c r="G129" s="5"/>
      <c r="H129" s="5"/>
    </row>
    <row r="130" spans="7:8">
      <c r="G130" s="6"/>
    </row>
  </sheetData>
  <mergeCells count="12">
    <mergeCell ref="B3:L3"/>
    <mergeCell ref="B4:L4"/>
    <mergeCell ref="B5:L5"/>
    <mergeCell ref="B6:L6"/>
    <mergeCell ref="X80:AA80"/>
    <mergeCell ref="C120:F120"/>
    <mergeCell ref="C126:F126"/>
    <mergeCell ref="C121:F121"/>
    <mergeCell ref="C122:F122"/>
    <mergeCell ref="C123:F123"/>
    <mergeCell ref="C124:F124"/>
    <mergeCell ref="C125:F125"/>
  </mergeCells>
  <printOptions horizontalCentered="1"/>
  <pageMargins left="0.11811023622047245" right="0.11811023622047245" top="0.15748031496062992" bottom="0.19685039370078741" header="0.15748031496062992" footer="0.15748031496062992"/>
  <pageSetup paperSize="9" scale="55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Косм.,5</vt:lpstr>
      <vt:lpstr>'Косм.,5'!Область_печати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Партнёр</dc:creator>
  <cp:lastModifiedBy>user</cp:lastModifiedBy>
  <cp:lastPrinted>2018-03-19T08:10:19Z</cp:lastPrinted>
  <dcterms:created xsi:type="dcterms:W3CDTF">2014-02-05T12:20:20Z</dcterms:created>
  <dcterms:modified xsi:type="dcterms:W3CDTF">2018-03-27T07:58:09Z</dcterms:modified>
</cp:coreProperties>
</file>