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'Шахт.,7'!$A$1:$U$116</definedName>
  </definedNames>
  <calcPr calcId="124519"/>
</workbook>
</file>

<file path=xl/calcChain.xml><?xml version="1.0" encoding="utf-8"?>
<calcChain xmlns="http://schemas.openxmlformats.org/spreadsheetml/2006/main">
  <c r="U104" i="1"/>
  <c r="U103"/>
  <c r="R103"/>
  <c r="H103"/>
  <c r="H104" s="1"/>
  <c r="T102" l="1"/>
  <c r="U102" s="1"/>
  <c r="H102"/>
  <c r="U101"/>
  <c r="Q101"/>
  <c r="H101"/>
  <c r="U100"/>
  <c r="S100"/>
  <c r="N100"/>
  <c r="H100"/>
  <c r="U99"/>
  <c r="T99"/>
  <c r="H99"/>
  <c r="N93"/>
  <c r="R93"/>
  <c r="O93"/>
  <c r="P93"/>
  <c r="Q93"/>
  <c r="T93"/>
  <c r="N87"/>
  <c r="O87"/>
  <c r="P87"/>
  <c r="Q87"/>
  <c r="R87"/>
  <c r="S87"/>
  <c r="T87"/>
  <c r="H87"/>
  <c r="R70"/>
  <c r="O89"/>
  <c r="R61"/>
  <c r="T88"/>
  <c r="T52"/>
  <c r="T40"/>
  <c r="S40"/>
  <c r="T35"/>
  <c r="S35"/>
  <c r="T32"/>
  <c r="U98"/>
  <c r="O98"/>
  <c r="H98"/>
  <c r="Q68"/>
  <c r="Q52"/>
  <c r="P51"/>
  <c r="Q32"/>
  <c r="N32"/>
  <c r="K32"/>
  <c r="R26"/>
  <c r="Q26"/>
  <c r="P26"/>
  <c r="O26"/>
  <c r="N26"/>
  <c r="M52"/>
  <c r="M27"/>
  <c r="F27"/>
  <c r="Q27" s="1"/>
  <c r="M26"/>
  <c r="H90"/>
  <c r="L97"/>
  <c r="U97" s="1"/>
  <c r="H97"/>
  <c r="L96"/>
  <c r="U96" s="1"/>
  <c r="H96"/>
  <c r="L95"/>
  <c r="U95" s="1"/>
  <c r="H95"/>
  <c r="U94"/>
  <c r="L94"/>
  <c r="H94"/>
  <c r="L88"/>
  <c r="U93"/>
  <c r="L93"/>
  <c r="H93"/>
  <c r="L92"/>
  <c r="U92" s="1"/>
  <c r="H92"/>
  <c r="L87"/>
  <c r="L40"/>
  <c r="L35"/>
  <c r="U32"/>
  <c r="F32"/>
  <c r="H32" s="1"/>
  <c r="K91"/>
  <c r="U91" s="1"/>
  <c r="H91"/>
  <c r="K87"/>
  <c r="K40"/>
  <c r="K35"/>
  <c r="F76"/>
  <c r="N76" s="1"/>
  <c r="U76" s="1"/>
  <c r="H76"/>
  <c r="J90"/>
  <c r="U90" s="1"/>
  <c r="J89"/>
  <c r="U89" s="1"/>
  <c r="H89"/>
  <c r="J88"/>
  <c r="U88" s="1"/>
  <c r="H88"/>
  <c r="J40"/>
  <c r="J35"/>
  <c r="I87"/>
  <c r="U87" s="1"/>
  <c r="U74"/>
  <c r="U72"/>
  <c r="U71"/>
  <c r="U70"/>
  <c r="U68"/>
  <c r="U62"/>
  <c r="U61"/>
  <c r="U58"/>
  <c r="U57"/>
  <c r="U52"/>
  <c r="U30"/>
  <c r="U29"/>
  <c r="U26"/>
  <c r="I51"/>
  <c r="U51" s="1"/>
  <c r="I40"/>
  <c r="U40" s="1"/>
  <c r="I35"/>
  <c r="U35" s="1"/>
  <c r="F59"/>
  <c r="H59" s="1"/>
  <c r="H58"/>
  <c r="H57"/>
  <c r="M59" l="1"/>
  <c r="N27"/>
  <c r="P27"/>
  <c r="R27"/>
  <c r="N59"/>
  <c r="P59"/>
  <c r="R59"/>
  <c r="T59"/>
  <c r="O27"/>
  <c r="O59"/>
  <c r="Q59"/>
  <c r="S59"/>
  <c r="K59"/>
  <c r="L59"/>
  <c r="J59"/>
  <c r="I59"/>
  <c r="U59" s="1"/>
  <c r="F44"/>
  <c r="F38"/>
  <c r="F36"/>
  <c r="H26"/>
  <c r="F16"/>
  <c r="S38" l="1"/>
  <c r="T38"/>
  <c r="T16"/>
  <c r="R16"/>
  <c r="P16"/>
  <c r="N16"/>
  <c r="S16"/>
  <c r="Q16"/>
  <c r="O16"/>
  <c r="M16"/>
  <c r="S36"/>
  <c r="T36"/>
  <c r="L44"/>
  <c r="R44"/>
  <c r="U27"/>
  <c r="I16"/>
  <c r="L16"/>
  <c r="J16"/>
  <c r="K16"/>
  <c r="I36"/>
  <c r="L36"/>
  <c r="K36"/>
  <c r="J36"/>
  <c r="I38"/>
  <c r="L38"/>
  <c r="K38"/>
  <c r="J38"/>
  <c r="U44" l="1"/>
  <c r="U38"/>
  <c r="U36"/>
  <c r="U16"/>
  <c r="F15"/>
  <c r="H36"/>
  <c r="H72"/>
  <c r="F47"/>
  <c r="R47" s="1"/>
  <c r="T15" l="1"/>
  <c r="Q15"/>
  <c r="O15"/>
  <c r="M15"/>
  <c r="S15"/>
  <c r="R15"/>
  <c r="P15"/>
  <c r="N15"/>
  <c r="I15"/>
  <c r="L15"/>
  <c r="K15"/>
  <c r="J15"/>
  <c r="H47"/>
  <c r="L47"/>
  <c r="U47" s="1"/>
  <c r="H71"/>
  <c r="F52"/>
  <c r="U15" l="1"/>
  <c r="F14"/>
  <c r="N14" s="1"/>
  <c r="U14" s="1"/>
  <c r="F17"/>
  <c r="N17" s="1"/>
  <c r="U17" s="1"/>
  <c r="F18"/>
  <c r="N18" s="1"/>
  <c r="U18" s="1"/>
  <c r="F19"/>
  <c r="N19" s="1"/>
  <c r="U19" s="1"/>
  <c r="F107" l="1"/>
  <c r="H106"/>
  <c r="E79"/>
  <c r="H83" s="1"/>
  <c r="F77"/>
  <c r="H74"/>
  <c r="H70"/>
  <c r="H68"/>
  <c r="F67"/>
  <c r="F66"/>
  <c r="F65"/>
  <c r="F64"/>
  <c r="F63"/>
  <c r="H62"/>
  <c r="H61"/>
  <c r="F55"/>
  <c r="H52"/>
  <c r="H51"/>
  <c r="F50"/>
  <c r="P50" s="1"/>
  <c r="F49"/>
  <c r="P49" s="1"/>
  <c r="F48"/>
  <c r="F46"/>
  <c r="R46" s="1"/>
  <c r="F45"/>
  <c r="R45" s="1"/>
  <c r="H44"/>
  <c r="F43"/>
  <c r="R43" s="1"/>
  <c r="H40"/>
  <c r="F39"/>
  <c r="H38"/>
  <c r="F37"/>
  <c r="H35"/>
  <c r="F31"/>
  <c r="H30"/>
  <c r="H29"/>
  <c r="F28"/>
  <c r="H27"/>
  <c r="F25"/>
  <c r="F24"/>
  <c r="F23"/>
  <c r="F20"/>
  <c r="H18"/>
  <c r="H17"/>
  <c r="H14"/>
  <c r="E13"/>
  <c r="F13" s="1"/>
  <c r="F12"/>
  <c r="F11"/>
  <c r="T11" l="1"/>
  <c r="Q11"/>
  <c r="O11"/>
  <c r="S11"/>
  <c r="R11"/>
  <c r="P11"/>
  <c r="N11"/>
  <c r="M11"/>
  <c r="H24"/>
  <c r="R24"/>
  <c r="P24"/>
  <c r="N24"/>
  <c r="Q24"/>
  <c r="O24"/>
  <c r="M24"/>
  <c r="T12"/>
  <c r="R12"/>
  <c r="P12"/>
  <c r="N12"/>
  <c r="M12"/>
  <c r="S12"/>
  <c r="Q12"/>
  <c r="O12"/>
  <c r="H23"/>
  <c r="Q23"/>
  <c r="O23"/>
  <c r="M23"/>
  <c r="R23"/>
  <c r="P23"/>
  <c r="N23"/>
  <c r="H25"/>
  <c r="M25"/>
  <c r="U25" s="1"/>
  <c r="T28"/>
  <c r="R28"/>
  <c r="P28"/>
  <c r="N28"/>
  <c r="S28"/>
  <c r="Q28"/>
  <c r="O28"/>
  <c r="M28"/>
  <c r="S55"/>
  <c r="T55"/>
  <c r="H64"/>
  <c r="M64"/>
  <c r="U64" s="1"/>
  <c r="H66"/>
  <c r="M66"/>
  <c r="U66" s="1"/>
  <c r="T13"/>
  <c r="Q13"/>
  <c r="O13"/>
  <c r="S13"/>
  <c r="R13"/>
  <c r="P13"/>
  <c r="N13"/>
  <c r="M13"/>
  <c r="H20"/>
  <c r="N20"/>
  <c r="U20" s="1"/>
  <c r="T31"/>
  <c r="Q31"/>
  <c r="O31"/>
  <c r="M31"/>
  <c r="S31"/>
  <c r="R31"/>
  <c r="P31"/>
  <c r="N31"/>
  <c r="S37"/>
  <c r="T37"/>
  <c r="S39"/>
  <c r="T39"/>
  <c r="T48"/>
  <c r="Q48"/>
  <c r="M48"/>
  <c r="H63"/>
  <c r="M63"/>
  <c r="U63" s="1"/>
  <c r="H65"/>
  <c r="M65"/>
  <c r="U65" s="1"/>
  <c r="H67"/>
  <c r="M67"/>
  <c r="U67" s="1"/>
  <c r="S77"/>
  <c r="R77"/>
  <c r="P77"/>
  <c r="N77"/>
  <c r="T77"/>
  <c r="Q77"/>
  <c r="O77"/>
  <c r="M77"/>
  <c r="I13"/>
  <c r="J13"/>
  <c r="L13"/>
  <c r="K13"/>
  <c r="L12"/>
  <c r="K12"/>
  <c r="J12"/>
  <c r="I28"/>
  <c r="K28"/>
  <c r="J28"/>
  <c r="L28"/>
  <c r="H46"/>
  <c r="L46"/>
  <c r="U46" s="1"/>
  <c r="L55"/>
  <c r="K55"/>
  <c r="J55"/>
  <c r="I11"/>
  <c r="J11"/>
  <c r="L11"/>
  <c r="K11"/>
  <c r="L31"/>
  <c r="K31"/>
  <c r="J31"/>
  <c r="K37"/>
  <c r="J37"/>
  <c r="L37"/>
  <c r="K39"/>
  <c r="J39"/>
  <c r="L39"/>
  <c r="H43"/>
  <c r="L43"/>
  <c r="U43" s="1"/>
  <c r="H45"/>
  <c r="L45"/>
  <c r="U45" s="1"/>
  <c r="I48"/>
  <c r="J48"/>
  <c r="I77"/>
  <c r="L77"/>
  <c r="K77"/>
  <c r="J77"/>
  <c r="H31"/>
  <c r="I31"/>
  <c r="H37"/>
  <c r="I37"/>
  <c r="H39"/>
  <c r="I39"/>
  <c r="H50"/>
  <c r="I50"/>
  <c r="U50" s="1"/>
  <c r="I12"/>
  <c r="U12" s="1"/>
  <c r="H49"/>
  <c r="I49"/>
  <c r="H55"/>
  <c r="H75" s="1"/>
  <c r="I55"/>
  <c r="H77"/>
  <c r="H78" s="1"/>
  <c r="H28"/>
  <c r="H33" s="1"/>
  <c r="H48"/>
  <c r="H11"/>
  <c r="H12"/>
  <c r="H16"/>
  <c r="H13"/>
  <c r="H15"/>
  <c r="F79"/>
  <c r="H19"/>
  <c r="H41"/>
  <c r="S79" l="1"/>
  <c r="Q79"/>
  <c r="O79"/>
  <c r="M79"/>
  <c r="T79"/>
  <c r="R79"/>
  <c r="R107" s="1"/>
  <c r="P79"/>
  <c r="N79"/>
  <c r="U48"/>
  <c r="U23"/>
  <c r="U24"/>
  <c r="N107"/>
  <c r="O107"/>
  <c r="T107"/>
  <c r="M107"/>
  <c r="P107"/>
  <c r="S107"/>
  <c r="Q107"/>
  <c r="U55"/>
  <c r="U75" s="1"/>
  <c r="I79"/>
  <c r="J79"/>
  <c r="L79"/>
  <c r="K79"/>
  <c r="K107" s="1"/>
  <c r="U39"/>
  <c r="H53"/>
  <c r="U37"/>
  <c r="U31"/>
  <c r="U77"/>
  <c r="U78" s="1"/>
  <c r="L107"/>
  <c r="U11"/>
  <c r="U13"/>
  <c r="U49"/>
  <c r="U53" s="1"/>
  <c r="J107"/>
  <c r="U28"/>
  <c r="H79"/>
  <c r="H80" s="1"/>
  <c r="C113"/>
  <c r="H21"/>
  <c r="U41" l="1"/>
  <c r="U21"/>
  <c r="U33"/>
  <c r="U79"/>
  <c r="U80" s="1"/>
  <c r="I107"/>
  <c r="H81"/>
  <c r="H84" s="1"/>
  <c r="G107" s="1"/>
  <c r="H107" s="1"/>
  <c r="U81" l="1"/>
  <c r="U107" s="1"/>
  <c r="C112" s="1"/>
  <c r="C116" l="1"/>
</calcChain>
</file>

<file path=xl/sharedStrings.xml><?xml version="1.0" encoding="utf-8"?>
<sst xmlns="http://schemas.openxmlformats.org/spreadsheetml/2006/main" count="316" uniqueCount="239">
  <si>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</si>
  <si>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</si>
  <si>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</si>
  <si>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</si>
  <si>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</si>
  <si>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</si>
  <si>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</si>
  <si>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</si>
  <si>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</si>
  <si>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</si>
  <si>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</si>
  <si>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</si>
  <si>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</si>
  <si>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</si>
  <si>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</si>
  <si>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</si>
  <si>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</si>
  <si>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</si>
  <si>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</si>
  <si>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</si>
  <si>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</si>
  <si>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</si>
  <si>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</si>
  <si>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</si>
  <si>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</si>
  <si>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</si>
  <si>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</si>
  <si>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</si>
  <si>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</si>
  <si>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</si>
  <si>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</si>
  <si>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</si>
  <si>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</si>
  <si>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</si>
  <si>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</si>
  <si>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</si>
  <si>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</si>
  <si>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</si>
  <si>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</si>
  <si>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</si>
  <si>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</si>
  <si>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</si>
  <si>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</si>
  <si>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</si>
  <si>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</si>
  <si>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</si>
  <si>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</si>
  <si>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</si>
  <si>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</si>
  <si>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</si>
  <si>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</si>
  <si>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</si>
  <si>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</si>
  <si>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</si>
  <si>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</si>
  <si>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</si>
  <si>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</si>
  <si>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</si>
  <si>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</si>
  <si>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</si>
  <si>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</si>
  <si>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</si>
  <si>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</si>
  <si>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</si>
  <si>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</si>
  <si>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</si>
  <si>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</si>
  <si>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</si>
  <si>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</si>
  <si>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</si>
  <si>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</si>
  <si>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</si>
  <si>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</si>
  <si>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</si>
  <si>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</si>
  <si>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</si>
  <si>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</si>
  <si>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</si>
  <si>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</si>
  <si>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</si>
  <si>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</si>
  <si>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</si>
  <si>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</si>
  <si>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</si>
  <si>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</si>
  <si>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</si>
  <si>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</si>
  <si>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</si>
  <si>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</si>
  <si>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</si>
  <si>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</si>
  <si>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</si>
  <si>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</si>
  <si>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</si>
  <si>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</si>
  <si>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</si>
  <si>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</si>
  <si>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</si>
  <si>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</si>
  <si>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</si>
  <si>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</si>
  <si>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</si>
  <si>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</si>
  <si>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</si>
  <si>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</si>
  <si>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</si>
  <si>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</si>
  <si>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</si>
  <si>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</si>
  <si>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</si>
  <si>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</si>
  <si>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</si>
  <si>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</si>
  <si>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</si>
  <si>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</si>
  <si>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</si>
  <si>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</si>
  <si>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</si>
  <si>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</si>
  <si>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</si>
  <si>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</si>
  <si>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</si>
  <si>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</si>
  <si>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</si>
  <si>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</si>
  <si>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</si>
  <si>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</si>
  <si>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</si>
  <si>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</si>
  <si>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</si>
  <si>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</si>
  <si>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</si>
  <si>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</si>
  <si>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</si>
  <si>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</si>
  <si>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</si>
  <si>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</si>
  <si>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</si>
  <si>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</si>
  <si>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</si>
  <si>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</si>
  <si>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</si>
  <si>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</si>
  <si>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</si>
  <si>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</si>
  <si>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</si>
  <si>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</si>
  <si>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</si>
  <si>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</si>
  <si>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</si>
  <si>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</si>
  <si>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</si>
  <si>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</si>
  <si>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</si>
  <si>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</si>
  <si>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 3-7-1в</t>
  </si>
  <si>
    <t>Осмотр шиферной  кровли</t>
  </si>
  <si>
    <t>ТЭР 42-003</t>
  </si>
  <si>
    <t>Осмотр деревянных конструкций стропил</t>
  </si>
  <si>
    <t>100 м3</t>
  </si>
  <si>
    <t>Замена ламп ДРЛ</t>
  </si>
  <si>
    <t xml:space="preserve">1 раз в месяц </t>
  </si>
  <si>
    <t>1 раз в месяц</t>
  </si>
  <si>
    <t>ТЭР 55-003</t>
  </si>
  <si>
    <t>Очистка урн от мусора</t>
  </si>
  <si>
    <t>20 раз за сезон</t>
  </si>
  <si>
    <t>50 раз за сезон</t>
  </si>
  <si>
    <t>Очистка чердака от мусора</t>
  </si>
  <si>
    <t>Очистка подвала от мусора</t>
  </si>
  <si>
    <t>Дератизация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</si>
  <si>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</si>
  <si>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</si>
  <si>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</si>
  <si>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</si>
  <si>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</si>
  <si>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</si>
  <si>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</si>
  <si>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</si>
  <si>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</si>
  <si>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</si>
  <si>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</si>
  <si>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</si>
  <si>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г.( -долг за предприятием, +долг за населением)</t>
  </si>
  <si>
    <t>Снятие показаний эл.счетчика коммунального назначения</t>
  </si>
  <si>
    <t>С учетом показателя инфляции ( К=1,064)</t>
  </si>
  <si>
    <t>калькуляция</t>
  </si>
  <si>
    <t>Работа автовышки</t>
  </si>
  <si>
    <t>маш/час</t>
  </si>
  <si>
    <t>Смена дверных приборов /замки навесные)</t>
  </si>
  <si>
    <t>ТЭР 15-051</t>
  </si>
  <si>
    <t>смета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</si>
  <si>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11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</si>
  <si>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4 подъезда</t>
  </si>
  <si>
    <t>Стоимость (руб.)</t>
  </si>
  <si>
    <t>договор</t>
  </si>
  <si>
    <t>ТО внутридомового газ.оборудования</t>
  </si>
  <si>
    <t>10 м</t>
  </si>
  <si>
    <t>Ремонт дверных коробок в каменных стенах выправка, укрепление, пристрожка четвертей</t>
  </si>
  <si>
    <t>коробка</t>
  </si>
  <si>
    <t>ТЭР 15-049</t>
  </si>
  <si>
    <t>прим. ТЭР 53-021</t>
  </si>
  <si>
    <t>Дополнительная подборка мусора</t>
  </si>
  <si>
    <t>Внеплановый осмотр электросетей, арматуры и электрооборудования на лестничных клетках</t>
  </si>
  <si>
    <t>Ремонт групповых щитков на лестничной клетке без ремонта автоматов</t>
  </si>
  <si>
    <t>ТЭР 33-030</t>
  </si>
  <si>
    <t>Демонтаж кабеля</t>
  </si>
  <si>
    <t>ТЭР 33-012</t>
  </si>
  <si>
    <t>ТЭР 33-017</t>
  </si>
  <si>
    <t>Демонтаж осветительных приборов</t>
  </si>
  <si>
    <t>Установка насоса в подвале для откачки воды</t>
  </si>
  <si>
    <t>подвал</t>
  </si>
  <si>
    <t>ТЭР 31-055</t>
  </si>
  <si>
    <t>Обслуживание насоса во время откачки воды</t>
  </si>
  <si>
    <t>1 мЗ</t>
  </si>
  <si>
    <t>ТЭР 31-056</t>
  </si>
  <si>
    <t>Монтаж светодиодных светильников наружного освещения (3 шт.)</t>
  </si>
  <si>
    <t>10 шт.</t>
  </si>
  <si>
    <t>С учетом показателя инфляции     ( К=1,064)</t>
  </si>
  <si>
    <t>Монтаж общедомового узла учета</t>
  </si>
  <si>
    <t>тыс. руб.</t>
  </si>
  <si>
    <t>Начислено за содержание и текущий ремонт за 2015  г.</t>
  </si>
  <si>
    <t>Выполнено работ по содержанию за 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</si>
  <si>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</si>
  <si>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</si>
  <si>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</si>
  <si>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</si>
  <si>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ТЭР 33-037</t>
  </si>
  <si>
    <t>Ремонт силового предохранительного шкафа (без стоимости материалов)</t>
  </si>
  <si>
    <t>ТЭР 33-032</t>
  </si>
  <si>
    <t>Смена арматуры - вентилей и клапанов обратных муфтовых диаметром до 20 мм</t>
  </si>
  <si>
    <t>1 шт</t>
  </si>
  <si>
    <t>ТЭР 32-027</t>
  </si>
  <si>
    <t>место</t>
  </si>
  <si>
    <t>ТЭР 32-098</t>
  </si>
  <si>
    <t>Ремонт внутренних трубопроводов и стояков д=до 50 мм (хомуты)</t>
  </si>
  <si>
    <t>ТЭР 33-023</t>
  </si>
  <si>
    <t>Смена светильников с лампами накаливания   (2 под.)</t>
  </si>
  <si>
    <t>Укрепление оконных и дверных приборов - пружин, ручек, петель, шпингалетов</t>
  </si>
  <si>
    <t>ТЭР 15-046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</si>
</sst>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0" fillId="8" borderId="0" xfId="0" applyFill="1" applyBorder="1"/>
    <xf numFmtId="0" fontId="0" fillId="2" borderId="0" xfId="0" applyFill="1" applyBorder="1"/>
    <xf numFmtId="0" fontId="0" fillId="9" borderId="0" xfId="0" applyFill="1" applyBorder="1"/>
    <xf numFmtId="0" fontId="0" fillId="3" borderId="0" xfId="0" applyFill="1" applyBorder="1"/>
    <xf numFmtId="0" fontId="0" fillId="5" borderId="0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0" xfId="0" applyFont="1"/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2" fillId="8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8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4" fontId="4" fillId="12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4" fontId="2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>
      <alignment horizontal="left" vertical="center" wrapText="1"/>
    </xf>
    <xf numFmtId="4" fontId="2" fillId="4" borderId="12" xfId="0" applyNumberFormat="1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 wrapText="1"/>
    </xf>
    <xf numFmtId="0" fontId="2" fillId="13" borderId="3" xfId="0" applyNumberFormat="1" applyFont="1" applyFill="1" applyBorder="1" applyAlignment="1" applyProtection="1">
      <alignment horizontal="left" vertical="center"/>
    </xf>
    <xf numFmtId="0" fontId="2" fillId="13" borderId="3" xfId="0" applyNumberFormat="1" applyFont="1" applyFill="1" applyBorder="1" applyAlignment="1" applyProtection="1">
      <alignment horizontal="center" vertical="center" wrapText="1"/>
    </xf>
    <xf numFmtId="0" fontId="2" fillId="13" borderId="3" xfId="0" applyNumberFormat="1" applyFont="1" applyFill="1" applyBorder="1" applyAlignment="1" applyProtection="1">
      <alignment horizontal="left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4" borderId="15" xfId="0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0" fontId="2" fillId="13" borderId="3" xfId="0" applyNumberFormat="1" applyFont="1" applyFill="1" applyBorder="1" applyAlignment="1" applyProtection="1">
      <alignment horizontal="center" vertical="center"/>
    </xf>
    <xf numFmtId="4" fontId="2" fillId="4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 wrapText="1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20"/>
  <sheetViews>
    <sheetView tabSelected="1" view="pageBreakPreview" zoomScaleNormal="75" zoomScaleSheetLayoutView="100" workbookViewId="0">
      <pane ySplit="7" topLeftCell="A96" activePane="bottomLeft" state="frozen"/>
      <selection activeCell="B1" sqref="B1"/>
      <selection pane="bottomLeft" activeCell="V103" sqref="V103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10" width="10" customWidth="1"/>
    <col min="11" max="11" width="9.7109375" customWidth="1"/>
    <col min="12" max="12" width="9.5703125" customWidth="1"/>
    <col min="13" max="13" width="10" customWidth="1"/>
    <col min="14" max="14" width="9.7109375" customWidth="1"/>
    <col min="15" max="15" width="9.85546875" customWidth="1"/>
    <col min="16" max="16" width="10.140625" customWidth="1"/>
    <col min="17" max="17" width="10.28515625" customWidth="1"/>
    <col min="18" max="18" width="10" customWidth="1"/>
    <col min="19" max="19" width="10.140625" customWidth="1"/>
    <col min="20" max="20" width="10" customWidth="1"/>
    <col min="21" max="21" width="11.85546875" customWidth="1"/>
  </cols>
  <sheetData>
    <row r="1" spans="1:23" ht="14.25" customHeight="1">
      <c r="A1" s="11"/>
    </row>
    <row r="3" spans="1:23" ht="18">
      <c r="A3" s="1"/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23" ht="34.5" customHeight="1">
      <c r="B4" s="177" t="s">
        <v>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23" ht="18">
      <c r="B5" s="177" t="s">
        <v>191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23" ht="14.25">
      <c r="B6" s="178" t="s">
        <v>192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23" ht="54.75" customHeight="1">
      <c r="A7" s="35" t="s">
        <v>2</v>
      </c>
      <c r="B7" s="35" t="s">
        <v>3</v>
      </c>
      <c r="C7" s="35" t="s">
        <v>4</v>
      </c>
      <c r="D7" s="35" t="s">
        <v>5</v>
      </c>
      <c r="E7" s="35" t="s">
        <v>6</v>
      </c>
      <c r="F7" s="35" t="s">
        <v>7</v>
      </c>
      <c r="G7" s="35" t="s">
        <v>8</v>
      </c>
      <c r="H7" s="36" t="s">
        <v>9</v>
      </c>
      <c r="I7" s="27" t="s">
        <v>170</v>
      </c>
      <c r="J7" s="27" t="s">
        <v>171</v>
      </c>
      <c r="K7" s="27" t="s">
        <v>172</v>
      </c>
      <c r="L7" s="27" t="s">
        <v>173</v>
      </c>
      <c r="M7" s="27" t="s">
        <v>174</v>
      </c>
      <c r="N7" s="28" t="s">
        <v>175</v>
      </c>
      <c r="O7" s="28" t="s">
        <v>176</v>
      </c>
      <c r="P7" s="28" t="s">
        <v>177</v>
      </c>
      <c r="Q7" s="28" t="s">
        <v>178</v>
      </c>
      <c r="R7" s="28" t="s">
        <v>179</v>
      </c>
      <c r="S7" s="28" t="s">
        <v>180</v>
      </c>
      <c r="T7" s="28" t="s">
        <v>181</v>
      </c>
      <c r="U7" s="28" t="s">
        <v>193</v>
      </c>
      <c r="V7" s="29"/>
      <c r="W7" s="29"/>
    </row>
    <row r="8" spans="1:23">
      <c r="A8" s="37">
        <v>1</v>
      </c>
      <c r="B8" s="8">
        <v>2</v>
      </c>
      <c r="C8" s="37">
        <v>3</v>
      </c>
      <c r="D8" s="8">
        <v>4</v>
      </c>
      <c r="E8" s="8">
        <v>5</v>
      </c>
      <c r="F8" s="37">
        <v>6</v>
      </c>
      <c r="G8" s="37">
        <v>7</v>
      </c>
      <c r="H8" s="38">
        <v>8</v>
      </c>
      <c r="I8" s="39">
        <v>10</v>
      </c>
      <c r="J8" s="39">
        <v>11</v>
      </c>
      <c r="K8" s="39">
        <v>12</v>
      </c>
      <c r="L8" s="39">
        <v>13</v>
      </c>
      <c r="M8" s="40">
        <v>14</v>
      </c>
      <c r="N8" s="39">
        <v>15</v>
      </c>
      <c r="O8" s="39">
        <v>16</v>
      </c>
      <c r="P8" s="39">
        <v>17</v>
      </c>
      <c r="Q8" s="39">
        <v>18</v>
      </c>
      <c r="R8" s="39">
        <v>19</v>
      </c>
      <c r="S8" s="39">
        <v>20</v>
      </c>
      <c r="T8" s="39">
        <v>21</v>
      </c>
      <c r="U8" s="39">
        <v>22</v>
      </c>
      <c r="V8" s="30"/>
      <c r="W8" s="29"/>
    </row>
    <row r="9" spans="1:23" ht="38.25">
      <c r="A9" s="37"/>
      <c r="B9" s="10" t="s">
        <v>10</v>
      </c>
      <c r="C9" s="37"/>
      <c r="D9" s="12"/>
      <c r="E9" s="12"/>
      <c r="F9" s="37"/>
      <c r="G9" s="37"/>
      <c r="H9" s="41"/>
      <c r="I9" s="42"/>
      <c r="J9" s="42"/>
      <c r="K9" s="42"/>
      <c r="L9" s="42"/>
      <c r="M9" s="43"/>
      <c r="N9" s="44"/>
      <c r="O9" s="44"/>
      <c r="P9" s="44"/>
      <c r="Q9" s="44"/>
      <c r="R9" s="44"/>
      <c r="S9" s="44"/>
      <c r="T9" s="44"/>
      <c r="U9" s="44"/>
      <c r="V9" s="30"/>
      <c r="W9" s="29"/>
    </row>
    <row r="10" spans="1:23">
      <c r="A10" s="37"/>
      <c r="B10" s="10" t="s">
        <v>11</v>
      </c>
      <c r="C10" s="37"/>
      <c r="D10" s="12"/>
      <c r="E10" s="12"/>
      <c r="F10" s="37"/>
      <c r="G10" s="37"/>
      <c r="H10" s="41"/>
      <c r="I10" s="42"/>
      <c r="J10" s="42"/>
      <c r="K10" s="42"/>
      <c r="L10" s="42"/>
      <c r="M10" s="43"/>
      <c r="N10" s="44"/>
      <c r="O10" s="44"/>
      <c r="P10" s="44"/>
      <c r="Q10" s="44"/>
      <c r="R10" s="44"/>
      <c r="S10" s="44"/>
      <c r="T10" s="44"/>
      <c r="U10" s="44"/>
      <c r="V10" s="30"/>
      <c r="W10" s="29"/>
    </row>
    <row r="11" spans="1:23" ht="25.5">
      <c r="A11" s="37" t="s">
        <v>12</v>
      </c>
      <c r="B11" s="12" t="s">
        <v>13</v>
      </c>
      <c r="C11" s="37" t="s">
        <v>14</v>
      </c>
      <c r="D11" s="12" t="s">
        <v>15</v>
      </c>
      <c r="E11" s="45">
        <v>66</v>
      </c>
      <c r="F11" s="46">
        <f>SUM(E11*156/100)</f>
        <v>102.96</v>
      </c>
      <c r="G11" s="46">
        <v>175.38</v>
      </c>
      <c r="H11" s="47">
        <f t="shared" ref="H11:H20" si="0">SUM(F11*G11/1000)</f>
        <v>18.057124799999997</v>
      </c>
      <c r="I11" s="48">
        <f>F11/12*G11</f>
        <v>1504.7603999999999</v>
      </c>
      <c r="J11" s="48">
        <f>F11/12*G11</f>
        <v>1504.7603999999999</v>
      </c>
      <c r="K11" s="48">
        <f>F11/12*G11</f>
        <v>1504.7603999999999</v>
      </c>
      <c r="L11" s="48">
        <f>F11/12*G11</f>
        <v>1504.7603999999999</v>
      </c>
      <c r="M11" s="48">
        <f>F11/12*G11</f>
        <v>1504.7603999999999</v>
      </c>
      <c r="N11" s="48">
        <f>F11/12*G11</f>
        <v>1504.7603999999999</v>
      </c>
      <c r="O11" s="48">
        <f>F11/12*G11</f>
        <v>1504.7603999999999</v>
      </c>
      <c r="P11" s="48">
        <f>F11/12*G11</f>
        <v>1504.7603999999999</v>
      </c>
      <c r="Q11" s="48">
        <f>F11/12*G11</f>
        <v>1504.7603999999999</v>
      </c>
      <c r="R11" s="48">
        <f>F11/12*G11</f>
        <v>1504.7603999999999</v>
      </c>
      <c r="S11" s="48">
        <f>F11/12*G11</f>
        <v>1504.7603999999999</v>
      </c>
      <c r="T11" s="48">
        <f>F11/12*G11</f>
        <v>1504.7603999999999</v>
      </c>
      <c r="U11" s="48">
        <f t="shared" ref="U11:U20" si="1">SUM(I11:T11)</f>
        <v>18057.124799999994</v>
      </c>
      <c r="V11" s="30"/>
      <c r="W11" s="29"/>
    </row>
    <row r="12" spans="1:23" ht="25.5">
      <c r="A12" s="37" t="s">
        <v>12</v>
      </c>
      <c r="B12" s="12" t="s">
        <v>16</v>
      </c>
      <c r="C12" s="37" t="s">
        <v>14</v>
      </c>
      <c r="D12" s="12" t="s">
        <v>17</v>
      </c>
      <c r="E12" s="45">
        <v>264</v>
      </c>
      <c r="F12" s="46">
        <f>SUM(E12*104/100)</f>
        <v>274.56</v>
      </c>
      <c r="G12" s="46">
        <v>175.38</v>
      </c>
      <c r="H12" s="47">
        <f t="shared" si="0"/>
        <v>48.152332799999996</v>
      </c>
      <c r="I12" s="48">
        <f>F12/12*G12</f>
        <v>4012.6943999999999</v>
      </c>
      <c r="J12" s="48">
        <f>F12/12*G12</f>
        <v>4012.6943999999999</v>
      </c>
      <c r="K12" s="48">
        <f>F12/12*G12</f>
        <v>4012.6943999999999</v>
      </c>
      <c r="L12" s="48">
        <f>F12/12*G12</f>
        <v>4012.6943999999999</v>
      </c>
      <c r="M12" s="48">
        <f>F12/12*G12</f>
        <v>4012.6943999999999</v>
      </c>
      <c r="N12" s="48">
        <f>F12/12*G12</f>
        <v>4012.6943999999999</v>
      </c>
      <c r="O12" s="48">
        <f>F12/12*G12</f>
        <v>4012.6943999999999</v>
      </c>
      <c r="P12" s="48">
        <f>F12/12*G12</f>
        <v>4012.6943999999999</v>
      </c>
      <c r="Q12" s="48">
        <f>F12/12*G12</f>
        <v>4012.6943999999999</v>
      </c>
      <c r="R12" s="48">
        <f>F12/12*G12</f>
        <v>4012.6943999999999</v>
      </c>
      <c r="S12" s="48">
        <f>F12/12*G12</f>
        <v>4012.6943999999999</v>
      </c>
      <c r="T12" s="48">
        <f>F12/12*G12</f>
        <v>4012.6943999999999</v>
      </c>
      <c r="U12" s="48">
        <f t="shared" si="1"/>
        <v>48152.332799999996</v>
      </c>
      <c r="V12" s="30"/>
      <c r="W12" s="29"/>
    </row>
    <row r="13" spans="1:23" ht="25.5">
      <c r="A13" s="37" t="s">
        <v>18</v>
      </c>
      <c r="B13" s="12" t="s">
        <v>19</v>
      </c>
      <c r="C13" s="37" t="s">
        <v>14</v>
      </c>
      <c r="D13" s="12" t="s">
        <v>20</v>
      </c>
      <c r="E13" s="45">
        <f>SUM(E11+E12)</f>
        <v>330</v>
      </c>
      <c r="F13" s="46">
        <f>SUM(E13*24/100)</f>
        <v>79.2</v>
      </c>
      <c r="G13" s="46">
        <v>504.5</v>
      </c>
      <c r="H13" s="47">
        <f t="shared" si="0"/>
        <v>39.956400000000002</v>
      </c>
      <c r="I13" s="48">
        <f>F13/12*G13</f>
        <v>3329.7000000000003</v>
      </c>
      <c r="J13" s="48">
        <f>F13/12*G13</f>
        <v>3329.7000000000003</v>
      </c>
      <c r="K13" s="48">
        <f>F13/12*G13</f>
        <v>3329.7000000000003</v>
      </c>
      <c r="L13" s="48">
        <f>F13/12*G13</f>
        <v>3329.7000000000003</v>
      </c>
      <c r="M13" s="48">
        <f>F13/12*G13</f>
        <v>3329.7000000000003</v>
      </c>
      <c r="N13" s="48">
        <f>F13/12*G13</f>
        <v>3329.7000000000003</v>
      </c>
      <c r="O13" s="48">
        <f>F13/12*G13</f>
        <v>3329.7000000000003</v>
      </c>
      <c r="P13" s="48">
        <f>F13/12*G13</f>
        <v>3329.7000000000003</v>
      </c>
      <c r="Q13" s="48">
        <f>F13/12*G13</f>
        <v>3329.7000000000003</v>
      </c>
      <c r="R13" s="48">
        <f>F13/12*G13</f>
        <v>3329.7000000000003</v>
      </c>
      <c r="S13" s="48">
        <f>F13/12*G13</f>
        <v>3329.7000000000003</v>
      </c>
      <c r="T13" s="48">
        <f>F13/12*G13</f>
        <v>3329.7000000000003</v>
      </c>
      <c r="U13" s="48">
        <f t="shared" si="1"/>
        <v>39956.399999999994</v>
      </c>
      <c r="V13" s="30"/>
      <c r="W13" s="29"/>
    </row>
    <row r="14" spans="1:23">
      <c r="A14" s="37" t="s">
        <v>21</v>
      </c>
      <c r="B14" s="12" t="s">
        <v>22</v>
      </c>
      <c r="C14" s="37" t="s">
        <v>23</v>
      </c>
      <c r="D14" s="12" t="s">
        <v>145</v>
      </c>
      <c r="E14" s="45">
        <v>28.16</v>
      </c>
      <c r="F14" s="46">
        <f>SUM(E14/10)</f>
        <v>2.8159999999999998</v>
      </c>
      <c r="G14" s="46">
        <v>170.16</v>
      </c>
      <c r="H14" s="47">
        <f t="shared" si="0"/>
        <v>0.47917055999999997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>F14*G14</f>
        <v>479.17055999999997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f t="shared" si="1"/>
        <v>479.17055999999997</v>
      </c>
      <c r="V14" s="30"/>
      <c r="W14" s="29"/>
    </row>
    <row r="15" spans="1:23">
      <c r="A15" s="37" t="s">
        <v>24</v>
      </c>
      <c r="B15" s="12" t="s">
        <v>25</v>
      </c>
      <c r="C15" s="37" t="s">
        <v>14</v>
      </c>
      <c r="D15" s="12" t="s">
        <v>161</v>
      </c>
      <c r="E15" s="45">
        <v>14</v>
      </c>
      <c r="F15" s="46">
        <f>SUM(E15*12/100)</f>
        <v>1.68</v>
      </c>
      <c r="G15" s="46">
        <v>217.88</v>
      </c>
      <c r="H15" s="47">
        <f t="shared" si="0"/>
        <v>0.36603839999999999</v>
      </c>
      <c r="I15" s="48">
        <f>F15/12*G15</f>
        <v>30.503199999999996</v>
      </c>
      <c r="J15" s="48">
        <f>F15/12*G15</f>
        <v>30.503199999999996</v>
      </c>
      <c r="K15" s="48">
        <f>F15/12*G15</f>
        <v>30.503199999999996</v>
      </c>
      <c r="L15" s="48">
        <f>F15/12*G15</f>
        <v>30.503199999999996</v>
      </c>
      <c r="M15" s="48">
        <f>F15/12*G15</f>
        <v>30.503199999999996</v>
      </c>
      <c r="N15" s="48">
        <f>F15/12*G15</f>
        <v>30.503199999999996</v>
      </c>
      <c r="O15" s="48">
        <f>F15/12*G15</f>
        <v>30.503199999999996</v>
      </c>
      <c r="P15" s="48">
        <f>F15/12*G15</f>
        <v>30.503199999999996</v>
      </c>
      <c r="Q15" s="48">
        <f>F15/12*G15</f>
        <v>30.503199999999996</v>
      </c>
      <c r="R15" s="48">
        <f>F15/12*G15</f>
        <v>30.503199999999996</v>
      </c>
      <c r="S15" s="48">
        <f>F15/12*G15</f>
        <v>30.503199999999996</v>
      </c>
      <c r="T15" s="48">
        <f>F15/12*G15</f>
        <v>30.503199999999996</v>
      </c>
      <c r="U15" s="48">
        <f t="shared" si="1"/>
        <v>366.03839999999997</v>
      </c>
      <c r="V15" s="30"/>
      <c r="W15" s="29"/>
    </row>
    <row r="16" spans="1:23">
      <c r="A16" s="37" t="s">
        <v>26</v>
      </c>
      <c r="B16" s="12" t="s">
        <v>27</v>
      </c>
      <c r="C16" s="37" t="s">
        <v>14</v>
      </c>
      <c r="D16" s="12" t="s">
        <v>162</v>
      </c>
      <c r="E16" s="45">
        <v>3.6</v>
      </c>
      <c r="F16" s="46">
        <f>SUM(E16*12/100)</f>
        <v>0.43200000000000005</v>
      </c>
      <c r="G16" s="46">
        <v>216.12</v>
      </c>
      <c r="H16" s="47">
        <f t="shared" si="0"/>
        <v>9.3363840000000003E-2</v>
      </c>
      <c r="I16" s="48">
        <f>F16/12*G16</f>
        <v>7.7803200000000015</v>
      </c>
      <c r="J16" s="48">
        <f>F16/12*G16</f>
        <v>7.7803200000000015</v>
      </c>
      <c r="K16" s="48">
        <f>F16/12*G16</f>
        <v>7.7803200000000015</v>
      </c>
      <c r="L16" s="48">
        <f>F16/12*G16</f>
        <v>7.7803200000000015</v>
      </c>
      <c r="M16" s="48">
        <f>F16/12*G16</f>
        <v>7.7803200000000015</v>
      </c>
      <c r="N16" s="48">
        <f>F16/12*G16</f>
        <v>7.7803200000000015</v>
      </c>
      <c r="O16" s="48">
        <f>F16/12*G16</f>
        <v>7.7803200000000015</v>
      </c>
      <c r="P16" s="48">
        <f>F16/12*G16</f>
        <v>7.7803200000000015</v>
      </c>
      <c r="Q16" s="48">
        <f>F16/12*G16</f>
        <v>7.7803200000000015</v>
      </c>
      <c r="R16" s="48">
        <f>F16/12*G16</f>
        <v>7.7803200000000015</v>
      </c>
      <c r="S16" s="48">
        <f>F16/12*G16</f>
        <v>7.7803200000000015</v>
      </c>
      <c r="T16" s="48">
        <f>F16/12*G16</f>
        <v>7.7803200000000015</v>
      </c>
      <c r="U16" s="48">
        <f t="shared" si="1"/>
        <v>93.363840000000025</v>
      </c>
      <c r="V16" s="30"/>
      <c r="W16" s="29"/>
    </row>
    <row r="17" spans="1:23">
      <c r="A17" s="37" t="s">
        <v>28</v>
      </c>
      <c r="B17" s="12" t="s">
        <v>29</v>
      </c>
      <c r="C17" s="37" t="s">
        <v>30</v>
      </c>
      <c r="D17" s="12" t="s">
        <v>145</v>
      </c>
      <c r="E17" s="45">
        <v>357</v>
      </c>
      <c r="F17" s="46">
        <f>SUM(E17/100)</f>
        <v>3.57</v>
      </c>
      <c r="G17" s="46">
        <v>269.26</v>
      </c>
      <c r="H17" s="47">
        <f t="shared" si="0"/>
        <v>0.96125819999999984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>F17*G17</f>
        <v>961.25819999999987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f t="shared" si="1"/>
        <v>961.25819999999987</v>
      </c>
      <c r="V17" s="30"/>
      <c r="W17" s="29"/>
    </row>
    <row r="18" spans="1:23">
      <c r="A18" s="37" t="s">
        <v>31</v>
      </c>
      <c r="B18" s="12" t="s">
        <v>32</v>
      </c>
      <c r="C18" s="37" t="s">
        <v>30</v>
      </c>
      <c r="D18" s="12" t="s">
        <v>145</v>
      </c>
      <c r="E18" s="50">
        <v>48.3</v>
      </c>
      <c r="F18" s="46">
        <f>SUM(E18/100)</f>
        <v>0.48299999999999998</v>
      </c>
      <c r="G18" s="46">
        <v>44.29</v>
      </c>
      <c r="H18" s="47">
        <f t="shared" si="0"/>
        <v>2.1392069999999999E-2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f>F18*G18</f>
        <v>21.39207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f t="shared" si="1"/>
        <v>21.39207</v>
      </c>
      <c r="V18" s="30"/>
      <c r="W18" s="29"/>
    </row>
    <row r="19" spans="1:23">
      <c r="A19" s="37" t="s">
        <v>33</v>
      </c>
      <c r="B19" s="12" t="s">
        <v>34</v>
      </c>
      <c r="C19" s="37" t="s">
        <v>30</v>
      </c>
      <c r="D19" s="12" t="s">
        <v>146</v>
      </c>
      <c r="E19" s="45">
        <v>20</v>
      </c>
      <c r="F19" s="46">
        <f>E19/100</f>
        <v>0.2</v>
      </c>
      <c r="G19" s="46">
        <v>389.72</v>
      </c>
      <c r="H19" s="47">
        <f t="shared" si="0"/>
        <v>7.7944000000000013E-2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f>F19*G19</f>
        <v>77.944000000000017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f t="shared" si="1"/>
        <v>77.944000000000017</v>
      </c>
      <c r="V19" s="30"/>
      <c r="W19" s="29"/>
    </row>
    <row r="20" spans="1:23">
      <c r="A20" s="37" t="s">
        <v>35</v>
      </c>
      <c r="B20" s="12" t="s">
        <v>36</v>
      </c>
      <c r="C20" s="37" t="s">
        <v>30</v>
      </c>
      <c r="D20" s="12" t="s">
        <v>145</v>
      </c>
      <c r="E20" s="45">
        <v>8.5</v>
      </c>
      <c r="F20" s="46">
        <f>SUM(E20/100)</f>
        <v>8.5000000000000006E-2</v>
      </c>
      <c r="G20" s="46">
        <v>520.79999999999995</v>
      </c>
      <c r="H20" s="47">
        <f t="shared" si="0"/>
        <v>4.4268000000000002E-2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>F20*G20</f>
        <v>44.268000000000001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f t="shared" si="1"/>
        <v>44.268000000000001</v>
      </c>
      <c r="V20" s="30"/>
      <c r="W20" s="29"/>
    </row>
    <row r="21" spans="1:23" s="20" customFormat="1">
      <c r="A21" s="51"/>
      <c r="B21" s="21" t="s">
        <v>37</v>
      </c>
      <c r="C21" s="52"/>
      <c r="D21" s="21"/>
      <c r="E21" s="53"/>
      <c r="F21" s="54"/>
      <c r="G21" s="54"/>
      <c r="H21" s="55">
        <f>SUM(H11:H20)</f>
        <v>108.20929267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>
        <f>SUM(U11:U20)</f>
        <v>108209.29267</v>
      </c>
      <c r="V21" s="30"/>
      <c r="W21" s="31"/>
    </row>
    <row r="22" spans="1:23">
      <c r="A22" s="37"/>
      <c r="B22" s="13" t="s">
        <v>38</v>
      </c>
      <c r="C22" s="37"/>
      <c r="D22" s="12"/>
      <c r="E22" s="45"/>
      <c r="F22" s="46"/>
      <c r="G22" s="46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30"/>
      <c r="W22" s="29"/>
    </row>
    <row r="23" spans="1:23" ht="25.5" customHeight="1">
      <c r="A23" s="37" t="s">
        <v>39</v>
      </c>
      <c r="B23" s="12" t="s">
        <v>40</v>
      </c>
      <c r="C23" s="37" t="s">
        <v>41</v>
      </c>
      <c r="D23" s="12" t="s">
        <v>42</v>
      </c>
      <c r="E23" s="46">
        <v>667.1</v>
      </c>
      <c r="F23" s="46">
        <f>SUM(E23*52/1000)</f>
        <v>34.689200000000007</v>
      </c>
      <c r="G23" s="46">
        <v>155.88999999999999</v>
      </c>
      <c r="H23" s="47">
        <f t="shared" ref="H23:H31" si="2">SUM(F23*G23/1000)</f>
        <v>5.4076993880000011</v>
      </c>
      <c r="I23" s="48">
        <v>0</v>
      </c>
      <c r="J23" s="48">
        <v>0</v>
      </c>
      <c r="K23" s="48">
        <v>0</v>
      </c>
      <c r="L23" s="48">
        <v>0</v>
      </c>
      <c r="M23" s="48">
        <f>F23/6*G23</f>
        <v>901.28323133333345</v>
      </c>
      <c r="N23" s="48">
        <f>F23/6*G23</f>
        <v>901.28323133333345</v>
      </c>
      <c r="O23" s="48">
        <f>F23/6*G23</f>
        <v>901.28323133333345</v>
      </c>
      <c r="P23" s="48">
        <f>F23/6*G23</f>
        <v>901.28323133333345</v>
      </c>
      <c r="Q23" s="48">
        <f>F23/6*G23</f>
        <v>901.28323133333345</v>
      </c>
      <c r="R23" s="48">
        <f>F23/6*G23</f>
        <v>901.28323133333345</v>
      </c>
      <c r="S23" s="48">
        <v>0</v>
      </c>
      <c r="T23" s="48">
        <v>0</v>
      </c>
      <c r="U23" s="48">
        <f t="shared" ref="U23:U31" si="3">SUM(I23:T23)</f>
        <v>5407.6993880000009</v>
      </c>
      <c r="V23" s="30"/>
      <c r="W23" s="29"/>
    </row>
    <row r="24" spans="1:23" ht="38.25" customHeight="1">
      <c r="A24" s="37" t="s">
        <v>43</v>
      </c>
      <c r="B24" s="12" t="s">
        <v>44</v>
      </c>
      <c r="C24" s="37" t="s">
        <v>45</v>
      </c>
      <c r="D24" s="12" t="s">
        <v>46</v>
      </c>
      <c r="E24" s="46">
        <v>457.48</v>
      </c>
      <c r="F24" s="46">
        <f>SUM(E24*78/1000)</f>
        <v>35.683440000000004</v>
      </c>
      <c r="G24" s="46">
        <v>258.63</v>
      </c>
      <c r="H24" s="47">
        <f t="shared" si="2"/>
        <v>9.2288080872000009</v>
      </c>
      <c r="I24" s="48">
        <v>0</v>
      </c>
      <c r="J24" s="48">
        <v>0</v>
      </c>
      <c r="K24" s="48">
        <v>0</v>
      </c>
      <c r="L24" s="48">
        <v>0</v>
      </c>
      <c r="M24" s="48">
        <f>F24/6*G24</f>
        <v>1538.1346812000002</v>
      </c>
      <c r="N24" s="48">
        <f>F24/6*G24</f>
        <v>1538.1346812000002</v>
      </c>
      <c r="O24" s="48">
        <f>F24/6*G24</f>
        <v>1538.1346812000002</v>
      </c>
      <c r="P24" s="48">
        <f>F24/6*G24</f>
        <v>1538.1346812000002</v>
      </c>
      <c r="Q24" s="48">
        <f>F24/6*G24</f>
        <v>1538.1346812000002</v>
      </c>
      <c r="R24" s="48">
        <f>F24/6*G24</f>
        <v>1538.1346812000002</v>
      </c>
      <c r="S24" s="48">
        <v>0</v>
      </c>
      <c r="T24" s="48">
        <v>0</v>
      </c>
      <c r="U24" s="48">
        <f t="shared" si="3"/>
        <v>9228.808087200001</v>
      </c>
      <c r="V24" s="30"/>
      <c r="W24" s="29"/>
    </row>
    <row r="25" spans="1:23">
      <c r="A25" s="37" t="s">
        <v>47</v>
      </c>
      <c r="B25" s="12" t="s">
        <v>48</v>
      </c>
      <c r="C25" s="37" t="s">
        <v>45</v>
      </c>
      <c r="D25" s="12" t="s">
        <v>49</v>
      </c>
      <c r="E25" s="46">
        <v>667.1</v>
      </c>
      <c r="F25" s="46">
        <f>SUM(E25/1000)</f>
        <v>0.66710000000000003</v>
      </c>
      <c r="G25" s="46">
        <v>3020.33</v>
      </c>
      <c r="H25" s="47">
        <f t="shared" si="2"/>
        <v>2.0148621430000002</v>
      </c>
      <c r="I25" s="48">
        <v>0</v>
      </c>
      <c r="J25" s="48">
        <v>0</v>
      </c>
      <c r="K25" s="48">
        <v>0</v>
      </c>
      <c r="L25" s="48">
        <v>0</v>
      </c>
      <c r="M25" s="48">
        <f>F25*G25</f>
        <v>2014.8621430000001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f t="shared" si="3"/>
        <v>2014.8621430000001</v>
      </c>
      <c r="V25" s="30"/>
      <c r="W25" s="29"/>
    </row>
    <row r="26" spans="1:23">
      <c r="A26" s="37" t="s">
        <v>163</v>
      </c>
      <c r="B26" s="12" t="s">
        <v>164</v>
      </c>
      <c r="C26" s="37" t="s">
        <v>98</v>
      </c>
      <c r="D26" s="12" t="s">
        <v>53</v>
      </c>
      <c r="E26" s="46">
        <v>1</v>
      </c>
      <c r="F26" s="46">
        <v>1.55</v>
      </c>
      <c r="G26" s="46">
        <v>1302.02</v>
      </c>
      <c r="H26" s="47">
        <f>G26*F26/1000</f>
        <v>2.0181309999999999</v>
      </c>
      <c r="I26" s="48">
        <v>0</v>
      </c>
      <c r="J26" s="48">
        <v>0</v>
      </c>
      <c r="K26" s="48">
        <v>0</v>
      </c>
      <c r="L26" s="48">
        <v>0</v>
      </c>
      <c r="M26" s="48">
        <f>F26/6*G26</f>
        <v>336.35516666666672</v>
      </c>
      <c r="N26" s="48">
        <f>F26/6*G26</f>
        <v>336.35516666666672</v>
      </c>
      <c r="O26" s="48">
        <f>F26/6*G26</f>
        <v>336.35516666666672</v>
      </c>
      <c r="P26" s="48">
        <f>F26/6*G26</f>
        <v>336.35516666666672</v>
      </c>
      <c r="Q26" s="48">
        <f>F26/6*G26</f>
        <v>336.35516666666672</v>
      </c>
      <c r="R26" s="48">
        <f>F26/6*G26</f>
        <v>336.35516666666672</v>
      </c>
      <c r="S26" s="48">
        <v>0</v>
      </c>
      <c r="T26" s="48">
        <v>0</v>
      </c>
      <c r="U26" s="48">
        <f t="shared" si="3"/>
        <v>2018.1310000000003</v>
      </c>
      <c r="V26" s="30"/>
      <c r="W26" s="29"/>
    </row>
    <row r="27" spans="1:23">
      <c r="A27" s="37" t="s">
        <v>50</v>
      </c>
      <c r="B27" s="12" t="s">
        <v>51</v>
      </c>
      <c r="C27" s="37" t="s">
        <v>52</v>
      </c>
      <c r="D27" s="12" t="s">
        <v>53</v>
      </c>
      <c r="E27" s="58">
        <v>0.33333333333333331</v>
      </c>
      <c r="F27" s="46">
        <f>155/3</f>
        <v>51.666666666666664</v>
      </c>
      <c r="G27" s="46">
        <v>56.69</v>
      </c>
      <c r="H27" s="47">
        <f>SUM(G27*155/3/1000)</f>
        <v>2.9289833333333331</v>
      </c>
      <c r="I27" s="48">
        <v>0</v>
      </c>
      <c r="J27" s="48">
        <v>0</v>
      </c>
      <c r="K27" s="48">
        <v>0</v>
      </c>
      <c r="L27" s="48">
        <v>0</v>
      </c>
      <c r="M27" s="48">
        <f>F27/6*G27</f>
        <v>488.16388888888883</v>
      </c>
      <c r="N27" s="48">
        <f>F27/6*G27</f>
        <v>488.16388888888883</v>
      </c>
      <c r="O27" s="48">
        <f>F27/6*G27</f>
        <v>488.16388888888883</v>
      </c>
      <c r="P27" s="48">
        <f>F27/6*G27</f>
        <v>488.16388888888883</v>
      </c>
      <c r="Q27" s="48">
        <f>F27/6*G27</f>
        <v>488.16388888888883</v>
      </c>
      <c r="R27" s="48">
        <f>F27/6*G27</f>
        <v>488.16388888888883</v>
      </c>
      <c r="S27" s="48">
        <v>0</v>
      </c>
      <c r="T27" s="48">
        <v>0</v>
      </c>
      <c r="U27" s="48">
        <f t="shared" si="3"/>
        <v>2928.9833333333331</v>
      </c>
      <c r="V27" s="30"/>
      <c r="W27" s="29"/>
    </row>
    <row r="28" spans="1:23" ht="12.75" customHeight="1">
      <c r="A28" s="37" t="s">
        <v>54</v>
      </c>
      <c r="B28" s="12" t="s">
        <v>55</v>
      </c>
      <c r="C28" s="37" t="s">
        <v>56</v>
      </c>
      <c r="D28" s="12" t="s">
        <v>57</v>
      </c>
      <c r="E28" s="59">
        <v>0.1</v>
      </c>
      <c r="F28" s="46">
        <f>SUM(E28*365)</f>
        <v>36.5</v>
      </c>
      <c r="G28" s="46">
        <v>147.03</v>
      </c>
      <c r="H28" s="47">
        <f t="shared" si="2"/>
        <v>5.3665950000000002</v>
      </c>
      <c r="I28" s="48">
        <f>F28/12*G28</f>
        <v>447.21625</v>
      </c>
      <c r="J28" s="48">
        <f>F28/12*G28</f>
        <v>447.21625</v>
      </c>
      <c r="K28" s="48">
        <f>F28/12*G28</f>
        <v>447.21625</v>
      </c>
      <c r="L28" s="48">
        <f>F28/12*G28</f>
        <v>447.21625</v>
      </c>
      <c r="M28" s="48">
        <f>F28/12*G28</f>
        <v>447.21625</v>
      </c>
      <c r="N28" s="48">
        <f>F28/12*G28</f>
        <v>447.21625</v>
      </c>
      <c r="O28" s="48">
        <f>F28/12*G28</f>
        <v>447.21625</v>
      </c>
      <c r="P28" s="48">
        <f>F28/12*G28</f>
        <v>447.21625</v>
      </c>
      <c r="Q28" s="48">
        <f>F28/12*G28</f>
        <v>447.21625</v>
      </c>
      <c r="R28" s="48">
        <f>F28/12*G28</f>
        <v>447.21625</v>
      </c>
      <c r="S28" s="48">
        <f>F28/12*G28</f>
        <v>447.21625</v>
      </c>
      <c r="T28" s="48">
        <f>F28/12*G28</f>
        <v>447.21625</v>
      </c>
      <c r="U28" s="48">
        <f t="shared" si="3"/>
        <v>5366.5950000000012</v>
      </c>
      <c r="V28" s="30"/>
      <c r="W28" s="29"/>
    </row>
    <row r="29" spans="1:23" ht="12.75" customHeight="1">
      <c r="A29" s="37" t="s">
        <v>59</v>
      </c>
      <c r="B29" s="12" t="s">
        <v>60</v>
      </c>
      <c r="C29" s="37" t="s">
        <v>56</v>
      </c>
      <c r="D29" s="12" t="s">
        <v>58</v>
      </c>
      <c r="E29" s="45"/>
      <c r="F29" s="46">
        <v>3</v>
      </c>
      <c r="G29" s="46">
        <v>191.32</v>
      </c>
      <c r="H29" s="47">
        <f t="shared" si="2"/>
        <v>0.57396000000000003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f t="shared" si="3"/>
        <v>0</v>
      </c>
      <c r="V29" s="30"/>
      <c r="W29" s="29"/>
    </row>
    <row r="30" spans="1:23" ht="13.5" customHeight="1">
      <c r="A30" s="37" t="s">
        <v>61</v>
      </c>
      <c r="B30" s="12" t="s">
        <v>62</v>
      </c>
      <c r="C30" s="37" t="s">
        <v>63</v>
      </c>
      <c r="D30" s="12" t="s">
        <v>58</v>
      </c>
      <c r="E30" s="45"/>
      <c r="F30" s="46">
        <v>2</v>
      </c>
      <c r="G30" s="46">
        <v>1136.33</v>
      </c>
      <c r="H30" s="47">
        <f t="shared" si="2"/>
        <v>2.2726599999999997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f t="shared" si="3"/>
        <v>0</v>
      </c>
      <c r="V30" s="30"/>
      <c r="W30" s="29"/>
    </row>
    <row r="31" spans="1:23">
      <c r="A31" s="37"/>
      <c r="B31" s="60" t="s">
        <v>64</v>
      </c>
      <c r="C31" s="37" t="s">
        <v>65</v>
      </c>
      <c r="D31" s="60" t="s">
        <v>66</v>
      </c>
      <c r="E31" s="45">
        <v>3382.7</v>
      </c>
      <c r="F31" s="46">
        <f>SUM(E31*12)</f>
        <v>40592.399999999994</v>
      </c>
      <c r="G31" s="46">
        <v>4.42</v>
      </c>
      <c r="H31" s="47">
        <f t="shared" si="2"/>
        <v>179.41840799999997</v>
      </c>
      <c r="I31" s="48">
        <f>F31/12*G31</f>
        <v>14951.533999999998</v>
      </c>
      <c r="J31" s="48">
        <f>F31/12*G31</f>
        <v>14951.533999999998</v>
      </c>
      <c r="K31" s="48">
        <f>F31/12*G31</f>
        <v>14951.533999999998</v>
      </c>
      <c r="L31" s="48">
        <f>F31/12*G31</f>
        <v>14951.533999999998</v>
      </c>
      <c r="M31" s="48">
        <f>F31/12*G31</f>
        <v>14951.533999999998</v>
      </c>
      <c r="N31" s="48">
        <f>F31/12*G31</f>
        <v>14951.533999999998</v>
      </c>
      <c r="O31" s="48">
        <f>F31/12*G31</f>
        <v>14951.533999999998</v>
      </c>
      <c r="P31" s="48">
        <f>F31/12*G31</f>
        <v>14951.533999999998</v>
      </c>
      <c r="Q31" s="48">
        <f>F31/12*G31</f>
        <v>14951.533999999998</v>
      </c>
      <c r="R31" s="48">
        <f>F31/12*G31</f>
        <v>14951.533999999998</v>
      </c>
      <c r="S31" s="48">
        <f>F31/12*G31</f>
        <v>14951.533999999998</v>
      </c>
      <c r="T31" s="48">
        <f>F31/12*G31</f>
        <v>14951.533999999998</v>
      </c>
      <c r="U31" s="48">
        <f t="shared" si="3"/>
        <v>179418.40799999994</v>
      </c>
      <c r="V31" s="30"/>
      <c r="W31" s="29"/>
    </row>
    <row r="32" spans="1:23" ht="25.5">
      <c r="A32" s="135" t="s">
        <v>200</v>
      </c>
      <c r="B32" s="136" t="s">
        <v>201</v>
      </c>
      <c r="C32" s="135" t="s">
        <v>70</v>
      </c>
      <c r="D32" s="12"/>
      <c r="E32" s="45">
        <v>269.16000000000003</v>
      </c>
      <c r="F32" s="46">
        <f>E32*36/1000</f>
        <v>9.6897599999999997</v>
      </c>
      <c r="G32" s="46">
        <v>3228.73</v>
      </c>
      <c r="H32" s="47">
        <f t="shared" ref="H32" si="4">SUM(F32*G32/1000)</f>
        <v>31.285618804800002</v>
      </c>
      <c r="I32" s="48">
        <v>0</v>
      </c>
      <c r="J32" s="48">
        <v>0</v>
      </c>
      <c r="K32" s="48">
        <f>E32*9/1000*G32</f>
        <v>7821.4047012000001</v>
      </c>
      <c r="L32" s="48">
        <v>0</v>
      </c>
      <c r="M32" s="48">
        <v>0</v>
      </c>
      <c r="N32" s="48">
        <f>E32*6/1000*G32</f>
        <v>5214.2698007999998</v>
      </c>
      <c r="O32" s="48">
        <v>0</v>
      </c>
      <c r="P32" s="48">
        <v>0</v>
      </c>
      <c r="Q32" s="48">
        <f>E32*9/1000*G32</f>
        <v>7821.4047012000001</v>
      </c>
      <c r="R32" s="48">
        <v>0</v>
      </c>
      <c r="S32" s="48">
        <v>0</v>
      </c>
      <c r="T32" s="48">
        <f>E32*9/1000*G32</f>
        <v>7821.4047012000001</v>
      </c>
      <c r="U32" s="48">
        <f>SUM(I32:T32)</f>
        <v>28678.4839044</v>
      </c>
      <c r="V32" s="30"/>
      <c r="W32" s="29"/>
    </row>
    <row r="33" spans="1:23" s="20" customFormat="1">
      <c r="A33" s="51"/>
      <c r="B33" s="21" t="s">
        <v>37</v>
      </c>
      <c r="C33" s="52"/>
      <c r="D33" s="21"/>
      <c r="E33" s="53"/>
      <c r="F33" s="54"/>
      <c r="G33" s="54"/>
      <c r="H33" s="61">
        <f>SUM(H23:H31)</f>
        <v>209.23010695153329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>
        <f>SUM(U23:U31)</f>
        <v>206383.48695153327</v>
      </c>
      <c r="V33" s="30"/>
      <c r="W33" s="31"/>
    </row>
    <row r="34" spans="1:23">
      <c r="A34" s="37"/>
      <c r="B34" s="13" t="s">
        <v>67</v>
      </c>
      <c r="C34" s="37"/>
      <c r="D34" s="12"/>
      <c r="E34" s="45"/>
      <c r="F34" s="46"/>
      <c r="G34" s="46"/>
      <c r="H34" s="47" t="s">
        <v>66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30"/>
      <c r="W34" s="29"/>
    </row>
    <row r="35" spans="1:23" ht="25.5">
      <c r="A35" s="37" t="s">
        <v>61</v>
      </c>
      <c r="B35" s="14" t="s">
        <v>68</v>
      </c>
      <c r="C35" s="37" t="s">
        <v>63</v>
      </c>
      <c r="D35" s="12"/>
      <c r="E35" s="45"/>
      <c r="F35" s="46">
        <v>10</v>
      </c>
      <c r="G35" s="46">
        <v>1527.22</v>
      </c>
      <c r="H35" s="47">
        <f t="shared" ref="H35:H40" si="5">SUM(F35*G35/1000)</f>
        <v>15.272200000000002</v>
      </c>
      <c r="I35" s="48">
        <f t="shared" ref="I35:I40" si="6">F35/6*G35</f>
        <v>2545.3666666666668</v>
      </c>
      <c r="J35" s="48">
        <f t="shared" ref="J35:J40" si="7">F35/6*G35</f>
        <v>2545.3666666666668</v>
      </c>
      <c r="K35" s="48">
        <f t="shared" ref="K35:K40" si="8">F35/6*G35</f>
        <v>2545.3666666666668</v>
      </c>
      <c r="L35" s="48">
        <f t="shared" ref="L35:L40" si="9">F35/6*G35</f>
        <v>2545.3666666666668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f t="shared" ref="S35:S40" si="10">F35/6*G35</f>
        <v>2545.3666666666668</v>
      </c>
      <c r="T35" s="48">
        <f t="shared" ref="T35:T40" si="11">F35/6*G35</f>
        <v>2545.3666666666668</v>
      </c>
      <c r="U35" s="48">
        <f t="shared" ref="U35:U40" si="12">SUM(I35:T35)</f>
        <v>15272.2</v>
      </c>
      <c r="V35" s="30"/>
      <c r="W35" s="29"/>
    </row>
    <row r="36" spans="1:23" ht="25.5">
      <c r="A36" s="63" t="s">
        <v>69</v>
      </c>
      <c r="B36" s="14" t="s">
        <v>149</v>
      </c>
      <c r="C36" s="63" t="s">
        <v>70</v>
      </c>
      <c r="D36" s="12" t="s">
        <v>165</v>
      </c>
      <c r="E36" s="45">
        <v>457.48</v>
      </c>
      <c r="F36" s="62">
        <f>E36*20/1000</f>
        <v>9.1495999999999995</v>
      </c>
      <c r="G36" s="46">
        <v>2102.71</v>
      </c>
      <c r="H36" s="47">
        <f>G36*F36/1000</f>
        <v>19.238955416</v>
      </c>
      <c r="I36" s="48">
        <f t="shared" si="6"/>
        <v>3206.492569333333</v>
      </c>
      <c r="J36" s="48">
        <f t="shared" si="7"/>
        <v>3206.492569333333</v>
      </c>
      <c r="K36" s="48">
        <f t="shared" si="8"/>
        <v>3206.492569333333</v>
      </c>
      <c r="L36" s="48">
        <f t="shared" si="9"/>
        <v>3206.492569333333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f t="shared" si="10"/>
        <v>3206.492569333333</v>
      </c>
      <c r="T36" s="48">
        <f t="shared" si="11"/>
        <v>3206.492569333333</v>
      </c>
      <c r="U36" s="48">
        <f t="shared" si="12"/>
        <v>19238.955415999997</v>
      </c>
      <c r="V36" s="30"/>
      <c r="W36" s="29"/>
    </row>
    <row r="37" spans="1:23" ht="24.75" customHeight="1">
      <c r="A37" s="37" t="s">
        <v>71</v>
      </c>
      <c r="B37" s="12" t="s">
        <v>72</v>
      </c>
      <c r="C37" s="37" t="s">
        <v>70</v>
      </c>
      <c r="D37" s="12" t="s">
        <v>73</v>
      </c>
      <c r="E37" s="46">
        <v>107.36</v>
      </c>
      <c r="F37" s="62">
        <f>SUM(E37*155/1000)</f>
        <v>16.640799999999999</v>
      </c>
      <c r="G37" s="46">
        <v>350.75</v>
      </c>
      <c r="H37" s="47">
        <f t="shared" si="5"/>
        <v>5.8367605999999999</v>
      </c>
      <c r="I37" s="48">
        <f t="shared" si="6"/>
        <v>972.79343333333316</v>
      </c>
      <c r="J37" s="48">
        <f t="shared" si="7"/>
        <v>972.79343333333316</v>
      </c>
      <c r="K37" s="48">
        <f t="shared" si="8"/>
        <v>972.79343333333316</v>
      </c>
      <c r="L37" s="48">
        <f t="shared" si="9"/>
        <v>972.79343333333316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f t="shared" si="10"/>
        <v>972.79343333333316</v>
      </c>
      <c r="T37" s="48">
        <f t="shared" si="11"/>
        <v>972.79343333333316</v>
      </c>
      <c r="U37" s="48">
        <f t="shared" si="12"/>
        <v>5836.7605999999987</v>
      </c>
      <c r="V37" s="30"/>
      <c r="W37" s="29"/>
    </row>
    <row r="38" spans="1:23" ht="51" customHeight="1">
      <c r="A38" s="37" t="s">
        <v>74</v>
      </c>
      <c r="B38" s="12" t="s">
        <v>75</v>
      </c>
      <c r="C38" s="37" t="s">
        <v>45</v>
      </c>
      <c r="D38" s="12" t="s">
        <v>166</v>
      </c>
      <c r="E38" s="46">
        <v>24</v>
      </c>
      <c r="F38" s="62">
        <f>SUM(E38*50/1000)</f>
        <v>1.2</v>
      </c>
      <c r="G38" s="46">
        <v>5803.28</v>
      </c>
      <c r="H38" s="47">
        <f t="shared" si="5"/>
        <v>6.9639359999999995</v>
      </c>
      <c r="I38" s="48">
        <f t="shared" si="6"/>
        <v>1160.6559999999999</v>
      </c>
      <c r="J38" s="48">
        <f t="shared" si="7"/>
        <v>1160.6559999999999</v>
      </c>
      <c r="K38" s="48">
        <f t="shared" si="8"/>
        <v>1160.6559999999999</v>
      </c>
      <c r="L38" s="48">
        <f t="shared" si="9"/>
        <v>1160.6559999999999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f t="shared" si="10"/>
        <v>1160.6559999999999</v>
      </c>
      <c r="T38" s="48">
        <f t="shared" si="11"/>
        <v>1160.6559999999999</v>
      </c>
      <c r="U38" s="48">
        <f t="shared" si="12"/>
        <v>6963.9359999999997</v>
      </c>
      <c r="V38" s="30"/>
      <c r="W38" s="29"/>
    </row>
    <row r="39" spans="1:23" ht="12.75" customHeight="1">
      <c r="A39" s="37" t="s">
        <v>76</v>
      </c>
      <c r="B39" s="12" t="s">
        <v>77</v>
      </c>
      <c r="C39" s="37" t="s">
        <v>45</v>
      </c>
      <c r="D39" s="12" t="s">
        <v>78</v>
      </c>
      <c r="E39" s="46">
        <v>123.36</v>
      </c>
      <c r="F39" s="62">
        <f>SUM(E39*45/1000)</f>
        <v>5.5511999999999997</v>
      </c>
      <c r="G39" s="46">
        <v>428.7</v>
      </c>
      <c r="H39" s="47">
        <f t="shared" si="5"/>
        <v>2.3797994399999998</v>
      </c>
      <c r="I39" s="48">
        <f t="shared" si="6"/>
        <v>396.63323999999994</v>
      </c>
      <c r="J39" s="48">
        <f t="shared" si="7"/>
        <v>396.63323999999994</v>
      </c>
      <c r="K39" s="48">
        <f t="shared" si="8"/>
        <v>396.63323999999994</v>
      </c>
      <c r="L39" s="48">
        <f t="shared" si="9"/>
        <v>396.63323999999994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f t="shared" si="10"/>
        <v>396.63323999999994</v>
      </c>
      <c r="T39" s="48">
        <f t="shared" si="11"/>
        <v>396.63323999999994</v>
      </c>
      <c r="U39" s="48">
        <f t="shared" si="12"/>
        <v>2379.7994399999998</v>
      </c>
      <c r="V39" s="30"/>
      <c r="W39" s="29"/>
    </row>
    <row r="40" spans="1:23" s="2" customFormat="1">
      <c r="A40" s="63"/>
      <c r="B40" s="14" t="s">
        <v>79</v>
      </c>
      <c r="C40" s="63" t="s">
        <v>56</v>
      </c>
      <c r="D40" s="14"/>
      <c r="E40" s="59"/>
      <c r="F40" s="62">
        <v>0.9</v>
      </c>
      <c r="G40" s="62">
        <v>798</v>
      </c>
      <c r="H40" s="47">
        <f t="shared" si="5"/>
        <v>0.71820000000000006</v>
      </c>
      <c r="I40" s="64">
        <f t="shared" si="6"/>
        <v>119.69999999999999</v>
      </c>
      <c r="J40" s="64">
        <f t="shared" si="7"/>
        <v>119.69999999999999</v>
      </c>
      <c r="K40" s="64">
        <f t="shared" si="8"/>
        <v>119.69999999999999</v>
      </c>
      <c r="L40" s="64">
        <f t="shared" si="9"/>
        <v>119.69999999999999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f t="shared" si="10"/>
        <v>119.69999999999999</v>
      </c>
      <c r="T40" s="64">
        <f t="shared" si="11"/>
        <v>119.69999999999999</v>
      </c>
      <c r="U40" s="48">
        <f t="shared" si="12"/>
        <v>718.2</v>
      </c>
      <c r="V40" s="32"/>
      <c r="W40" s="33"/>
    </row>
    <row r="41" spans="1:23" s="20" customFormat="1">
      <c r="A41" s="51"/>
      <c r="B41" s="21" t="s">
        <v>37</v>
      </c>
      <c r="C41" s="52"/>
      <c r="D41" s="21"/>
      <c r="E41" s="53"/>
      <c r="F41" s="54" t="s">
        <v>66</v>
      </c>
      <c r="G41" s="54"/>
      <c r="H41" s="61">
        <f>SUM(H35:H40)</f>
        <v>50.409851455999998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>
        <f>SUM(U35:U40)</f>
        <v>50409.851455999997</v>
      </c>
      <c r="V41" s="30"/>
      <c r="W41" s="31"/>
    </row>
    <row r="42" spans="1:23">
      <c r="A42" s="37"/>
      <c r="B42" s="15" t="s">
        <v>80</v>
      </c>
      <c r="C42" s="37"/>
      <c r="D42" s="12"/>
      <c r="E42" s="45"/>
      <c r="F42" s="46"/>
      <c r="G42" s="46"/>
      <c r="H42" s="47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30"/>
      <c r="W42" s="29"/>
    </row>
    <row r="43" spans="1:23">
      <c r="A43" s="37" t="s">
        <v>155</v>
      </c>
      <c r="B43" s="12" t="s">
        <v>156</v>
      </c>
      <c r="C43" s="37" t="s">
        <v>45</v>
      </c>
      <c r="D43" s="12" t="s">
        <v>81</v>
      </c>
      <c r="E43" s="45">
        <v>1197.75</v>
      </c>
      <c r="F43" s="46">
        <f>SUM(E43*2/1000)</f>
        <v>2.3955000000000002</v>
      </c>
      <c r="G43" s="65">
        <v>809.74</v>
      </c>
      <c r="H43" s="47">
        <f t="shared" ref="H43:H52" si="13">SUM(F43*G43/1000)</f>
        <v>1.9397321700000003</v>
      </c>
      <c r="I43" s="48">
        <v>0</v>
      </c>
      <c r="J43" s="48">
        <v>0</v>
      </c>
      <c r="K43" s="48">
        <v>0</v>
      </c>
      <c r="L43" s="48">
        <f>F43/2*G43</f>
        <v>969.86608500000011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f>F43/2*G43</f>
        <v>969.86608500000011</v>
      </c>
      <c r="S43" s="48">
        <v>0</v>
      </c>
      <c r="T43" s="48">
        <v>0</v>
      </c>
      <c r="U43" s="48">
        <f t="shared" ref="U43:U52" si="14">SUM(I43:T43)</f>
        <v>1939.7321700000002</v>
      </c>
      <c r="V43" s="30"/>
      <c r="W43" s="29"/>
    </row>
    <row r="44" spans="1:23">
      <c r="A44" s="37" t="s">
        <v>82</v>
      </c>
      <c r="B44" s="12" t="s">
        <v>83</v>
      </c>
      <c r="C44" s="37" t="s">
        <v>45</v>
      </c>
      <c r="D44" s="12" t="s">
        <v>81</v>
      </c>
      <c r="E44" s="45">
        <v>52</v>
      </c>
      <c r="F44" s="46">
        <f>E44*2/1000</f>
        <v>0.104</v>
      </c>
      <c r="G44" s="65">
        <v>457.4</v>
      </c>
      <c r="H44" s="47">
        <f t="shared" si="13"/>
        <v>4.7569599999999997E-2</v>
      </c>
      <c r="I44" s="48">
        <v>0</v>
      </c>
      <c r="J44" s="48">
        <v>0</v>
      </c>
      <c r="K44" s="48">
        <v>0</v>
      </c>
      <c r="L44" s="48">
        <f>F44/2*G44</f>
        <v>23.784799999999997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f>F44/2*G44</f>
        <v>23.784799999999997</v>
      </c>
      <c r="S44" s="48">
        <v>0</v>
      </c>
      <c r="T44" s="48">
        <v>0</v>
      </c>
      <c r="U44" s="48">
        <f t="shared" si="14"/>
        <v>47.569599999999994</v>
      </c>
      <c r="V44" s="30"/>
      <c r="W44" s="29"/>
    </row>
    <row r="45" spans="1:23" ht="25.5">
      <c r="A45" s="37" t="s">
        <v>84</v>
      </c>
      <c r="B45" s="12" t="s">
        <v>85</v>
      </c>
      <c r="C45" s="37" t="s">
        <v>45</v>
      </c>
      <c r="D45" s="12" t="s">
        <v>81</v>
      </c>
      <c r="E45" s="45">
        <v>1056.5999999999999</v>
      </c>
      <c r="F45" s="46">
        <f>SUM(E45*2/1000)</f>
        <v>2.1132</v>
      </c>
      <c r="G45" s="65">
        <v>579.48</v>
      </c>
      <c r="H45" s="47">
        <f t="shared" si="13"/>
        <v>1.224557136</v>
      </c>
      <c r="I45" s="48">
        <v>0</v>
      </c>
      <c r="J45" s="48">
        <v>0</v>
      </c>
      <c r="K45" s="48">
        <v>0</v>
      </c>
      <c r="L45" s="48">
        <f>F45/2*G45</f>
        <v>612.27856800000006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f>F45/2*G45</f>
        <v>612.27856800000006</v>
      </c>
      <c r="S45" s="48">
        <v>0</v>
      </c>
      <c r="T45" s="48">
        <v>0</v>
      </c>
      <c r="U45" s="48">
        <f t="shared" si="14"/>
        <v>1224.5571360000001</v>
      </c>
      <c r="V45" s="30"/>
      <c r="W45" s="29"/>
    </row>
    <row r="46" spans="1:23">
      <c r="A46" s="37" t="s">
        <v>86</v>
      </c>
      <c r="B46" s="12" t="s">
        <v>87</v>
      </c>
      <c r="C46" s="37" t="s">
        <v>45</v>
      </c>
      <c r="D46" s="12" t="s">
        <v>81</v>
      </c>
      <c r="E46" s="45">
        <v>2582</v>
      </c>
      <c r="F46" s="46">
        <f>SUM(E46*2/1000)</f>
        <v>5.1639999999999997</v>
      </c>
      <c r="G46" s="65">
        <v>606.77</v>
      </c>
      <c r="H46" s="47">
        <f t="shared" si="13"/>
        <v>3.1333602799999998</v>
      </c>
      <c r="I46" s="48">
        <v>0</v>
      </c>
      <c r="J46" s="48">
        <v>0</v>
      </c>
      <c r="K46" s="48">
        <v>0</v>
      </c>
      <c r="L46" s="48">
        <f>F46/2*G46</f>
        <v>1566.6801399999999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f>F46/2*G46</f>
        <v>1566.6801399999999</v>
      </c>
      <c r="S46" s="48">
        <v>0</v>
      </c>
      <c r="T46" s="48">
        <v>0</v>
      </c>
      <c r="U46" s="48">
        <f t="shared" si="14"/>
        <v>3133.3602799999999</v>
      </c>
      <c r="V46" s="30"/>
      <c r="W46" s="29"/>
    </row>
    <row r="47" spans="1:23">
      <c r="A47" s="37" t="s">
        <v>157</v>
      </c>
      <c r="B47" s="12" t="s">
        <v>158</v>
      </c>
      <c r="C47" s="37" t="s">
        <v>159</v>
      </c>
      <c r="D47" s="12" t="s">
        <v>81</v>
      </c>
      <c r="E47" s="45">
        <v>1676.85</v>
      </c>
      <c r="F47" s="46">
        <f>SUM(E47*2/100)</f>
        <v>33.536999999999999</v>
      </c>
      <c r="G47" s="65">
        <v>72.81</v>
      </c>
      <c r="H47" s="47">
        <f t="shared" si="13"/>
        <v>2.44182897</v>
      </c>
      <c r="I47" s="48">
        <v>0</v>
      </c>
      <c r="J47" s="48">
        <v>0</v>
      </c>
      <c r="K47" s="48">
        <v>0</v>
      </c>
      <c r="L47" s="48">
        <f>F47/2*G47</f>
        <v>1220.914485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f>F47/2*G47</f>
        <v>1220.914485</v>
      </c>
      <c r="S47" s="48">
        <v>0</v>
      </c>
      <c r="T47" s="48">
        <v>0</v>
      </c>
      <c r="U47" s="48">
        <f t="shared" si="14"/>
        <v>2441.82897</v>
      </c>
      <c r="V47" s="30"/>
      <c r="W47" s="29"/>
    </row>
    <row r="48" spans="1:23" ht="25.5">
      <c r="A48" s="37" t="s">
        <v>88</v>
      </c>
      <c r="B48" s="12" t="s">
        <v>89</v>
      </c>
      <c r="C48" s="37" t="s">
        <v>45</v>
      </c>
      <c r="D48" s="12" t="s">
        <v>90</v>
      </c>
      <c r="E48" s="45">
        <v>1916.4</v>
      </c>
      <c r="F48" s="46">
        <f>SUM(E48*5/1000)</f>
        <v>9.5820000000000007</v>
      </c>
      <c r="G48" s="65">
        <v>1213.55</v>
      </c>
      <c r="H48" s="47">
        <f t="shared" si="13"/>
        <v>11.628236100000001</v>
      </c>
      <c r="I48" s="48">
        <f>F48/5*G48</f>
        <v>2325.6472199999998</v>
      </c>
      <c r="J48" s="48">
        <f>F48/5*G48</f>
        <v>2325.6472199999998</v>
      </c>
      <c r="K48" s="48">
        <v>0</v>
      </c>
      <c r="L48" s="48">
        <v>0</v>
      </c>
      <c r="M48" s="48">
        <f>F48/5*G48</f>
        <v>2325.6472199999998</v>
      </c>
      <c r="N48" s="48">
        <v>0</v>
      </c>
      <c r="O48" s="48">
        <v>0</v>
      </c>
      <c r="P48" s="48">
        <v>0</v>
      </c>
      <c r="Q48" s="48">
        <f>F48/5*G48</f>
        <v>2325.6472199999998</v>
      </c>
      <c r="R48" s="48">
        <v>0</v>
      </c>
      <c r="S48" s="48">
        <v>0</v>
      </c>
      <c r="T48" s="48">
        <f>F48/5*G48</f>
        <v>2325.6472199999998</v>
      </c>
      <c r="U48" s="48">
        <f t="shared" si="14"/>
        <v>11628.236099999998</v>
      </c>
      <c r="V48" s="30"/>
      <c r="W48" s="29"/>
    </row>
    <row r="49" spans="1:23" ht="39.6" customHeight="1">
      <c r="A49" s="37" t="s">
        <v>91</v>
      </c>
      <c r="B49" s="12" t="s">
        <v>92</v>
      </c>
      <c r="C49" s="37" t="s">
        <v>45</v>
      </c>
      <c r="D49" s="12" t="s">
        <v>81</v>
      </c>
      <c r="E49" s="45">
        <v>1916.4</v>
      </c>
      <c r="F49" s="46">
        <f>SUM(E49*2/1000)</f>
        <v>3.8328000000000002</v>
      </c>
      <c r="G49" s="65">
        <v>1213.55</v>
      </c>
      <c r="H49" s="47">
        <f t="shared" si="13"/>
        <v>4.65129444</v>
      </c>
      <c r="I49" s="48">
        <f>F49/2*G49</f>
        <v>2325.6472199999998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f>F49/2*G49</f>
        <v>2325.6472199999998</v>
      </c>
      <c r="Q49" s="48">
        <v>0</v>
      </c>
      <c r="R49" s="48">
        <v>0</v>
      </c>
      <c r="S49" s="48">
        <v>0</v>
      </c>
      <c r="T49" s="48">
        <v>0</v>
      </c>
      <c r="U49" s="48">
        <f t="shared" si="14"/>
        <v>4651.2944399999997</v>
      </c>
      <c r="V49" s="30"/>
      <c r="W49" s="29"/>
    </row>
    <row r="50" spans="1:23" ht="28.9" customHeight="1">
      <c r="A50" s="37" t="s">
        <v>93</v>
      </c>
      <c r="B50" s="12" t="s">
        <v>94</v>
      </c>
      <c r="C50" s="37" t="s">
        <v>95</v>
      </c>
      <c r="D50" s="12" t="s">
        <v>81</v>
      </c>
      <c r="E50" s="45">
        <v>20</v>
      </c>
      <c r="F50" s="46">
        <f>SUM(E50*2/100)</f>
        <v>0.4</v>
      </c>
      <c r="G50" s="65">
        <v>2730.49</v>
      </c>
      <c r="H50" s="47">
        <f t="shared" si="13"/>
        <v>1.0921959999999999</v>
      </c>
      <c r="I50" s="48">
        <f>F50/2*G50</f>
        <v>546.09799999999996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f>F50/2*G50</f>
        <v>546.09799999999996</v>
      </c>
      <c r="Q50" s="48">
        <v>0</v>
      </c>
      <c r="R50" s="48">
        <v>0</v>
      </c>
      <c r="S50" s="48">
        <v>0</v>
      </c>
      <c r="T50" s="48">
        <v>0</v>
      </c>
      <c r="U50" s="48">
        <f t="shared" si="14"/>
        <v>1092.1959999999999</v>
      </c>
      <c r="V50" s="30"/>
      <c r="W50" s="29"/>
    </row>
    <row r="51" spans="1:23">
      <c r="A51" s="37" t="s">
        <v>96</v>
      </c>
      <c r="B51" s="12" t="s">
        <v>97</v>
      </c>
      <c r="C51" s="37" t="s">
        <v>98</v>
      </c>
      <c r="D51" s="12" t="s">
        <v>81</v>
      </c>
      <c r="E51" s="45">
        <v>1</v>
      </c>
      <c r="F51" s="46">
        <v>0.02</v>
      </c>
      <c r="G51" s="65">
        <v>5652.13</v>
      </c>
      <c r="H51" s="47">
        <f t="shared" si="13"/>
        <v>0.11304260000000001</v>
      </c>
      <c r="I51" s="48">
        <f>F51/2*G51</f>
        <v>56.521300000000004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f>F51/2*G51</f>
        <v>56.521300000000004</v>
      </c>
      <c r="Q51" s="48">
        <v>0</v>
      </c>
      <c r="R51" s="48">
        <v>0</v>
      </c>
      <c r="S51" s="48">
        <v>0</v>
      </c>
      <c r="T51" s="48">
        <v>0</v>
      </c>
      <c r="U51" s="48">
        <f t="shared" si="14"/>
        <v>113.04260000000001</v>
      </c>
      <c r="V51" s="30"/>
      <c r="W51" s="29"/>
    </row>
    <row r="52" spans="1:23" ht="13.5" customHeight="1">
      <c r="A52" s="37" t="s">
        <v>100</v>
      </c>
      <c r="B52" s="12" t="s">
        <v>101</v>
      </c>
      <c r="C52" s="37" t="s">
        <v>99</v>
      </c>
      <c r="D52" s="12" t="s">
        <v>147</v>
      </c>
      <c r="E52" s="45">
        <v>120</v>
      </c>
      <c r="F52" s="46">
        <f>SUM(E52)*3</f>
        <v>360</v>
      </c>
      <c r="G52" s="66">
        <v>65.67</v>
      </c>
      <c r="H52" s="47">
        <f t="shared" si="13"/>
        <v>23.641200000000001</v>
      </c>
      <c r="I52" s="48">
        <v>0</v>
      </c>
      <c r="J52" s="48">
        <v>0</v>
      </c>
      <c r="K52" s="48">
        <v>0</v>
      </c>
      <c r="L52" s="48">
        <v>0</v>
      </c>
      <c r="M52" s="48">
        <f>E52*G52</f>
        <v>7880.4000000000005</v>
      </c>
      <c r="N52" s="48">
        <v>0</v>
      </c>
      <c r="O52" s="48">
        <v>0</v>
      </c>
      <c r="P52" s="48">
        <v>0</v>
      </c>
      <c r="Q52" s="48">
        <f>E52*G52</f>
        <v>7880.4000000000005</v>
      </c>
      <c r="R52" s="48">
        <v>0</v>
      </c>
      <c r="S52" s="48">
        <v>0</v>
      </c>
      <c r="T52" s="48">
        <f>E52*G52</f>
        <v>7880.4000000000005</v>
      </c>
      <c r="U52" s="48">
        <f t="shared" si="14"/>
        <v>23641.200000000001</v>
      </c>
      <c r="V52" s="30"/>
      <c r="W52" s="29"/>
    </row>
    <row r="53" spans="1:23" s="22" customFormat="1">
      <c r="A53" s="51"/>
      <c r="B53" s="21" t="s">
        <v>37</v>
      </c>
      <c r="C53" s="67"/>
      <c r="D53" s="21"/>
      <c r="E53" s="68"/>
      <c r="F53" s="69"/>
      <c r="G53" s="69"/>
      <c r="H53" s="61">
        <f>SUM(H43:H52)</f>
        <v>49.913017296000007</v>
      </c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>
        <f>SUM(U43:U52)</f>
        <v>49913.017295999998</v>
      </c>
      <c r="V53" s="32"/>
      <c r="W53" s="34"/>
    </row>
    <row r="54" spans="1:23">
      <c r="A54" s="37"/>
      <c r="B54" s="13" t="s">
        <v>102</v>
      </c>
      <c r="C54" s="37"/>
      <c r="D54" s="12"/>
      <c r="E54" s="45"/>
      <c r="F54" s="46"/>
      <c r="G54" s="46"/>
      <c r="H54" s="47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30"/>
      <c r="W54" s="29"/>
    </row>
    <row r="55" spans="1:23" ht="38.25" customHeight="1">
      <c r="A55" s="37" t="s">
        <v>104</v>
      </c>
      <c r="B55" s="12" t="s">
        <v>148</v>
      </c>
      <c r="C55" s="37" t="s">
        <v>14</v>
      </c>
      <c r="D55" s="12" t="s">
        <v>103</v>
      </c>
      <c r="E55" s="45">
        <v>131.77500000000001</v>
      </c>
      <c r="F55" s="46">
        <f>SUM(E55*6/100)</f>
        <v>7.9065000000000012</v>
      </c>
      <c r="G55" s="65">
        <v>1547.28</v>
      </c>
      <c r="H55" s="47">
        <f>SUM(F55*G55/1000)</f>
        <v>12.233569320000003</v>
      </c>
      <c r="I55" s="48">
        <f>F55/6*G55</f>
        <v>2038.9282200000002</v>
      </c>
      <c r="J55" s="48">
        <f>F55/6*G55</f>
        <v>2038.9282200000002</v>
      </c>
      <c r="K55" s="48">
        <f>F55/6*G55</f>
        <v>2038.9282200000002</v>
      </c>
      <c r="L55" s="48">
        <f>F55/6*G55</f>
        <v>2038.9282200000002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f>F55/6*G55</f>
        <v>2038.9282200000002</v>
      </c>
      <c r="T55" s="48">
        <f>F55/6*G55</f>
        <v>2038.9282200000002</v>
      </c>
      <c r="U55" s="48">
        <f>SUM(I55:T55)</f>
        <v>12233.569320000001</v>
      </c>
      <c r="V55" s="30"/>
      <c r="W55" s="29"/>
    </row>
    <row r="56" spans="1:23" ht="12.75" customHeight="1">
      <c r="A56" s="71"/>
      <c r="B56" s="26" t="s">
        <v>105</v>
      </c>
      <c r="C56" s="71"/>
      <c r="D56" s="25"/>
      <c r="E56" s="72"/>
      <c r="F56" s="73"/>
      <c r="G56" s="74"/>
      <c r="H56" s="75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30"/>
      <c r="W56" s="29"/>
    </row>
    <row r="57" spans="1:23" ht="12.75" customHeight="1">
      <c r="A57" s="71" t="s">
        <v>106</v>
      </c>
      <c r="B57" s="25" t="s">
        <v>167</v>
      </c>
      <c r="C57" s="71" t="s">
        <v>30</v>
      </c>
      <c r="D57" s="25" t="s">
        <v>49</v>
      </c>
      <c r="E57" s="72">
        <v>890</v>
      </c>
      <c r="F57" s="75">
        <v>8.9</v>
      </c>
      <c r="G57" s="65">
        <v>793.61</v>
      </c>
      <c r="H57" s="76">
        <f>F57*G57/1000</f>
        <v>7.0631290000000009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f>SUM(I57:T57)</f>
        <v>0</v>
      </c>
      <c r="V57" s="30"/>
      <c r="W57" s="29"/>
    </row>
    <row r="58" spans="1:23" ht="12.75" customHeight="1">
      <c r="A58" s="71" t="s">
        <v>106</v>
      </c>
      <c r="B58" s="25" t="s">
        <v>168</v>
      </c>
      <c r="C58" s="71" t="s">
        <v>30</v>
      </c>
      <c r="D58" s="25" t="s">
        <v>49</v>
      </c>
      <c r="E58" s="72">
        <v>890</v>
      </c>
      <c r="F58" s="75">
        <v>8.9</v>
      </c>
      <c r="G58" s="65">
        <v>793.61</v>
      </c>
      <c r="H58" s="76">
        <f>F58*G58/1000</f>
        <v>7.0631290000000009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f>SUM(I58:T58)</f>
        <v>0</v>
      </c>
      <c r="V58" s="30"/>
      <c r="W58" s="29"/>
    </row>
    <row r="59" spans="1:23" ht="12.75" customHeight="1">
      <c r="A59" s="71"/>
      <c r="B59" s="25" t="s">
        <v>169</v>
      </c>
      <c r="C59" s="71" t="s">
        <v>107</v>
      </c>
      <c r="D59" s="25" t="s">
        <v>162</v>
      </c>
      <c r="E59" s="72">
        <v>158.19999999999999</v>
      </c>
      <c r="F59" s="73">
        <f>E59*12</f>
        <v>1898.3999999999999</v>
      </c>
      <c r="G59" s="74">
        <v>2.6</v>
      </c>
      <c r="H59" s="75">
        <f>F59*G59/1000</f>
        <v>4.9358399999999998</v>
      </c>
      <c r="I59" s="48">
        <f>F59/12*G59</f>
        <v>411.32</v>
      </c>
      <c r="J59" s="48">
        <f>F59/12*G59</f>
        <v>411.32</v>
      </c>
      <c r="K59" s="48">
        <f>F59/12*G59</f>
        <v>411.32</v>
      </c>
      <c r="L59" s="48">
        <f>F59/12*G59</f>
        <v>411.32</v>
      </c>
      <c r="M59" s="48">
        <f>F59/12*G59</f>
        <v>411.32</v>
      </c>
      <c r="N59" s="48">
        <f>F59/12*G59</f>
        <v>411.32</v>
      </c>
      <c r="O59" s="48">
        <f>F59/12*G59</f>
        <v>411.32</v>
      </c>
      <c r="P59" s="48">
        <f>F59/12*G59</f>
        <v>411.32</v>
      </c>
      <c r="Q59" s="48">
        <f>F59/12*G59</f>
        <v>411.32</v>
      </c>
      <c r="R59" s="48">
        <f>F59/12*G59</f>
        <v>411.32</v>
      </c>
      <c r="S59" s="48">
        <f>F59/12*G59</f>
        <v>411.32</v>
      </c>
      <c r="T59" s="48">
        <f>F59/12*G59</f>
        <v>411.32</v>
      </c>
      <c r="U59" s="48">
        <f>SUM(I59:T59)</f>
        <v>4935.84</v>
      </c>
      <c r="V59" s="30"/>
      <c r="W59" s="29"/>
    </row>
    <row r="60" spans="1:23">
      <c r="A60" s="71"/>
      <c r="B60" s="16" t="s">
        <v>108</v>
      </c>
      <c r="C60" s="71"/>
      <c r="D60" s="25"/>
      <c r="E60" s="72"/>
      <c r="F60" s="73"/>
      <c r="G60" s="73"/>
      <c r="H60" s="75" t="s">
        <v>66</v>
      </c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30"/>
      <c r="W60" s="29"/>
    </row>
    <row r="61" spans="1:23" ht="20.25" customHeight="1">
      <c r="A61" s="77" t="s">
        <v>109</v>
      </c>
      <c r="B61" s="17" t="s">
        <v>110</v>
      </c>
      <c r="C61" s="77" t="s">
        <v>99</v>
      </c>
      <c r="D61" s="9" t="s">
        <v>58</v>
      </c>
      <c r="E61" s="78">
        <v>15</v>
      </c>
      <c r="F61" s="46">
        <v>15</v>
      </c>
      <c r="G61" s="65">
        <v>222.4</v>
      </c>
      <c r="H61" s="79">
        <f t="shared" ref="H61:H74" si="15">SUM(F61*G61/1000)</f>
        <v>3.3359999999999999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f>G61</f>
        <v>222.4</v>
      </c>
      <c r="S61" s="48">
        <v>0</v>
      </c>
      <c r="T61" s="48">
        <v>0</v>
      </c>
      <c r="U61" s="48">
        <f t="shared" ref="U61:U68" si="16">SUM(I61:T61)</f>
        <v>222.4</v>
      </c>
      <c r="V61" s="30"/>
      <c r="W61" s="29"/>
    </row>
    <row r="62" spans="1:23" ht="12.75" customHeight="1">
      <c r="A62" s="77" t="s">
        <v>111</v>
      </c>
      <c r="B62" s="17" t="s">
        <v>112</v>
      </c>
      <c r="C62" s="77" t="s">
        <v>99</v>
      </c>
      <c r="D62" s="9" t="s">
        <v>58</v>
      </c>
      <c r="E62" s="78">
        <v>8</v>
      </c>
      <c r="F62" s="46">
        <v>8</v>
      </c>
      <c r="G62" s="65">
        <v>76.25</v>
      </c>
      <c r="H62" s="79">
        <f t="shared" si="15"/>
        <v>0.61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f t="shared" si="16"/>
        <v>0</v>
      </c>
      <c r="V62" s="30"/>
      <c r="W62" s="29"/>
    </row>
    <row r="63" spans="1:23" s="2" customFormat="1">
      <c r="A63" s="80" t="s">
        <v>113</v>
      </c>
      <c r="B63" s="17" t="s">
        <v>114</v>
      </c>
      <c r="C63" s="80" t="s">
        <v>115</v>
      </c>
      <c r="D63" s="9" t="s">
        <v>49</v>
      </c>
      <c r="E63" s="45">
        <v>14220</v>
      </c>
      <c r="F63" s="66">
        <f>SUM(E63/100)</f>
        <v>142.19999999999999</v>
      </c>
      <c r="G63" s="65">
        <v>212.15</v>
      </c>
      <c r="H63" s="79">
        <f t="shared" si="15"/>
        <v>30.167729999999999</v>
      </c>
      <c r="I63" s="64">
        <v>0</v>
      </c>
      <c r="J63" s="64">
        <v>0</v>
      </c>
      <c r="K63" s="64">
        <v>0</v>
      </c>
      <c r="L63" s="64">
        <v>0</v>
      </c>
      <c r="M63" s="64">
        <f>F63*G63</f>
        <v>30167.73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  <c r="T63" s="64">
        <v>0</v>
      </c>
      <c r="U63" s="48">
        <f t="shared" si="16"/>
        <v>30167.73</v>
      </c>
      <c r="V63" s="32"/>
      <c r="W63" s="33"/>
    </row>
    <row r="64" spans="1:23" ht="25.5">
      <c r="A64" s="77" t="s">
        <v>116</v>
      </c>
      <c r="B64" s="17" t="s">
        <v>117</v>
      </c>
      <c r="C64" s="77" t="s">
        <v>118</v>
      </c>
      <c r="D64" s="9"/>
      <c r="E64" s="45">
        <v>14220</v>
      </c>
      <c r="F64" s="65">
        <f>SUM(E64/1000)</f>
        <v>14.22</v>
      </c>
      <c r="G64" s="65">
        <v>165.21</v>
      </c>
      <c r="H64" s="79">
        <f t="shared" si="15"/>
        <v>2.3492861999999999</v>
      </c>
      <c r="I64" s="48">
        <v>0</v>
      </c>
      <c r="J64" s="48">
        <v>0</v>
      </c>
      <c r="K64" s="48">
        <v>0</v>
      </c>
      <c r="L64" s="48">
        <v>0</v>
      </c>
      <c r="M64" s="48">
        <f>F64*G64</f>
        <v>2349.2862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f t="shared" si="16"/>
        <v>2349.2862</v>
      </c>
      <c r="V64" s="30"/>
      <c r="W64" s="29"/>
    </row>
    <row r="65" spans="1:26">
      <c r="A65" s="77" t="s">
        <v>119</v>
      </c>
      <c r="B65" s="17" t="s">
        <v>120</v>
      </c>
      <c r="C65" s="77" t="s">
        <v>121</v>
      </c>
      <c r="D65" s="9" t="s">
        <v>49</v>
      </c>
      <c r="E65" s="45">
        <v>2260</v>
      </c>
      <c r="F65" s="65">
        <f>SUM(E65/100)</f>
        <v>22.6</v>
      </c>
      <c r="G65" s="65">
        <v>2074.63</v>
      </c>
      <c r="H65" s="79">
        <f t="shared" si="15"/>
        <v>46.886638000000005</v>
      </c>
      <c r="I65" s="48">
        <v>0</v>
      </c>
      <c r="J65" s="48">
        <v>0</v>
      </c>
      <c r="K65" s="48">
        <v>0</v>
      </c>
      <c r="L65" s="48">
        <v>0</v>
      </c>
      <c r="M65" s="48">
        <f>F65*G65</f>
        <v>46886.638000000006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f t="shared" si="16"/>
        <v>46886.638000000006</v>
      </c>
      <c r="V65" s="30"/>
      <c r="W65" s="29"/>
    </row>
    <row r="66" spans="1:26">
      <c r="A66" s="77"/>
      <c r="B66" s="18" t="s">
        <v>150</v>
      </c>
      <c r="C66" s="77" t="s">
        <v>56</v>
      </c>
      <c r="D66" s="9"/>
      <c r="E66" s="45">
        <v>11</v>
      </c>
      <c r="F66" s="65">
        <f>SUM(E66)</f>
        <v>11</v>
      </c>
      <c r="G66" s="65">
        <v>42.67</v>
      </c>
      <c r="H66" s="79">
        <f t="shared" si="15"/>
        <v>0.46937000000000001</v>
      </c>
      <c r="I66" s="48">
        <v>0</v>
      </c>
      <c r="J66" s="48">
        <v>0</v>
      </c>
      <c r="K66" s="48">
        <v>0</v>
      </c>
      <c r="L66" s="48">
        <v>0</v>
      </c>
      <c r="M66" s="48">
        <f>F66*G66</f>
        <v>469.37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f t="shared" si="16"/>
        <v>469.37</v>
      </c>
      <c r="V66" s="30"/>
      <c r="W66" s="29"/>
    </row>
    <row r="67" spans="1:26" ht="25.5">
      <c r="A67" s="81"/>
      <c r="B67" s="18" t="s">
        <v>151</v>
      </c>
      <c r="C67" s="77" t="s">
        <v>56</v>
      </c>
      <c r="D67" s="9"/>
      <c r="E67" s="45">
        <v>11</v>
      </c>
      <c r="F67" s="65">
        <f>SUM(E67)</f>
        <v>11</v>
      </c>
      <c r="G67" s="65">
        <v>39.81</v>
      </c>
      <c r="H67" s="79">
        <f t="shared" si="15"/>
        <v>0.43791000000000002</v>
      </c>
      <c r="I67" s="48">
        <v>0</v>
      </c>
      <c r="J67" s="48">
        <v>0</v>
      </c>
      <c r="K67" s="48">
        <v>0</v>
      </c>
      <c r="L67" s="48">
        <v>0</v>
      </c>
      <c r="M67" s="48">
        <f>F67*G67</f>
        <v>437.91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f t="shared" si="16"/>
        <v>437.91</v>
      </c>
      <c r="V67" s="30"/>
      <c r="W67" s="29"/>
    </row>
    <row r="68" spans="1:26">
      <c r="A68" s="77" t="s">
        <v>122</v>
      </c>
      <c r="B68" s="9" t="s">
        <v>123</v>
      </c>
      <c r="C68" s="77" t="s">
        <v>124</v>
      </c>
      <c r="D68" s="9" t="s">
        <v>49</v>
      </c>
      <c r="E68" s="78">
        <v>8</v>
      </c>
      <c r="F68" s="46">
        <v>8</v>
      </c>
      <c r="G68" s="65">
        <v>49.88</v>
      </c>
      <c r="H68" s="79">
        <f t="shared" si="15"/>
        <v>0.39904000000000001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f>F68*G68</f>
        <v>399.04</v>
      </c>
      <c r="R68" s="48">
        <v>0</v>
      </c>
      <c r="S68" s="48">
        <v>0</v>
      </c>
      <c r="T68" s="48">
        <v>0</v>
      </c>
      <c r="U68" s="48">
        <f t="shared" si="16"/>
        <v>399.04</v>
      </c>
      <c r="V68" s="30"/>
      <c r="W68" s="29"/>
    </row>
    <row r="69" spans="1:26">
      <c r="A69" s="81"/>
      <c r="B69" s="19" t="s">
        <v>125</v>
      </c>
      <c r="C69" s="77"/>
      <c r="D69" s="9"/>
      <c r="E69" s="78"/>
      <c r="F69" s="65"/>
      <c r="G69" s="65"/>
      <c r="H69" s="79" t="s">
        <v>66</v>
      </c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30"/>
      <c r="W69" s="29"/>
    </row>
    <row r="70" spans="1:26">
      <c r="A70" s="77" t="s">
        <v>126</v>
      </c>
      <c r="B70" s="9" t="s">
        <v>127</v>
      </c>
      <c r="C70" s="77" t="s">
        <v>128</v>
      </c>
      <c r="D70" s="9"/>
      <c r="E70" s="78">
        <v>2</v>
      </c>
      <c r="F70" s="65">
        <v>0.2</v>
      </c>
      <c r="G70" s="65">
        <v>501.62</v>
      </c>
      <c r="H70" s="79">
        <f t="shared" si="15"/>
        <v>0.10032400000000001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f>G70*0.4</f>
        <v>200.64800000000002</v>
      </c>
      <c r="S70" s="48">
        <v>0</v>
      </c>
      <c r="T70" s="48">
        <v>0</v>
      </c>
      <c r="U70" s="48">
        <f>SUM(I70:T70)</f>
        <v>200.64800000000002</v>
      </c>
      <c r="V70" s="30"/>
      <c r="W70" s="29"/>
    </row>
    <row r="71" spans="1:26">
      <c r="A71" s="77" t="s">
        <v>152</v>
      </c>
      <c r="B71" s="9" t="s">
        <v>153</v>
      </c>
      <c r="C71" s="77" t="s">
        <v>52</v>
      </c>
      <c r="D71" s="9"/>
      <c r="E71" s="78">
        <v>1</v>
      </c>
      <c r="F71" s="74">
        <v>1</v>
      </c>
      <c r="G71" s="65">
        <v>852.99</v>
      </c>
      <c r="H71" s="79">
        <f>F71*G71/1000</f>
        <v>0.85299000000000003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f>SUM(I71:T71)</f>
        <v>0</v>
      </c>
      <c r="V71" s="30"/>
      <c r="W71" s="29"/>
    </row>
    <row r="72" spans="1:26">
      <c r="A72" s="77" t="s">
        <v>129</v>
      </c>
      <c r="B72" s="9" t="s">
        <v>160</v>
      </c>
      <c r="C72" s="77" t="s">
        <v>52</v>
      </c>
      <c r="D72" s="9"/>
      <c r="E72" s="78">
        <v>1</v>
      </c>
      <c r="F72" s="65">
        <v>1</v>
      </c>
      <c r="G72" s="65">
        <v>358.51</v>
      </c>
      <c r="H72" s="79">
        <f>G72*F72/1000</f>
        <v>0.35851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f>SUM(I72:T72)</f>
        <v>0</v>
      </c>
      <c r="V72" s="30"/>
      <c r="W72" s="29"/>
    </row>
    <row r="73" spans="1:26">
      <c r="A73" s="81"/>
      <c r="B73" s="82" t="s">
        <v>130</v>
      </c>
      <c r="C73" s="77"/>
      <c r="D73" s="9"/>
      <c r="E73" s="78"/>
      <c r="F73" s="65"/>
      <c r="G73" s="65" t="s">
        <v>66</v>
      </c>
      <c r="H73" s="79" t="s">
        <v>66</v>
      </c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30"/>
      <c r="W73" s="29"/>
    </row>
    <row r="74" spans="1:26" s="2" customFormat="1">
      <c r="A74" s="80" t="s">
        <v>131</v>
      </c>
      <c r="B74" s="83" t="s">
        <v>132</v>
      </c>
      <c r="C74" s="80" t="s">
        <v>121</v>
      </c>
      <c r="D74" s="17"/>
      <c r="E74" s="84"/>
      <c r="F74" s="66">
        <v>0.1</v>
      </c>
      <c r="G74" s="66">
        <v>2759.44</v>
      </c>
      <c r="H74" s="79">
        <f t="shared" si="15"/>
        <v>0.27594400000000002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48">
        <f>SUM(I74:T74)</f>
        <v>0</v>
      </c>
      <c r="V74" s="32"/>
      <c r="W74" s="33"/>
    </row>
    <row r="75" spans="1:26" s="22" customFormat="1">
      <c r="A75" s="85"/>
      <c r="B75" s="21" t="s">
        <v>37</v>
      </c>
      <c r="C75" s="86"/>
      <c r="D75" s="87"/>
      <c r="E75" s="88"/>
      <c r="F75" s="70"/>
      <c r="G75" s="70"/>
      <c r="H75" s="89">
        <f>SUM(H55:H74)</f>
        <v>117.53940952000001</v>
      </c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>
        <f>SUM(U55:U74)</f>
        <v>98302.431519999998</v>
      </c>
      <c r="V75" s="32"/>
      <c r="W75" s="34"/>
    </row>
    <row r="76" spans="1:26">
      <c r="A76" s="158" t="s">
        <v>194</v>
      </c>
      <c r="B76" s="12" t="s">
        <v>195</v>
      </c>
      <c r="C76" s="91" t="s">
        <v>196</v>
      </c>
      <c r="D76" s="92"/>
      <c r="E76" s="159"/>
      <c r="F76" s="93">
        <f>65/10</f>
        <v>6.5</v>
      </c>
      <c r="G76" s="94">
        <v>9</v>
      </c>
      <c r="H76" s="150">
        <f>G76*F76/1000</f>
        <v>5.8500000000000003E-2</v>
      </c>
      <c r="I76" s="48">
        <v>0</v>
      </c>
      <c r="J76" s="48">
        <v>0</v>
      </c>
      <c r="K76" s="48">
        <v>0</v>
      </c>
      <c r="L76" s="48">
        <v>0</v>
      </c>
      <c r="M76" s="49">
        <v>0</v>
      </c>
      <c r="N76" s="48">
        <f>F76*G76</f>
        <v>58.5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f>SUM(I76:T76)</f>
        <v>58.5</v>
      </c>
      <c r="V76" s="30"/>
      <c r="W76" s="29"/>
    </row>
    <row r="77" spans="1:26" ht="12.75" customHeight="1">
      <c r="A77" s="77"/>
      <c r="B77" s="90" t="s">
        <v>133</v>
      </c>
      <c r="C77" s="77" t="s">
        <v>134</v>
      </c>
      <c r="D77" s="95"/>
      <c r="E77" s="65">
        <v>3382.7</v>
      </c>
      <c r="F77" s="65">
        <f>SUM(E77*12)</f>
        <v>40592.399999999994</v>
      </c>
      <c r="G77" s="96">
        <v>2.1</v>
      </c>
      <c r="H77" s="79">
        <f>SUM(F77*G77/1000)</f>
        <v>85.244039999999998</v>
      </c>
      <c r="I77" s="48">
        <f>F77/12*G77</f>
        <v>7103.6699999999992</v>
      </c>
      <c r="J77" s="48">
        <f>F77/12*G77</f>
        <v>7103.6699999999992</v>
      </c>
      <c r="K77" s="48">
        <f>F77/12*G77</f>
        <v>7103.6699999999992</v>
      </c>
      <c r="L77" s="48">
        <f>F77/12*G77</f>
        <v>7103.6699999999992</v>
      </c>
      <c r="M77" s="48">
        <f>F77/12*G77</f>
        <v>7103.6699999999992</v>
      </c>
      <c r="N77" s="48">
        <f>F77/12*G77</f>
        <v>7103.6699999999992</v>
      </c>
      <c r="O77" s="48">
        <f>F77/12*G77</f>
        <v>7103.6699999999992</v>
      </c>
      <c r="P77" s="48">
        <f>F77/12*G77</f>
        <v>7103.6699999999992</v>
      </c>
      <c r="Q77" s="48">
        <f>F77/12*G77</f>
        <v>7103.6699999999992</v>
      </c>
      <c r="R77" s="48">
        <f>F77/12*G77</f>
        <v>7103.6699999999992</v>
      </c>
      <c r="S77" s="48">
        <f>F77/12*G77</f>
        <v>7103.6699999999992</v>
      </c>
      <c r="T77" s="48">
        <f>F77/12*G77</f>
        <v>7103.6699999999992</v>
      </c>
      <c r="U77" s="48">
        <f>SUM(I77:T77)</f>
        <v>85244.04</v>
      </c>
      <c r="V77" s="30"/>
      <c r="W77" s="29"/>
    </row>
    <row r="78" spans="1:26" s="20" customFormat="1">
      <c r="A78" s="97"/>
      <c r="B78" s="21" t="s">
        <v>37</v>
      </c>
      <c r="C78" s="98"/>
      <c r="D78" s="99"/>
      <c r="E78" s="100"/>
      <c r="F78" s="56"/>
      <c r="G78" s="101"/>
      <c r="H78" s="57">
        <f>SUM(H76:H77)</f>
        <v>85.302539999999993</v>
      </c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>
        <f>SUM(U76:U77)</f>
        <v>85302.54</v>
      </c>
      <c r="V78" s="30"/>
      <c r="W78" s="31"/>
    </row>
    <row r="79" spans="1:26" ht="31.5" customHeight="1">
      <c r="A79" s="81"/>
      <c r="B79" s="9" t="s">
        <v>135</v>
      </c>
      <c r="C79" s="77"/>
      <c r="D79" s="102"/>
      <c r="E79" s="45">
        <f>E77</f>
        <v>3382.7</v>
      </c>
      <c r="F79" s="65">
        <f>E79*12</f>
        <v>40592.399999999994</v>
      </c>
      <c r="G79" s="65">
        <v>1.63</v>
      </c>
      <c r="H79" s="79">
        <f>F79*G79/1000</f>
        <v>66.165611999999982</v>
      </c>
      <c r="I79" s="48">
        <f>F79/12*G79</f>
        <v>5513.8009999999986</v>
      </c>
      <c r="J79" s="48">
        <f>F79/12*G79</f>
        <v>5513.8009999999986</v>
      </c>
      <c r="K79" s="48">
        <f>F79/12*G79</f>
        <v>5513.8009999999986</v>
      </c>
      <c r="L79" s="48">
        <f>F79/12*G79</f>
        <v>5513.8009999999986</v>
      </c>
      <c r="M79" s="48">
        <f>F79/12*G79</f>
        <v>5513.8009999999986</v>
      </c>
      <c r="N79" s="48">
        <f>F79/12*G79</f>
        <v>5513.8009999999986</v>
      </c>
      <c r="O79" s="48">
        <f>F79/12*G79</f>
        <v>5513.8009999999986</v>
      </c>
      <c r="P79" s="48">
        <f>F79/12*G79</f>
        <v>5513.8009999999986</v>
      </c>
      <c r="Q79" s="48">
        <f>F79/12*G79</f>
        <v>5513.8009999999986</v>
      </c>
      <c r="R79" s="48">
        <f>F79/12*G79</f>
        <v>5513.8009999999986</v>
      </c>
      <c r="S79" s="48">
        <f>F79/12*G79</f>
        <v>5513.8009999999986</v>
      </c>
      <c r="T79" s="48">
        <f>F79/12*G79</f>
        <v>5513.8009999999986</v>
      </c>
      <c r="U79" s="48">
        <f>SUM(I79:T79)</f>
        <v>66165.611999999979</v>
      </c>
      <c r="V79" s="30"/>
      <c r="W79" s="29"/>
    </row>
    <row r="80" spans="1:26" s="20" customFormat="1">
      <c r="A80" s="97"/>
      <c r="B80" s="103" t="s">
        <v>136</v>
      </c>
      <c r="C80" s="104"/>
      <c r="D80" s="103"/>
      <c r="E80" s="56"/>
      <c r="F80" s="56"/>
      <c r="G80" s="56"/>
      <c r="H80" s="89">
        <f>H79</f>
        <v>66.165611999999982</v>
      </c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153">
        <f>U79</f>
        <v>66165.611999999979</v>
      </c>
      <c r="V80" s="30"/>
      <c r="W80" s="175" t="s">
        <v>184</v>
      </c>
      <c r="X80" s="175"/>
      <c r="Y80" s="175"/>
      <c r="Z80" s="175"/>
    </row>
    <row r="81" spans="1:23" s="20" customFormat="1">
      <c r="A81" s="97"/>
      <c r="B81" s="103" t="s">
        <v>137</v>
      </c>
      <c r="C81" s="105"/>
      <c r="D81" s="106"/>
      <c r="E81" s="107"/>
      <c r="F81" s="107"/>
      <c r="G81" s="107"/>
      <c r="H81" s="89">
        <f>SUM(H80+H78+H75+H53+H41+H33+H21)</f>
        <v>686.76982989353326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53">
        <f>SUM(U80+U78+U75+U53+U41+U33+U21)*1.064</f>
        <v>707226.15073471947</v>
      </c>
      <c r="V81" s="30"/>
      <c r="W81" s="31"/>
    </row>
    <row r="82" spans="1:23" s="140" customFormat="1" ht="51" customHeight="1">
      <c r="A82" s="137"/>
      <c r="B82" s="82"/>
      <c r="C82" s="77"/>
      <c r="D82" s="102"/>
      <c r="E82" s="65"/>
      <c r="F82" s="65"/>
      <c r="G82" s="65"/>
      <c r="H82" s="138"/>
      <c r="I82" s="65"/>
      <c r="J82" s="65"/>
      <c r="K82" s="65"/>
      <c r="L82" s="65"/>
      <c r="M82" s="65"/>
      <c r="N82" s="65"/>
      <c r="O82" s="65"/>
      <c r="P82" s="65"/>
      <c r="Q82" s="65"/>
      <c r="R82" s="162"/>
      <c r="S82" s="162"/>
      <c r="T82" s="162"/>
      <c r="U82" s="163" t="s">
        <v>217</v>
      </c>
      <c r="V82" s="139"/>
      <c r="W82" s="139"/>
    </row>
    <row r="83" spans="1:23">
      <c r="A83" s="157"/>
      <c r="B83" s="102" t="s">
        <v>138</v>
      </c>
      <c r="C83" s="77"/>
      <c r="D83" s="102"/>
      <c r="E83" s="65"/>
      <c r="F83" s="65"/>
      <c r="G83" s="65" t="s">
        <v>139</v>
      </c>
      <c r="H83" s="108">
        <f>E79</f>
        <v>3382.7</v>
      </c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0"/>
      <c r="W83" s="29"/>
    </row>
    <row r="84" spans="1:23" s="20" customFormat="1">
      <c r="A84" s="97"/>
      <c r="B84" s="106" t="s">
        <v>140</v>
      </c>
      <c r="C84" s="105"/>
      <c r="D84" s="106"/>
      <c r="E84" s="107"/>
      <c r="F84" s="107"/>
      <c r="G84" s="107"/>
      <c r="H84" s="109">
        <f>SUM(H81/H83/12*1000)</f>
        <v>16.918680095129464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54"/>
      <c r="V84" s="30"/>
      <c r="W84" s="31"/>
    </row>
    <row r="85" spans="1:23">
      <c r="A85" s="110"/>
      <c r="B85" s="102"/>
      <c r="C85" s="77"/>
      <c r="D85" s="102"/>
      <c r="E85" s="65"/>
      <c r="F85" s="65"/>
      <c r="G85" s="65"/>
      <c r="H85" s="111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155"/>
      <c r="V85" s="30"/>
      <c r="W85" s="29"/>
    </row>
    <row r="86" spans="1:23">
      <c r="A86" s="81"/>
      <c r="B86" s="82" t="s">
        <v>141</v>
      </c>
      <c r="C86" s="77"/>
      <c r="D86" s="102"/>
      <c r="E86" s="65"/>
      <c r="F86" s="65"/>
      <c r="G86" s="65"/>
      <c r="H86" s="65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0"/>
      <c r="W86" s="29"/>
    </row>
    <row r="87" spans="1:23" ht="25.5">
      <c r="A87" s="135" t="s">
        <v>226</v>
      </c>
      <c r="B87" s="136" t="s">
        <v>183</v>
      </c>
      <c r="C87" s="143" t="s">
        <v>99</v>
      </c>
      <c r="D87" s="25"/>
      <c r="E87" s="72"/>
      <c r="F87" s="73">
        <v>610</v>
      </c>
      <c r="G87" s="112">
        <v>46.33</v>
      </c>
      <c r="H87" s="75">
        <f>SUM(F87*G87/1000)</f>
        <v>28.261299999999999</v>
      </c>
      <c r="I87" s="113">
        <f>G87*60</f>
        <v>2779.7999999999997</v>
      </c>
      <c r="J87" s="113">
        <v>0</v>
      </c>
      <c r="K87" s="113">
        <f>G87*61</f>
        <v>2826.13</v>
      </c>
      <c r="L87" s="113">
        <f>G87*61</f>
        <v>2826.13</v>
      </c>
      <c r="M87" s="113">
        <v>0</v>
      </c>
      <c r="N87" s="113">
        <f>G87*61</f>
        <v>2826.13</v>
      </c>
      <c r="O87" s="113">
        <f>G87*61</f>
        <v>2826.13</v>
      </c>
      <c r="P87" s="113">
        <f>G87*61</f>
        <v>2826.13</v>
      </c>
      <c r="Q87" s="113">
        <f>G87*61</f>
        <v>2826.13</v>
      </c>
      <c r="R87" s="113">
        <f>G87*61</f>
        <v>2826.13</v>
      </c>
      <c r="S87" s="113">
        <f>G87*61</f>
        <v>2826.13</v>
      </c>
      <c r="T87" s="113">
        <f>G87*61</f>
        <v>2826.13</v>
      </c>
      <c r="U87" s="113">
        <f t="shared" ref="U87:U97" si="17">SUM(I87:T87)</f>
        <v>28214.970000000008</v>
      </c>
      <c r="V87" s="30"/>
      <c r="W87" s="29"/>
    </row>
    <row r="88" spans="1:23">
      <c r="A88" s="135" t="s">
        <v>185</v>
      </c>
      <c r="B88" s="136" t="s">
        <v>186</v>
      </c>
      <c r="C88" s="135" t="s">
        <v>187</v>
      </c>
      <c r="D88" s="144"/>
      <c r="E88" s="78"/>
      <c r="F88" s="141">
        <v>5</v>
      </c>
      <c r="G88" s="65">
        <v>1372</v>
      </c>
      <c r="H88" s="145">
        <f t="shared" ref="H88:H103" si="18">G88*F88/1000</f>
        <v>6.86</v>
      </c>
      <c r="I88" s="113">
        <v>0</v>
      </c>
      <c r="J88" s="113">
        <f>G88*2</f>
        <v>2744</v>
      </c>
      <c r="K88" s="113">
        <v>0</v>
      </c>
      <c r="L88" s="113">
        <f>G88*2</f>
        <v>2744</v>
      </c>
      <c r="M88" s="113">
        <v>0</v>
      </c>
      <c r="N88" s="113">
        <v>0</v>
      </c>
      <c r="O88" s="113">
        <v>0</v>
      </c>
      <c r="P88" s="113">
        <v>0</v>
      </c>
      <c r="Q88" s="113">
        <v>0</v>
      </c>
      <c r="R88" s="113">
        <v>0</v>
      </c>
      <c r="S88" s="113">
        <v>0</v>
      </c>
      <c r="T88" s="113">
        <f>G88</f>
        <v>1372</v>
      </c>
      <c r="U88" s="113">
        <f t="shared" si="17"/>
        <v>6860</v>
      </c>
      <c r="V88" s="30"/>
      <c r="W88" s="29"/>
    </row>
    <row r="89" spans="1:23">
      <c r="A89" s="146" t="s">
        <v>189</v>
      </c>
      <c r="B89" s="147" t="s">
        <v>188</v>
      </c>
      <c r="C89" s="148" t="s">
        <v>99</v>
      </c>
      <c r="D89" s="144"/>
      <c r="E89" s="78"/>
      <c r="F89" s="151">
        <v>2</v>
      </c>
      <c r="G89" s="65">
        <v>262.95</v>
      </c>
      <c r="H89" s="141">
        <f t="shared" si="18"/>
        <v>0.52589999999999992</v>
      </c>
      <c r="I89" s="113">
        <v>0</v>
      </c>
      <c r="J89" s="113">
        <f>G89</f>
        <v>262.95</v>
      </c>
      <c r="K89" s="113">
        <v>0</v>
      </c>
      <c r="L89" s="113">
        <v>0</v>
      </c>
      <c r="M89" s="113">
        <v>0</v>
      </c>
      <c r="N89" s="113">
        <v>0</v>
      </c>
      <c r="O89" s="113">
        <f>G89</f>
        <v>262.95</v>
      </c>
      <c r="P89" s="113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f t="shared" si="17"/>
        <v>525.9</v>
      </c>
      <c r="V89" s="30"/>
      <c r="W89" s="29"/>
    </row>
    <row r="90" spans="1:23" ht="25.5">
      <c r="A90" s="146" t="s">
        <v>190</v>
      </c>
      <c r="B90" s="149" t="s">
        <v>215</v>
      </c>
      <c r="C90" s="148" t="s">
        <v>52</v>
      </c>
      <c r="D90" s="144"/>
      <c r="E90" s="78"/>
      <c r="F90" s="151">
        <v>3</v>
      </c>
      <c r="G90" s="65">
        <v>64571</v>
      </c>
      <c r="H90" s="142">
        <f>G90/1000</f>
        <v>64.570999999999998</v>
      </c>
      <c r="I90" s="113">
        <v>0</v>
      </c>
      <c r="J90" s="113">
        <f>G90</f>
        <v>64571</v>
      </c>
      <c r="K90" s="113">
        <v>0</v>
      </c>
      <c r="L90" s="113">
        <v>0</v>
      </c>
      <c r="M90" s="113">
        <v>0</v>
      </c>
      <c r="N90" s="113">
        <v>0</v>
      </c>
      <c r="O90" s="113">
        <v>0</v>
      </c>
      <c r="P90" s="113">
        <v>0</v>
      </c>
      <c r="Q90" s="113">
        <v>0</v>
      </c>
      <c r="R90" s="113">
        <v>0</v>
      </c>
      <c r="S90" s="113">
        <v>0</v>
      </c>
      <c r="T90" s="113">
        <v>0</v>
      </c>
      <c r="U90" s="113">
        <f t="shared" si="17"/>
        <v>64571</v>
      </c>
      <c r="V90" s="30"/>
      <c r="W90" s="29"/>
    </row>
    <row r="91" spans="1:23" ht="25.5">
      <c r="A91" s="146" t="s">
        <v>199</v>
      </c>
      <c r="B91" s="149" t="s">
        <v>197</v>
      </c>
      <c r="C91" s="148" t="s">
        <v>198</v>
      </c>
      <c r="D91" s="144"/>
      <c r="E91" s="78"/>
      <c r="F91" s="151">
        <v>1</v>
      </c>
      <c r="G91" s="65">
        <v>38.270000000000003</v>
      </c>
      <c r="H91" s="151">
        <f t="shared" si="18"/>
        <v>3.8270000000000005E-2</v>
      </c>
      <c r="I91" s="113">
        <v>0</v>
      </c>
      <c r="J91" s="113">
        <v>0</v>
      </c>
      <c r="K91" s="113">
        <f>G91</f>
        <v>38.270000000000003</v>
      </c>
      <c r="L91" s="113">
        <v>0</v>
      </c>
      <c r="M91" s="113">
        <v>0</v>
      </c>
      <c r="N91" s="113">
        <v>0</v>
      </c>
      <c r="O91" s="113">
        <v>0</v>
      </c>
      <c r="P91" s="113">
        <v>0</v>
      </c>
      <c r="Q91" s="113">
        <v>0</v>
      </c>
      <c r="R91" s="113">
        <v>0</v>
      </c>
      <c r="S91" s="113">
        <v>0</v>
      </c>
      <c r="T91" s="113">
        <v>0</v>
      </c>
      <c r="U91" s="113">
        <f t="shared" si="17"/>
        <v>38.270000000000003</v>
      </c>
      <c r="V91" s="30"/>
      <c r="W91" s="29"/>
    </row>
    <row r="92" spans="1:23" ht="34.5" customHeight="1">
      <c r="A92" s="135" t="s">
        <v>93</v>
      </c>
      <c r="B92" s="136" t="s">
        <v>202</v>
      </c>
      <c r="C92" s="135" t="s">
        <v>95</v>
      </c>
      <c r="D92" s="144"/>
      <c r="E92" s="78"/>
      <c r="F92" s="160">
        <v>0.01</v>
      </c>
      <c r="G92" s="65">
        <v>3105.72</v>
      </c>
      <c r="H92" s="160">
        <f t="shared" si="18"/>
        <v>3.1057199999999997E-2</v>
      </c>
      <c r="I92" s="113">
        <v>0</v>
      </c>
      <c r="J92" s="113">
        <v>0</v>
      </c>
      <c r="K92" s="113">
        <v>0</v>
      </c>
      <c r="L92" s="113">
        <f>G92*0.01</f>
        <v>31.057199999999998</v>
      </c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  <c r="T92" s="113">
        <v>0</v>
      </c>
      <c r="U92" s="113">
        <f t="shared" si="17"/>
        <v>31.057199999999998</v>
      </c>
      <c r="V92" s="30"/>
      <c r="W92" s="29"/>
    </row>
    <row r="93" spans="1:23" ht="30" customHeight="1">
      <c r="A93" s="161" t="s">
        <v>204</v>
      </c>
      <c r="B93" s="149" t="s">
        <v>203</v>
      </c>
      <c r="C93" s="148" t="s">
        <v>52</v>
      </c>
      <c r="D93" s="144"/>
      <c r="E93" s="78"/>
      <c r="F93" s="160">
        <v>10</v>
      </c>
      <c r="G93" s="65">
        <v>72.290000000000006</v>
      </c>
      <c r="H93" s="160">
        <f t="shared" si="18"/>
        <v>0.7229000000000001</v>
      </c>
      <c r="I93" s="113">
        <v>0</v>
      </c>
      <c r="J93" s="113">
        <v>0</v>
      </c>
      <c r="K93" s="113">
        <v>0</v>
      </c>
      <c r="L93" s="113">
        <f>G93</f>
        <v>72.290000000000006</v>
      </c>
      <c r="M93" s="113">
        <v>0</v>
      </c>
      <c r="N93" s="113">
        <f>G93*3</f>
        <v>216.87</v>
      </c>
      <c r="O93" s="113">
        <f>G93</f>
        <v>72.290000000000006</v>
      </c>
      <c r="P93" s="113">
        <f>G93*2</f>
        <v>144.58000000000001</v>
      </c>
      <c r="Q93" s="113">
        <f>G93</f>
        <v>72.290000000000006</v>
      </c>
      <c r="R93" s="113">
        <f>G93</f>
        <v>72.290000000000006</v>
      </c>
      <c r="S93" s="113">
        <v>0</v>
      </c>
      <c r="T93" s="113">
        <f>G93</f>
        <v>72.290000000000006</v>
      </c>
      <c r="U93" s="113">
        <f t="shared" si="17"/>
        <v>722.9</v>
      </c>
      <c r="V93" s="30"/>
      <c r="W93" s="29"/>
    </row>
    <row r="94" spans="1:23" ht="30" customHeight="1">
      <c r="A94" s="161" t="s">
        <v>206</v>
      </c>
      <c r="B94" s="149" t="s">
        <v>205</v>
      </c>
      <c r="C94" s="148" t="s">
        <v>196</v>
      </c>
      <c r="D94" s="144"/>
      <c r="E94" s="78"/>
      <c r="F94" s="160">
        <v>1</v>
      </c>
      <c r="G94" s="65">
        <v>272.25</v>
      </c>
      <c r="H94" s="160">
        <f t="shared" si="18"/>
        <v>0.27224999999999999</v>
      </c>
      <c r="I94" s="113">
        <v>0</v>
      </c>
      <c r="J94" s="113">
        <v>0</v>
      </c>
      <c r="K94" s="113">
        <v>0</v>
      </c>
      <c r="L94" s="113">
        <f>G94</f>
        <v>272.25</v>
      </c>
      <c r="M94" s="113">
        <v>0</v>
      </c>
      <c r="N94" s="113">
        <v>0</v>
      </c>
      <c r="O94" s="113">
        <v>0</v>
      </c>
      <c r="P94" s="113">
        <v>0</v>
      </c>
      <c r="Q94" s="113">
        <v>0</v>
      </c>
      <c r="R94" s="113">
        <v>0</v>
      </c>
      <c r="S94" s="113">
        <v>0</v>
      </c>
      <c r="T94" s="113">
        <v>0</v>
      </c>
      <c r="U94" s="113">
        <f t="shared" si="17"/>
        <v>272.25</v>
      </c>
      <c r="V94" s="30"/>
      <c r="W94" s="29"/>
    </row>
    <row r="95" spans="1:23" ht="23.25" customHeight="1">
      <c r="A95" s="161" t="s">
        <v>207</v>
      </c>
      <c r="B95" s="149" t="s">
        <v>208</v>
      </c>
      <c r="C95" s="148" t="s">
        <v>216</v>
      </c>
      <c r="D95" s="144"/>
      <c r="E95" s="78"/>
      <c r="F95" s="160">
        <v>0.3</v>
      </c>
      <c r="G95" s="65">
        <v>530.44000000000005</v>
      </c>
      <c r="H95" s="160">
        <f t="shared" si="18"/>
        <v>0.159132</v>
      </c>
      <c r="I95" s="113">
        <v>0</v>
      </c>
      <c r="J95" s="113">
        <v>0</v>
      </c>
      <c r="K95" s="113">
        <v>0</v>
      </c>
      <c r="L95" s="113">
        <f>G95*0.3</f>
        <v>159.13200000000001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  <c r="T95" s="113">
        <v>0</v>
      </c>
      <c r="U95" s="113">
        <f t="shared" si="17"/>
        <v>159.13200000000001</v>
      </c>
      <c r="V95" s="30"/>
      <c r="W95" s="29"/>
    </row>
    <row r="96" spans="1:23" ht="23.25" customHeight="1">
      <c r="A96" s="161" t="s">
        <v>211</v>
      </c>
      <c r="B96" s="149" t="s">
        <v>209</v>
      </c>
      <c r="C96" s="148" t="s">
        <v>210</v>
      </c>
      <c r="D96" s="144"/>
      <c r="E96" s="78"/>
      <c r="F96" s="160">
        <v>1</v>
      </c>
      <c r="G96" s="65">
        <v>704.82</v>
      </c>
      <c r="H96" s="160">
        <f t="shared" si="18"/>
        <v>0.70482</v>
      </c>
      <c r="I96" s="113">
        <v>0</v>
      </c>
      <c r="J96" s="113">
        <v>0</v>
      </c>
      <c r="K96" s="113">
        <v>0</v>
      </c>
      <c r="L96" s="113">
        <f>G96</f>
        <v>704.82</v>
      </c>
      <c r="M96" s="113">
        <v>0</v>
      </c>
      <c r="N96" s="113">
        <v>0</v>
      </c>
      <c r="O96" s="113">
        <v>0</v>
      </c>
      <c r="P96" s="113">
        <v>0</v>
      </c>
      <c r="Q96" s="113">
        <v>0</v>
      </c>
      <c r="R96" s="113">
        <v>0</v>
      </c>
      <c r="S96" s="113">
        <v>0</v>
      </c>
      <c r="T96" s="113">
        <v>0</v>
      </c>
      <c r="U96" s="113">
        <f t="shared" si="17"/>
        <v>704.82</v>
      </c>
      <c r="V96" s="30"/>
      <c r="W96" s="29"/>
    </row>
    <row r="97" spans="1:23" ht="23.25" customHeight="1">
      <c r="A97" s="161" t="s">
        <v>214</v>
      </c>
      <c r="B97" s="149" t="s">
        <v>212</v>
      </c>
      <c r="C97" s="148" t="s">
        <v>213</v>
      </c>
      <c r="D97" s="144"/>
      <c r="E97" s="78"/>
      <c r="F97" s="160">
        <v>12</v>
      </c>
      <c r="G97" s="65">
        <v>52.25</v>
      </c>
      <c r="H97" s="160">
        <f t="shared" si="18"/>
        <v>0.627</v>
      </c>
      <c r="I97" s="113">
        <v>0</v>
      </c>
      <c r="J97" s="113">
        <v>0</v>
      </c>
      <c r="K97" s="113">
        <v>0</v>
      </c>
      <c r="L97" s="113">
        <f>G97*12</f>
        <v>627</v>
      </c>
      <c r="M97" s="113">
        <v>0</v>
      </c>
      <c r="N97" s="113">
        <v>0</v>
      </c>
      <c r="O97" s="113">
        <v>0</v>
      </c>
      <c r="P97" s="113">
        <v>0</v>
      </c>
      <c r="Q97" s="113">
        <v>0</v>
      </c>
      <c r="R97" s="113">
        <v>0</v>
      </c>
      <c r="S97" s="113">
        <v>0</v>
      </c>
      <c r="T97" s="113">
        <v>0</v>
      </c>
      <c r="U97" s="113">
        <f t="shared" si="17"/>
        <v>627</v>
      </c>
      <c r="V97" s="30"/>
      <c r="W97" s="29"/>
    </row>
    <row r="98" spans="1:23" ht="23.25" customHeight="1">
      <c r="A98" s="161" t="s">
        <v>190</v>
      </c>
      <c r="B98" s="149" t="s">
        <v>218</v>
      </c>
      <c r="C98" s="148" t="s">
        <v>219</v>
      </c>
      <c r="D98" s="144"/>
      <c r="E98" s="78"/>
      <c r="F98" s="160">
        <v>1</v>
      </c>
      <c r="G98" s="65">
        <v>10041</v>
      </c>
      <c r="H98" s="160">
        <f t="shared" si="18"/>
        <v>10.041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13">
        <f>G98</f>
        <v>10041</v>
      </c>
      <c r="P98" s="113">
        <v>0</v>
      </c>
      <c r="Q98" s="113">
        <v>0</v>
      </c>
      <c r="R98" s="113">
        <v>0</v>
      </c>
      <c r="S98" s="113">
        <v>0</v>
      </c>
      <c r="T98" s="113">
        <v>0</v>
      </c>
      <c r="U98" s="113">
        <f>SUM(I98:T98)</f>
        <v>10041</v>
      </c>
      <c r="V98" s="30"/>
      <c r="W98" s="29"/>
    </row>
    <row r="99" spans="1:23" ht="26.25" customHeight="1">
      <c r="A99" s="164" t="s">
        <v>228</v>
      </c>
      <c r="B99" s="136" t="s">
        <v>227</v>
      </c>
      <c r="C99" s="135" t="s">
        <v>99</v>
      </c>
      <c r="D99" s="144"/>
      <c r="E99" s="78"/>
      <c r="F99" s="160">
        <v>1</v>
      </c>
      <c r="G99" s="65">
        <v>1992.08</v>
      </c>
      <c r="H99" s="160">
        <f t="shared" si="18"/>
        <v>1.9920799999999999</v>
      </c>
      <c r="I99" s="113">
        <v>0</v>
      </c>
      <c r="J99" s="113">
        <v>0</v>
      </c>
      <c r="K99" s="113">
        <v>0</v>
      </c>
      <c r="L99" s="113">
        <v>0</v>
      </c>
      <c r="M99" s="113">
        <v>0</v>
      </c>
      <c r="N99" s="113">
        <v>0</v>
      </c>
      <c r="O99" s="113">
        <v>0</v>
      </c>
      <c r="P99" s="113">
        <v>0</v>
      </c>
      <c r="Q99" s="113">
        <v>0</v>
      </c>
      <c r="R99" s="113">
        <v>0</v>
      </c>
      <c r="S99" s="113">
        <v>0</v>
      </c>
      <c r="T99" s="113">
        <f>G99</f>
        <v>1992.08</v>
      </c>
      <c r="U99" s="113">
        <f>SUM(I99:T99)</f>
        <v>1992.08</v>
      </c>
      <c r="V99" s="30"/>
      <c r="W99" s="29"/>
    </row>
    <row r="100" spans="1:23" ht="26.25" customHeight="1">
      <c r="A100" s="164" t="s">
        <v>231</v>
      </c>
      <c r="B100" s="136" t="s">
        <v>229</v>
      </c>
      <c r="C100" s="135" t="s">
        <v>230</v>
      </c>
      <c r="D100" s="144"/>
      <c r="E100" s="78"/>
      <c r="F100" s="160">
        <v>2</v>
      </c>
      <c r="G100" s="65">
        <v>511.54</v>
      </c>
      <c r="H100" s="160">
        <f t="shared" si="18"/>
        <v>1.02308</v>
      </c>
      <c r="I100" s="113">
        <v>0</v>
      </c>
      <c r="J100" s="113">
        <v>0</v>
      </c>
      <c r="K100" s="113">
        <v>0</v>
      </c>
      <c r="L100" s="113">
        <v>0</v>
      </c>
      <c r="M100" s="113">
        <v>0</v>
      </c>
      <c r="N100" s="113">
        <f>G100</f>
        <v>511.54</v>
      </c>
      <c r="O100" s="113">
        <v>0</v>
      </c>
      <c r="P100" s="113">
        <v>0</v>
      </c>
      <c r="Q100" s="113">
        <v>0</v>
      </c>
      <c r="R100" s="113">
        <v>0</v>
      </c>
      <c r="S100" s="113">
        <f>G100</f>
        <v>511.54</v>
      </c>
      <c r="T100" s="113">
        <v>0</v>
      </c>
      <c r="U100" s="113">
        <f>SUM(I100:T100)</f>
        <v>1023.08</v>
      </c>
      <c r="V100" s="30"/>
      <c r="W100" s="29"/>
    </row>
    <row r="101" spans="1:23" ht="26.25" customHeight="1">
      <c r="A101" s="135" t="s">
        <v>233</v>
      </c>
      <c r="B101" s="136" t="s">
        <v>234</v>
      </c>
      <c r="C101" s="135" t="s">
        <v>232</v>
      </c>
      <c r="D101" s="144"/>
      <c r="E101" s="78"/>
      <c r="F101" s="160">
        <v>1</v>
      </c>
      <c r="G101" s="65">
        <v>169.85</v>
      </c>
      <c r="H101" s="160">
        <f t="shared" si="18"/>
        <v>0.16985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  <c r="O101" s="113">
        <v>0</v>
      </c>
      <c r="P101" s="113">
        <v>0</v>
      </c>
      <c r="Q101" s="113">
        <f>G101</f>
        <v>169.85</v>
      </c>
      <c r="R101" s="113">
        <v>0</v>
      </c>
      <c r="S101" s="113">
        <v>0</v>
      </c>
      <c r="T101" s="113">
        <v>0</v>
      </c>
      <c r="U101" s="113">
        <f>SUM(I101:T101)</f>
        <v>169.85</v>
      </c>
      <c r="V101" s="30"/>
      <c r="W101" s="29"/>
    </row>
    <row r="102" spans="1:23" ht="26.25" customHeight="1">
      <c r="A102" s="164" t="s">
        <v>235</v>
      </c>
      <c r="B102" s="136" t="s">
        <v>236</v>
      </c>
      <c r="C102" s="135" t="s">
        <v>99</v>
      </c>
      <c r="D102" s="144"/>
      <c r="E102" s="78"/>
      <c r="F102" s="160">
        <v>1</v>
      </c>
      <c r="G102" s="65">
        <v>669.88</v>
      </c>
      <c r="H102" s="160">
        <f t="shared" si="18"/>
        <v>0.66988000000000003</v>
      </c>
      <c r="I102" s="113">
        <v>0</v>
      </c>
      <c r="J102" s="113">
        <v>0</v>
      </c>
      <c r="K102" s="113">
        <v>0</v>
      </c>
      <c r="L102" s="113">
        <v>0</v>
      </c>
      <c r="M102" s="113">
        <v>0</v>
      </c>
      <c r="N102" s="113">
        <v>0</v>
      </c>
      <c r="O102" s="113">
        <v>0</v>
      </c>
      <c r="P102" s="113">
        <v>0</v>
      </c>
      <c r="Q102" s="113">
        <v>0</v>
      </c>
      <c r="R102" s="113">
        <v>0</v>
      </c>
      <c r="S102" s="113">
        <v>0</v>
      </c>
      <c r="T102" s="113">
        <f>G102</f>
        <v>669.88</v>
      </c>
      <c r="U102" s="113">
        <f>SUM(I102:T102)</f>
        <v>669.88</v>
      </c>
      <c r="V102" s="30"/>
      <c r="W102" s="29"/>
    </row>
    <row r="103" spans="1:23" ht="26.25" customHeight="1">
      <c r="A103" s="179" t="s">
        <v>238</v>
      </c>
      <c r="B103" s="136" t="s">
        <v>237</v>
      </c>
      <c r="C103" s="135" t="s">
        <v>99</v>
      </c>
      <c r="D103" s="144"/>
      <c r="E103" s="78"/>
      <c r="F103" s="160">
        <v>1</v>
      </c>
      <c r="G103" s="65">
        <v>167.91</v>
      </c>
      <c r="H103" s="160">
        <f t="shared" si="18"/>
        <v>0.16791</v>
      </c>
      <c r="I103" s="113">
        <v>0</v>
      </c>
      <c r="J103" s="113">
        <v>0</v>
      </c>
      <c r="K103" s="113">
        <v>0</v>
      </c>
      <c r="L103" s="113">
        <v>0</v>
      </c>
      <c r="M103" s="113">
        <v>0</v>
      </c>
      <c r="N103" s="113">
        <v>0</v>
      </c>
      <c r="O103" s="113">
        <v>0</v>
      </c>
      <c r="P103" s="113">
        <v>0</v>
      </c>
      <c r="Q103" s="113">
        <v>0</v>
      </c>
      <c r="R103" s="113">
        <f>G103</f>
        <v>167.91</v>
      </c>
      <c r="S103" s="113">
        <v>0</v>
      </c>
      <c r="T103" s="113">
        <v>0</v>
      </c>
      <c r="U103" s="113">
        <f>SUM(I103:T103)</f>
        <v>167.91</v>
      </c>
      <c r="V103" s="30"/>
      <c r="W103" s="29"/>
    </row>
    <row r="104" spans="1:23" s="20" customFormat="1">
      <c r="A104" s="114"/>
      <c r="B104" s="115" t="s">
        <v>142</v>
      </c>
      <c r="C104" s="114"/>
      <c r="D104" s="114"/>
      <c r="E104" s="107"/>
      <c r="F104" s="107"/>
      <c r="G104" s="107"/>
      <c r="H104" s="57">
        <f>SUM(H87:H103)</f>
        <v>116.83742919999999</v>
      </c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56">
        <f>SUM(U87:U103)</f>
        <v>116791.09920000003</v>
      </c>
      <c r="V104" s="30"/>
      <c r="W104" s="31"/>
    </row>
    <row r="105" spans="1:23">
      <c r="A105" s="110"/>
      <c r="B105" s="116"/>
      <c r="C105" s="117"/>
      <c r="D105" s="117"/>
      <c r="E105" s="65"/>
      <c r="F105" s="65"/>
      <c r="G105" s="65"/>
      <c r="H105" s="11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156"/>
      <c r="V105" s="30"/>
      <c r="W105" s="29"/>
    </row>
    <row r="106" spans="1:23" ht="12" customHeight="1">
      <c r="A106" s="81"/>
      <c r="B106" s="19" t="s">
        <v>143</v>
      </c>
      <c r="C106" s="77"/>
      <c r="D106" s="102"/>
      <c r="E106" s="65"/>
      <c r="F106" s="65"/>
      <c r="G106" s="65"/>
      <c r="H106" s="119">
        <f>H104/E107/12*1000</f>
        <v>2.8783079886875376</v>
      </c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156"/>
      <c r="V106" s="30"/>
      <c r="W106" s="29"/>
    </row>
    <row r="107" spans="1:23" s="20" customFormat="1">
      <c r="A107" s="97"/>
      <c r="B107" s="120" t="s">
        <v>144</v>
      </c>
      <c r="C107" s="121"/>
      <c r="D107" s="120"/>
      <c r="E107" s="122">
        <v>3382.7</v>
      </c>
      <c r="F107" s="123">
        <f>SUM(E107*12)</f>
        <v>40592.399999999994</v>
      </c>
      <c r="G107" s="124">
        <f>H84+H106</f>
        <v>19.796988083817002</v>
      </c>
      <c r="H107" s="125">
        <f>SUM(F107*G107/1000)</f>
        <v>803.60725909353312</v>
      </c>
      <c r="I107" s="107">
        <f>SUM(I11:I106)</f>
        <v>55787.263439333328</v>
      </c>
      <c r="J107" s="107">
        <f>SUM(J11:J106)</f>
        <v>117657.14691933332</v>
      </c>
      <c r="K107" s="107">
        <f>SUM(K11:K105)</f>
        <v>58439.354400533331</v>
      </c>
      <c r="L107" s="107">
        <f t="shared" ref="L107:R107" si="19">SUM(L11:L106)</f>
        <v>59583.75297733333</v>
      </c>
      <c r="M107" s="107">
        <f t="shared" si="19"/>
        <v>133108.76010108888</v>
      </c>
      <c r="N107" s="107">
        <f t="shared" si="19"/>
        <v>50988.259168888886</v>
      </c>
      <c r="O107" s="107">
        <f t="shared" si="19"/>
        <v>53779.286538088876</v>
      </c>
      <c r="P107" s="107">
        <f t="shared" si="19"/>
        <v>46475.893058088877</v>
      </c>
      <c r="Q107" s="107">
        <f t="shared" si="19"/>
        <v>62071.67845928888</v>
      </c>
      <c r="R107" s="107">
        <f t="shared" si="19"/>
        <v>48459.818616088887</v>
      </c>
      <c r="S107" s="107">
        <f>SUM(S11:S106)</f>
        <v>51091.219699333327</v>
      </c>
      <c r="T107" s="107">
        <f>SUM(T11:T106)</f>
        <v>72713.381620533342</v>
      </c>
      <c r="U107" s="56">
        <f>U81+U104</f>
        <v>824017.24993471953</v>
      </c>
      <c r="V107" s="30"/>
      <c r="W107" s="31"/>
    </row>
    <row r="108" spans="1:23">
      <c r="A108" s="81"/>
      <c r="B108" s="81"/>
      <c r="C108" s="81"/>
      <c r="D108" s="81"/>
      <c r="E108" s="126"/>
      <c r="F108" s="126"/>
      <c r="G108" s="126"/>
      <c r="H108" s="126"/>
      <c r="I108" s="126"/>
      <c r="J108" s="126"/>
      <c r="K108" s="126"/>
      <c r="L108" s="126"/>
      <c r="M108" s="81"/>
      <c r="N108" s="126"/>
      <c r="O108" s="81"/>
      <c r="P108" s="81"/>
      <c r="Q108" s="81"/>
      <c r="R108" s="81"/>
      <c r="S108" s="81"/>
      <c r="T108" s="81"/>
      <c r="U108" s="81"/>
      <c r="V108" s="29"/>
      <c r="W108" s="29"/>
    </row>
    <row r="109" spans="1:23">
      <c r="A109" s="81"/>
      <c r="B109" s="81"/>
      <c r="C109" s="81"/>
      <c r="D109" s="81"/>
      <c r="E109" s="126"/>
      <c r="F109" s="126"/>
      <c r="G109" s="126"/>
      <c r="H109" s="126"/>
      <c r="I109" s="126"/>
      <c r="J109" s="127"/>
      <c r="K109" s="128"/>
      <c r="L109" s="127"/>
      <c r="M109" s="126"/>
      <c r="N109" s="81"/>
      <c r="O109" s="81"/>
      <c r="P109" s="81"/>
      <c r="Q109" s="81"/>
      <c r="R109" s="81"/>
      <c r="S109" s="81"/>
      <c r="T109" s="81"/>
      <c r="U109" s="81"/>
      <c r="V109" s="29"/>
      <c r="W109" s="29"/>
    </row>
    <row r="110" spans="1:23" ht="45">
      <c r="A110" s="81"/>
      <c r="B110" s="129" t="s">
        <v>182</v>
      </c>
      <c r="C110" s="165">
        <v>183368.74</v>
      </c>
      <c r="D110" s="166"/>
      <c r="E110" s="166"/>
      <c r="F110" s="167"/>
      <c r="G110" s="126"/>
      <c r="H110" s="126"/>
      <c r="I110" s="126"/>
      <c r="J110" s="127"/>
      <c r="K110" s="128"/>
      <c r="L110" s="127"/>
      <c r="M110" s="126"/>
      <c r="N110" s="81"/>
      <c r="O110" s="81"/>
      <c r="P110" s="81"/>
      <c r="Q110" s="81"/>
      <c r="R110" s="81"/>
      <c r="S110" s="81"/>
      <c r="T110" s="81"/>
      <c r="U110" s="81"/>
    </row>
    <row r="111" spans="1:23" ht="30">
      <c r="A111" s="81"/>
      <c r="B111" s="23" t="s">
        <v>220</v>
      </c>
      <c r="C111" s="169">
        <v>830165.16</v>
      </c>
      <c r="D111" s="170"/>
      <c r="E111" s="170"/>
      <c r="F111" s="171"/>
      <c r="G111" s="126"/>
      <c r="H111" s="126"/>
      <c r="I111" s="126"/>
      <c r="J111" s="127"/>
      <c r="K111" s="128"/>
      <c r="L111" s="127"/>
      <c r="M111" s="126"/>
      <c r="N111" s="81"/>
      <c r="O111" s="81"/>
      <c r="P111" s="81"/>
      <c r="Q111" s="81"/>
      <c r="R111" s="81"/>
      <c r="S111" s="81"/>
      <c r="T111" s="81"/>
      <c r="U111" s="81"/>
    </row>
    <row r="112" spans="1:23" ht="30">
      <c r="A112" s="81"/>
      <c r="B112" s="23" t="s">
        <v>221</v>
      </c>
      <c r="C112" s="169">
        <f>SUM(U107-U104)</f>
        <v>707226.15073471947</v>
      </c>
      <c r="D112" s="170"/>
      <c r="E112" s="170"/>
      <c r="F112" s="171"/>
      <c r="G112" s="126"/>
      <c r="H112" s="126"/>
      <c r="I112" s="126"/>
      <c r="J112" s="127"/>
      <c r="K112" s="128"/>
      <c r="L112" s="127"/>
      <c r="M112" s="126"/>
      <c r="N112" s="81"/>
      <c r="O112" s="81"/>
      <c r="P112" s="81"/>
      <c r="Q112" s="81"/>
      <c r="R112" s="81"/>
      <c r="S112" s="81"/>
      <c r="T112" s="81"/>
      <c r="U112" s="81"/>
    </row>
    <row r="113" spans="1:21" ht="30">
      <c r="A113" s="81"/>
      <c r="B113" s="23" t="s">
        <v>222</v>
      </c>
      <c r="C113" s="169">
        <f>SUM(U104)</f>
        <v>116791.09920000003</v>
      </c>
      <c r="D113" s="170"/>
      <c r="E113" s="170"/>
      <c r="F113" s="171"/>
      <c r="G113" s="126"/>
      <c r="H113" s="126"/>
      <c r="I113" s="126"/>
      <c r="J113" s="127"/>
      <c r="K113" s="128"/>
      <c r="L113" s="127"/>
      <c r="M113" s="126"/>
      <c r="N113" s="81"/>
      <c r="O113" s="81"/>
      <c r="P113" s="81"/>
      <c r="Q113" s="81"/>
      <c r="R113" s="81"/>
      <c r="S113" s="81"/>
      <c r="T113" s="81"/>
      <c r="U113" s="81"/>
    </row>
    <row r="114" spans="1:21" ht="18">
      <c r="A114" s="81"/>
      <c r="B114" s="152" t="s">
        <v>223</v>
      </c>
      <c r="C114" s="165">
        <v>840634.51</v>
      </c>
      <c r="D114" s="166"/>
      <c r="E114" s="166"/>
      <c r="F114" s="167"/>
      <c r="H114" s="130" t="s">
        <v>154</v>
      </c>
      <c r="I114" s="131"/>
      <c r="J114" s="131"/>
      <c r="K114" s="132"/>
      <c r="L114" s="133"/>
      <c r="M114" s="130"/>
      <c r="N114" s="130"/>
      <c r="O114" s="81"/>
      <c r="P114" s="81"/>
      <c r="Q114" s="81"/>
      <c r="R114" s="81"/>
      <c r="S114" s="81"/>
      <c r="T114" s="81"/>
      <c r="U114" s="81"/>
    </row>
    <row r="115" spans="1:21" ht="78.75">
      <c r="A115" s="81"/>
      <c r="B115" s="24" t="s">
        <v>224</v>
      </c>
      <c r="C115" s="172">
        <v>172768.59</v>
      </c>
      <c r="D115" s="173"/>
      <c r="E115" s="173"/>
      <c r="F115" s="174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</row>
    <row r="116" spans="1:21" ht="45">
      <c r="A116" s="81"/>
      <c r="B116" s="134" t="s">
        <v>225</v>
      </c>
      <c r="C116" s="168">
        <f>SUM(U107-C111)+C110</f>
        <v>177220.82993471948</v>
      </c>
      <c r="D116" s="166"/>
      <c r="E116" s="166"/>
      <c r="F116" s="167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</row>
    <row r="118" spans="1:21">
      <c r="J118" s="4"/>
      <c r="K118" s="5"/>
      <c r="L118" s="5"/>
      <c r="M118" s="3"/>
    </row>
    <row r="119" spans="1:21">
      <c r="G119" s="6"/>
      <c r="H119" s="6"/>
    </row>
    <row r="120" spans="1:21">
      <c r="G120" s="7"/>
    </row>
  </sheetData>
  <mergeCells count="12">
    <mergeCell ref="W80:Z80"/>
    <mergeCell ref="B3:L3"/>
    <mergeCell ref="B4:L4"/>
    <mergeCell ref="B5:L5"/>
    <mergeCell ref="B6:L6"/>
    <mergeCell ref="C110:F110"/>
    <mergeCell ref="C116:F116"/>
    <mergeCell ref="C111:F111"/>
    <mergeCell ref="C112:F112"/>
    <mergeCell ref="C113:F113"/>
    <mergeCell ref="C114:F114"/>
    <mergeCell ref="C115:F115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Главный инженер</cp:lastModifiedBy>
  <dcterms:created xsi:type="dcterms:W3CDTF">2014-02-05T12:20:20Z</dcterms:created>
  <dcterms:modified xsi:type="dcterms:W3CDTF">2016-03-23T11:01:33Z</dcterms:modified>
</cp:coreProperties>
</file>