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8" r:id="rId1"/>
    <sheet name="02.21" sheetId="17" r:id="rId2"/>
    <sheet name="03.21" sheetId="18" r:id="rId3"/>
    <sheet name="04.20" sheetId="19" r:id="rId4"/>
    <sheet name="05.21" sheetId="20" r:id="rId5"/>
    <sheet name="06.21" sheetId="21" r:id="rId6"/>
    <sheet name="07.21" sheetId="22" r:id="rId7"/>
    <sheet name="08.21" sheetId="23" r:id="rId8"/>
    <sheet name="09.21" sheetId="24" r:id="rId9"/>
    <sheet name="10.21" sheetId="25" r:id="rId10"/>
    <sheet name="11.21" sheetId="26" r:id="rId11"/>
    <sheet name="12.21" sheetId="27" r:id="rId12"/>
  </sheets>
  <definedNames>
    <definedName name="_xlnm._FilterDatabase" localSheetId="0" hidden="1">'01.21'!$I$12:$I$88</definedName>
    <definedName name="_xlnm._FilterDatabase" localSheetId="1" hidden="1">'02.21'!$I$12:$I$87</definedName>
    <definedName name="_xlnm._FilterDatabase" localSheetId="2" hidden="1">'03.21'!$I$12:$I$89</definedName>
    <definedName name="_xlnm._FilterDatabase" localSheetId="3" hidden="1">'04.20'!$I$12:$I$90</definedName>
    <definedName name="_xlnm._FilterDatabase" localSheetId="4" hidden="1">'05.21'!$I$12:$I$83</definedName>
    <definedName name="_xlnm._FilterDatabase" localSheetId="5" hidden="1">'06.21'!$I$12:$I$80</definedName>
    <definedName name="_xlnm._FilterDatabase" localSheetId="6" hidden="1">'07.21'!$I$12:$I$83</definedName>
    <definedName name="_xlnm._FilterDatabase" localSheetId="7" hidden="1">'08.21'!$I$12:$I$84</definedName>
    <definedName name="_xlnm._FilterDatabase" localSheetId="8" hidden="1">'09.21'!$I$12:$I$83</definedName>
    <definedName name="_xlnm._FilterDatabase" localSheetId="9" hidden="1">'10.21'!$I$12:$I$83</definedName>
    <definedName name="_xlnm._FilterDatabase" localSheetId="10" hidden="1">'11.21'!$I$12:$I$91</definedName>
    <definedName name="_xlnm._FilterDatabase" localSheetId="11" hidden="1">'12.21'!$I$12:$I$89</definedName>
    <definedName name="_xlnm.Print_Area" localSheetId="0">'01.21'!$A$1:$I$116</definedName>
    <definedName name="_xlnm.Print_Area" localSheetId="1">'02.21'!$A$1:$I$112</definedName>
    <definedName name="_xlnm.Print_Area" localSheetId="2">'03.21'!$A$1:$I$117</definedName>
    <definedName name="_xlnm.Print_Area" localSheetId="3">'04.20'!$A$1:$I$119</definedName>
    <definedName name="_xlnm.Print_Area" localSheetId="4">'05.21'!$A$1:$I$111</definedName>
    <definedName name="_xlnm.Print_Area" localSheetId="5">'06.21'!$A$1:$I$109</definedName>
    <definedName name="_xlnm.Print_Area" localSheetId="6">'07.21'!$A$1:$I$110</definedName>
    <definedName name="_xlnm.Print_Area" localSheetId="7">'08.21'!$A$1:$I$115</definedName>
    <definedName name="_xlnm.Print_Area" localSheetId="8">'09.21'!$A$1:$I$110</definedName>
    <definedName name="_xlnm.Print_Area" localSheetId="9">'10.21'!$A$1:$I$111</definedName>
    <definedName name="_xlnm.Print_Area" localSheetId="10">'11.21'!$A$1:$I$119</definedName>
    <definedName name="_xlnm.Print_Area" localSheetId="11">'12.21'!$A$1:$I$115</definedName>
  </definedNames>
  <calcPr calcId="125725"/>
</workbook>
</file>

<file path=xl/calcChain.xml><?xml version="1.0" encoding="utf-8"?>
<calcChain xmlns="http://schemas.openxmlformats.org/spreadsheetml/2006/main">
  <c r="I89" i="27"/>
  <c r="I92"/>
  <c r="I58"/>
  <c r="I91"/>
  <c r="I60"/>
  <c r="F59"/>
  <c r="I59" s="1"/>
  <c r="I37"/>
  <c r="I91" i="26"/>
  <c r="F60"/>
  <c r="I60" s="1"/>
  <c r="I96"/>
  <c r="I95"/>
  <c r="I94"/>
  <c r="I93"/>
  <c r="F93"/>
  <c r="I37"/>
  <c r="I87" i="25"/>
  <c r="I88" l="1"/>
  <c r="F87"/>
  <c r="I83" l="1"/>
  <c r="I85"/>
  <c r="I83" i="24"/>
  <c r="I87"/>
  <c r="I86"/>
  <c r="I85"/>
  <c r="I74"/>
  <c r="I84" i="23"/>
  <c r="I92"/>
  <c r="I91"/>
  <c r="I90"/>
  <c r="I89"/>
  <c r="I88"/>
  <c r="I87"/>
  <c r="I86"/>
  <c r="I55"/>
  <c r="I62"/>
  <c r="I87" i="22"/>
  <c r="I86"/>
  <c r="I83" l="1"/>
  <c r="I85"/>
  <c r="I83" i="21"/>
  <c r="I86" s="1"/>
  <c r="I80"/>
  <c r="I84"/>
  <c r="I82"/>
  <c r="I87" i="20" l="1"/>
  <c r="I86"/>
  <c r="I85"/>
  <c r="I88" s="1"/>
  <c r="I59" i="19" l="1"/>
  <c r="F58"/>
  <c r="I58" s="1"/>
  <c r="I94"/>
  <c r="I96" s="1"/>
  <c r="I93"/>
  <c r="I36"/>
  <c r="I94" i="18"/>
  <c r="I92"/>
  <c r="H93"/>
  <c r="H92"/>
  <c r="H91"/>
  <c r="I59"/>
  <c r="I57"/>
  <c r="F58"/>
  <c r="I58" s="1"/>
  <c r="I36"/>
  <c r="I66" i="17"/>
  <c r="E86"/>
  <c r="F86" s="1"/>
  <c r="F85"/>
  <c r="H85" s="1"/>
  <c r="I79"/>
  <c r="F79"/>
  <c r="F83"/>
  <c r="I83" s="1"/>
  <c r="F58"/>
  <c r="I58" s="1"/>
  <c r="F50"/>
  <c r="H50" s="1"/>
  <c r="I36"/>
  <c r="F43"/>
  <c r="I43" s="1"/>
  <c r="I42"/>
  <c r="F41"/>
  <c r="I41" s="1"/>
  <c r="F40"/>
  <c r="I40" s="1"/>
  <c r="I39"/>
  <c r="H39"/>
  <c r="F38"/>
  <c r="I38" s="1"/>
  <c r="F37"/>
  <c r="I37" s="1"/>
  <c r="H36"/>
  <c r="F27"/>
  <c r="H27" s="1"/>
  <c r="F26"/>
  <c r="I26" s="1"/>
  <c r="I25"/>
  <c r="H24"/>
  <c r="F24"/>
  <c r="I24" s="1"/>
  <c r="F23"/>
  <c r="H23" s="1"/>
  <c r="F22"/>
  <c r="I22" s="1"/>
  <c r="F21"/>
  <c r="H21" s="1"/>
  <c r="H20"/>
  <c r="F20"/>
  <c r="I20" s="1"/>
  <c r="F19"/>
  <c r="H19" s="1"/>
  <c r="E18"/>
  <c r="F18" s="1"/>
  <c r="F17"/>
  <c r="I17" s="1"/>
  <c r="F16"/>
  <c r="H16" s="1"/>
  <c r="H17" l="1"/>
  <c r="H40"/>
  <c r="H22"/>
  <c r="H26"/>
  <c r="H37"/>
  <c r="H86"/>
  <c r="I86"/>
  <c r="I85"/>
  <c r="I50"/>
  <c r="H38"/>
  <c r="H41"/>
  <c r="I18"/>
  <c r="H18"/>
  <c r="I21"/>
  <c r="I23"/>
  <c r="I27"/>
  <c r="I16"/>
  <c r="I19"/>
  <c r="I59" i="8" l="1"/>
  <c r="I58"/>
  <c r="I57"/>
  <c r="F58"/>
  <c r="F57"/>
  <c r="E87"/>
  <c r="F87" s="1"/>
  <c r="F86"/>
  <c r="H86" s="1"/>
  <c r="I80"/>
  <c r="F80"/>
  <c r="F84"/>
  <c r="I84" s="1"/>
  <c r="F50"/>
  <c r="H50" s="1"/>
  <c r="I36"/>
  <c r="F43"/>
  <c r="I43" s="1"/>
  <c r="I42"/>
  <c r="H41"/>
  <c r="F41"/>
  <c r="I41" s="1"/>
  <c r="F40"/>
  <c r="H40" s="1"/>
  <c r="I39"/>
  <c r="H39"/>
  <c r="F38"/>
  <c r="I38" s="1"/>
  <c r="F37"/>
  <c r="H37" s="1"/>
  <c r="H36"/>
  <c r="F27"/>
  <c r="H27" s="1"/>
  <c r="F26"/>
  <c r="I26" s="1"/>
  <c r="I25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E88" i="27"/>
  <c r="F88" s="1"/>
  <c r="F87"/>
  <c r="H87" s="1"/>
  <c r="I83"/>
  <c r="F83"/>
  <c r="F76"/>
  <c r="I76" s="1"/>
  <c r="F44"/>
  <c r="I44" s="1"/>
  <c r="I43"/>
  <c r="F42"/>
  <c r="I42" s="1"/>
  <c r="F41"/>
  <c r="I41" s="1"/>
  <c r="I40"/>
  <c r="H40"/>
  <c r="F39"/>
  <c r="I39" s="1"/>
  <c r="F38"/>
  <c r="I38" s="1"/>
  <c r="F27"/>
  <c r="H27" s="1"/>
  <c r="F26"/>
  <c r="I26" s="1"/>
  <c r="I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43" i="26"/>
  <c r="E90"/>
  <c r="F90" s="1"/>
  <c r="F89"/>
  <c r="H89" s="1"/>
  <c r="I83"/>
  <c r="F83"/>
  <c r="I67"/>
  <c r="H67"/>
  <c r="F76"/>
  <c r="I76" s="1"/>
  <c r="F44"/>
  <c r="I44" s="1"/>
  <c r="F42"/>
  <c r="I42" s="1"/>
  <c r="F41"/>
  <c r="I41" s="1"/>
  <c r="F39"/>
  <c r="F38"/>
  <c r="F27"/>
  <c r="H27" s="1"/>
  <c r="F26"/>
  <c r="I26" s="1"/>
  <c r="I25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26" i="8" l="1"/>
  <c r="H24" i="27"/>
  <c r="H24" i="8"/>
  <c r="H38"/>
  <c r="H87"/>
  <c r="I87"/>
  <c r="I86"/>
  <c r="I50"/>
  <c r="I37"/>
  <c r="I40"/>
  <c r="I18"/>
  <c r="H18"/>
  <c r="I19"/>
  <c r="I21"/>
  <c r="I23"/>
  <c r="I27"/>
  <c r="I16"/>
  <c r="H17" i="27"/>
  <c r="H20"/>
  <c r="H41"/>
  <c r="H22"/>
  <c r="H26"/>
  <c r="H38"/>
  <c r="H88"/>
  <c r="I88"/>
  <c r="I87"/>
  <c r="H39"/>
  <c r="H42"/>
  <c r="I18"/>
  <c r="H18"/>
  <c r="I16"/>
  <c r="I19"/>
  <c r="I21"/>
  <c r="I23"/>
  <c r="I27"/>
  <c r="H90" i="26"/>
  <c r="I90"/>
  <c r="I89"/>
  <c r="H20"/>
  <c r="H24"/>
  <c r="H22"/>
  <c r="H26"/>
  <c r="H17"/>
  <c r="H18"/>
  <c r="I16"/>
  <c r="I19"/>
  <c r="I21"/>
  <c r="I23"/>
  <c r="I27"/>
  <c r="I61" i="25" l="1"/>
  <c r="E82"/>
  <c r="F82" s="1"/>
  <c r="F81"/>
  <c r="H81" s="1"/>
  <c r="I75"/>
  <c r="F75"/>
  <c r="F79"/>
  <c r="I79" s="1"/>
  <c r="I57"/>
  <c r="F57"/>
  <c r="H57" s="1"/>
  <c r="F31"/>
  <c r="H31" s="1"/>
  <c r="F30"/>
  <c r="I30" s="1"/>
  <c r="F27"/>
  <c r="H27" s="1"/>
  <c r="F26"/>
  <c r="I26" s="1"/>
  <c r="I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4" l="1"/>
  <c r="H17"/>
  <c r="H20"/>
  <c r="H30"/>
  <c r="H22"/>
  <c r="H26"/>
  <c r="H82"/>
  <c r="I82"/>
  <c r="I81"/>
  <c r="I31"/>
  <c r="I18"/>
  <c r="H18"/>
  <c r="I16"/>
  <c r="I19"/>
  <c r="I21"/>
  <c r="I23"/>
  <c r="I27"/>
  <c r="I68" i="24" l="1"/>
  <c r="E82"/>
  <c r="F82" s="1"/>
  <c r="F81"/>
  <c r="H81" s="1"/>
  <c r="I77"/>
  <c r="F77"/>
  <c r="F70"/>
  <c r="I70" s="1"/>
  <c r="I61"/>
  <c r="I57"/>
  <c r="F57"/>
  <c r="H57" s="1"/>
  <c r="F51"/>
  <c r="F49"/>
  <c r="F48"/>
  <c r="F47"/>
  <c r="F46"/>
  <c r="F45"/>
  <c r="F44"/>
  <c r="F43"/>
  <c r="F42"/>
  <c r="F31"/>
  <c r="H31" s="1"/>
  <c r="F30"/>
  <c r="I30" s="1"/>
  <c r="F27"/>
  <c r="H27" s="1"/>
  <c r="F26"/>
  <c r="I26" s="1"/>
  <c r="I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2" l="1"/>
  <c r="H26"/>
  <c r="H17"/>
  <c r="H20"/>
  <c r="H24"/>
  <c r="H30"/>
  <c r="H82"/>
  <c r="I82"/>
  <c r="I81"/>
  <c r="I31"/>
  <c r="I18"/>
  <c r="H18"/>
  <c r="I16"/>
  <c r="I19"/>
  <c r="I21"/>
  <c r="I23"/>
  <c r="I27"/>
  <c r="I61" i="22" l="1"/>
  <c r="E18" i="23" l="1"/>
  <c r="F18" s="1"/>
  <c r="F17"/>
  <c r="H17" s="1"/>
  <c r="F16"/>
  <c r="I16" s="1"/>
  <c r="F51"/>
  <c r="I51" s="1"/>
  <c r="F21"/>
  <c r="H21" s="1"/>
  <c r="F20"/>
  <c r="I20" s="1"/>
  <c r="E83"/>
  <c r="F83" s="1"/>
  <c r="F82"/>
  <c r="H82" s="1"/>
  <c r="F80"/>
  <c r="I80" s="1"/>
  <c r="I76"/>
  <c r="F76"/>
  <c r="I58"/>
  <c r="F58"/>
  <c r="H58" s="1"/>
  <c r="F31"/>
  <c r="H31" s="1"/>
  <c r="F30"/>
  <c r="I30" s="1"/>
  <c r="F27"/>
  <c r="H27" s="1"/>
  <c r="F26"/>
  <c r="I26" s="1"/>
  <c r="I25"/>
  <c r="F24"/>
  <c r="I24" s="1"/>
  <c r="F23"/>
  <c r="H23" s="1"/>
  <c r="F22"/>
  <c r="I22" s="1"/>
  <c r="F19"/>
  <c r="H19" s="1"/>
  <c r="H20" l="1"/>
  <c r="H18"/>
  <c r="I18"/>
  <c r="H16"/>
  <c r="I17"/>
  <c r="I21"/>
  <c r="H24"/>
  <c r="H30"/>
  <c r="H22"/>
  <c r="H26"/>
  <c r="H83"/>
  <c r="I83"/>
  <c r="I82"/>
  <c r="I31"/>
  <c r="I19"/>
  <c r="I23"/>
  <c r="I27"/>
  <c r="E82" i="22" l="1"/>
  <c r="F82" s="1"/>
  <c r="F81"/>
  <c r="H81" s="1"/>
  <c r="I75"/>
  <c r="F75"/>
  <c r="F59"/>
  <c r="H59" s="1"/>
  <c r="H61"/>
  <c r="H62"/>
  <c r="F63"/>
  <c r="H63" s="1"/>
  <c r="F64"/>
  <c r="H64" s="1"/>
  <c r="I64"/>
  <c r="F65"/>
  <c r="H65" s="1"/>
  <c r="F66"/>
  <c r="H66" s="1"/>
  <c r="F67"/>
  <c r="H67" s="1"/>
  <c r="F68"/>
  <c r="H68" s="1"/>
  <c r="H70"/>
  <c r="I70"/>
  <c r="F79"/>
  <c r="I79" s="1"/>
  <c r="I57"/>
  <c r="F57"/>
  <c r="H57" s="1"/>
  <c r="F31"/>
  <c r="H31" s="1"/>
  <c r="F30"/>
  <c r="I30" s="1"/>
  <c r="F27"/>
  <c r="H27" s="1"/>
  <c r="F26"/>
  <c r="I26" s="1"/>
  <c r="I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21"/>
  <c r="H27" s="1"/>
  <c r="I59"/>
  <c r="E79"/>
  <c r="F79" s="1"/>
  <c r="F78"/>
  <c r="H78" s="1"/>
  <c r="I72"/>
  <c r="I74"/>
  <c r="F74"/>
  <c r="F70"/>
  <c r="I70" s="1"/>
  <c r="F65"/>
  <c r="F64"/>
  <c r="F63"/>
  <c r="F62"/>
  <c r="F61"/>
  <c r="I57"/>
  <c r="F57"/>
  <c r="H57" s="1"/>
  <c r="F31"/>
  <c r="H31" s="1"/>
  <c r="F30"/>
  <c r="I30" s="1"/>
  <c r="I25"/>
  <c r="F26"/>
  <c r="I26" s="1"/>
  <c r="F24"/>
  <c r="I24" s="1"/>
  <c r="F23"/>
  <c r="I23" s="1"/>
  <c r="F22"/>
  <c r="I22" s="1"/>
  <c r="F21"/>
  <c r="F20"/>
  <c r="F19"/>
  <c r="I19" s="1"/>
  <c r="E18"/>
  <c r="F18" s="1"/>
  <c r="I18" s="1"/>
  <c r="F17"/>
  <c r="F16"/>
  <c r="I65" i="22" l="1"/>
  <c r="I16"/>
  <c r="I67"/>
  <c r="I66"/>
  <c r="I68"/>
  <c r="H82"/>
  <c r="I82"/>
  <c r="I81"/>
  <c r="I63"/>
  <c r="H17"/>
  <c r="H20"/>
  <c r="H24"/>
  <c r="H30"/>
  <c r="H22"/>
  <c r="H26"/>
  <c r="I31"/>
  <c r="I18"/>
  <c r="H18"/>
  <c r="I19"/>
  <c r="I21"/>
  <c r="I23"/>
  <c r="I27"/>
  <c r="I27" i="21"/>
  <c r="H79"/>
  <c r="I79"/>
  <c r="I78"/>
  <c r="H30"/>
  <c r="I31"/>
  <c r="E82" i="20" l="1"/>
  <c r="F82" s="1"/>
  <c r="F81"/>
  <c r="H81" s="1"/>
  <c r="I79"/>
  <c r="F79"/>
  <c r="F78"/>
  <c r="I78" s="1"/>
  <c r="I57"/>
  <c r="F57"/>
  <c r="H57" s="1"/>
  <c r="F51"/>
  <c r="I51" s="1"/>
  <c r="F49"/>
  <c r="F48"/>
  <c r="F47"/>
  <c r="F46"/>
  <c r="F45"/>
  <c r="F44"/>
  <c r="F43"/>
  <c r="F42"/>
  <c r="F32"/>
  <c r="F31"/>
  <c r="F30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E89" i="19"/>
  <c r="F89" s="1"/>
  <c r="F88"/>
  <c r="H88" s="1"/>
  <c r="I86"/>
  <c r="F86"/>
  <c r="F85"/>
  <c r="I85" s="1"/>
  <c r="I43"/>
  <c r="F43"/>
  <c r="I42"/>
  <c r="H42"/>
  <c r="F41"/>
  <c r="H41" s="1"/>
  <c r="F40"/>
  <c r="I40" s="1"/>
  <c r="F38"/>
  <c r="H38" s="1"/>
  <c r="F37"/>
  <c r="I37" s="1"/>
  <c r="H36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7" i="20" l="1"/>
  <c r="H82"/>
  <c r="I82"/>
  <c r="I81"/>
  <c r="H21"/>
  <c r="H18"/>
  <c r="I16"/>
  <c r="I20"/>
  <c r="I27"/>
  <c r="H89" i="19"/>
  <c r="I89"/>
  <c r="I88"/>
  <c r="H17"/>
  <c r="H37"/>
  <c r="H21"/>
  <c r="H40"/>
  <c r="I38"/>
  <c r="I41"/>
  <c r="I18"/>
  <c r="H18"/>
  <c r="I16"/>
  <c r="I20"/>
  <c r="I27"/>
  <c r="F88" i="18" l="1"/>
  <c r="I88" s="1"/>
  <c r="E87"/>
  <c r="F87" s="1"/>
  <c r="F86"/>
  <c r="I82"/>
  <c r="F82"/>
  <c r="F77"/>
  <c r="F62"/>
  <c r="F57"/>
  <c r="F43"/>
  <c r="I43" s="1"/>
  <c r="F41"/>
  <c r="F40"/>
  <c r="F38"/>
  <c r="F37"/>
  <c r="F27"/>
  <c r="F26"/>
  <c r="F24"/>
  <c r="F23"/>
  <c r="F22"/>
  <c r="F21"/>
  <c r="F20"/>
  <c r="F19"/>
  <c r="E18"/>
  <c r="F18" s="1"/>
  <c r="I18" s="1"/>
  <c r="F17"/>
  <c r="F16"/>
  <c r="I66" i="8" l="1"/>
  <c r="F87" i="26"/>
  <c r="I87" s="1"/>
  <c r="I59"/>
  <c r="I77" i="18" l="1"/>
  <c r="H26" i="21" l="1"/>
  <c r="H24"/>
  <c r="H23"/>
  <c r="H22"/>
  <c r="I21"/>
  <c r="H20"/>
  <c r="H19"/>
  <c r="I17"/>
  <c r="H16"/>
  <c r="H27" i="18"/>
  <c r="H26"/>
  <c r="H24"/>
  <c r="H23"/>
  <c r="H22"/>
  <c r="H21"/>
  <c r="I21"/>
  <c r="H20"/>
  <c r="H19"/>
  <c r="H17"/>
  <c r="I17"/>
  <c r="H16"/>
  <c r="H17" i="21" l="1"/>
  <c r="H21"/>
  <c r="H18"/>
  <c r="I16"/>
  <c r="I20"/>
  <c r="H18" i="18"/>
  <c r="I16"/>
  <c r="I20"/>
  <c r="I27"/>
  <c r="I61" i="20"/>
  <c r="I57" i="19" l="1"/>
  <c r="I83"/>
  <c r="I79" i="18" l="1"/>
  <c r="I93" i="8" l="1"/>
  <c r="I63" i="27" l="1"/>
  <c r="H63"/>
  <c r="I72" i="25" l="1"/>
  <c r="I62" i="19" l="1"/>
  <c r="I90" s="1"/>
  <c r="I42" i="18" l="1"/>
  <c r="I65" i="17" l="1"/>
  <c r="F61"/>
  <c r="F62" i="8"/>
  <c r="H62" s="1"/>
  <c r="H85" i="27" l="1"/>
  <c r="F82"/>
  <c r="H82" s="1"/>
  <c r="F81"/>
  <c r="H81" s="1"/>
  <c r="I80"/>
  <c r="H80"/>
  <c r="I78"/>
  <c r="H78"/>
  <c r="F74"/>
  <c r="I74" s="1"/>
  <c r="F73"/>
  <c r="H73" s="1"/>
  <c r="F72"/>
  <c r="I72" s="1"/>
  <c r="F71"/>
  <c r="H71" s="1"/>
  <c r="F70"/>
  <c r="I70" s="1"/>
  <c r="F69"/>
  <c r="H69" s="1"/>
  <c r="H68"/>
  <c r="I67"/>
  <c r="H67"/>
  <c r="F65"/>
  <c r="H65" s="1"/>
  <c r="F58"/>
  <c r="H58" s="1"/>
  <c r="I55"/>
  <c r="F55"/>
  <c r="H55" s="1"/>
  <c r="I54"/>
  <c r="H54"/>
  <c r="F53"/>
  <c r="I53" s="1"/>
  <c r="F52"/>
  <c r="H52" s="1"/>
  <c r="F51"/>
  <c r="H51" s="1"/>
  <c r="F50"/>
  <c r="H50" s="1"/>
  <c r="F49"/>
  <c r="I49" s="1"/>
  <c r="F48"/>
  <c r="H48" s="1"/>
  <c r="F47"/>
  <c r="H47" s="1"/>
  <c r="F46"/>
  <c r="H46" s="1"/>
  <c r="H37"/>
  <c r="H35"/>
  <c r="H34"/>
  <c r="F34"/>
  <c r="I34" s="1"/>
  <c r="F33"/>
  <c r="H33" s="1"/>
  <c r="F32"/>
  <c r="H32" s="1"/>
  <c r="F31"/>
  <c r="H31" s="1"/>
  <c r="F28"/>
  <c r="H28" s="1"/>
  <c r="H85" i="26"/>
  <c r="F82"/>
  <c r="H82" s="1"/>
  <c r="F81"/>
  <c r="H81" s="1"/>
  <c r="I80"/>
  <c r="H80"/>
  <c r="I78"/>
  <c r="H78"/>
  <c r="F74"/>
  <c r="H74" s="1"/>
  <c r="F73"/>
  <c r="I73" s="1"/>
  <c r="F72"/>
  <c r="H72" s="1"/>
  <c r="F71"/>
  <c r="I71" s="1"/>
  <c r="F70"/>
  <c r="I70" s="1"/>
  <c r="F69"/>
  <c r="I69" s="1"/>
  <c r="H68"/>
  <c r="F65"/>
  <c r="H65" s="1"/>
  <c r="I63"/>
  <c r="F59"/>
  <c r="H59" s="1"/>
  <c r="I56"/>
  <c r="F56"/>
  <c r="H56" s="1"/>
  <c r="I55"/>
  <c r="H55"/>
  <c r="F54"/>
  <c r="H54" s="1"/>
  <c r="F53"/>
  <c r="I53" s="1"/>
  <c r="F52"/>
  <c r="H52" s="1"/>
  <c r="F51"/>
  <c r="I51" s="1"/>
  <c r="F50"/>
  <c r="H50" s="1"/>
  <c r="F49"/>
  <c r="I49" s="1"/>
  <c r="F48"/>
  <c r="I48" s="1"/>
  <c r="F47"/>
  <c r="I47" s="1"/>
  <c r="H42"/>
  <c r="I40"/>
  <c r="H39"/>
  <c r="I38"/>
  <c r="H37"/>
  <c r="H35"/>
  <c r="H34"/>
  <c r="F34"/>
  <c r="I34" s="1"/>
  <c r="F33"/>
  <c r="H33" s="1"/>
  <c r="F32"/>
  <c r="I32" s="1"/>
  <c r="F31"/>
  <c r="H31" s="1"/>
  <c r="F28"/>
  <c r="I28" s="1"/>
  <c r="I32" i="27" l="1"/>
  <c r="I71"/>
  <c r="H41" i="26"/>
  <c r="H49"/>
  <c r="H51"/>
  <c r="H47"/>
  <c r="H63"/>
  <c r="H70"/>
  <c r="H71"/>
  <c r="H73"/>
  <c r="H28"/>
  <c r="I31" i="27"/>
  <c r="H49"/>
  <c r="I52"/>
  <c r="H70"/>
  <c r="H72"/>
  <c r="H74"/>
  <c r="H53"/>
  <c r="I48"/>
  <c r="I47"/>
  <c r="I51"/>
  <c r="I33"/>
  <c r="I28"/>
  <c r="I46"/>
  <c r="I50"/>
  <c r="I69"/>
  <c r="I73"/>
  <c r="H32" i="26"/>
  <c r="H38"/>
  <c r="H53"/>
  <c r="H69"/>
  <c r="I74"/>
  <c r="H40"/>
  <c r="H48"/>
  <c r="I52"/>
  <c r="I31"/>
  <c r="I33"/>
  <c r="I39"/>
  <c r="I50"/>
  <c r="I54"/>
  <c r="I72"/>
  <c r="I98" l="1"/>
  <c r="I94" i="27"/>
  <c r="H77" i="25" l="1"/>
  <c r="F74"/>
  <c r="H74" s="1"/>
  <c r="F73"/>
  <c r="H73" s="1"/>
  <c r="H72"/>
  <c r="I70"/>
  <c r="H70"/>
  <c r="F68"/>
  <c r="I68" s="1"/>
  <c r="F67"/>
  <c r="H67" s="1"/>
  <c r="F66"/>
  <c r="I66" s="1"/>
  <c r="F65"/>
  <c r="H65" s="1"/>
  <c r="F64"/>
  <c r="I64" s="1"/>
  <c r="F63"/>
  <c r="H63" s="1"/>
  <c r="H62"/>
  <c r="H61"/>
  <c r="F59"/>
  <c r="H59" s="1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H79" i="24"/>
  <c r="F76"/>
  <c r="H76" s="1"/>
  <c r="F75"/>
  <c r="H75" s="1"/>
  <c r="H74"/>
  <c r="I72"/>
  <c r="H72"/>
  <c r="F68"/>
  <c r="H68" s="1"/>
  <c r="F67"/>
  <c r="I67" s="1"/>
  <c r="F66"/>
  <c r="H66" s="1"/>
  <c r="F65"/>
  <c r="I65" s="1"/>
  <c r="F64"/>
  <c r="H64" s="1"/>
  <c r="F63"/>
  <c r="I63" s="1"/>
  <c r="H62"/>
  <c r="H61"/>
  <c r="F59"/>
  <c r="H59" s="1"/>
  <c r="F54"/>
  <c r="I54" s="1"/>
  <c r="I51"/>
  <c r="H51"/>
  <c r="I50"/>
  <c r="H50"/>
  <c r="I49"/>
  <c r="H48"/>
  <c r="I47"/>
  <c r="H46"/>
  <c r="I45"/>
  <c r="H44"/>
  <c r="I43"/>
  <c r="H42"/>
  <c r="I40"/>
  <c r="H40"/>
  <c r="F39"/>
  <c r="I39" s="1"/>
  <c r="F38"/>
  <c r="H38" s="1"/>
  <c r="F37"/>
  <c r="I37" s="1"/>
  <c r="F36"/>
  <c r="H36" s="1"/>
  <c r="I35"/>
  <c r="H35"/>
  <c r="H33"/>
  <c r="F32"/>
  <c r="I32" s="1"/>
  <c r="H78" i="23"/>
  <c r="F75"/>
  <c r="H75" s="1"/>
  <c r="F74"/>
  <c r="H74" s="1"/>
  <c r="I73"/>
  <c r="H73"/>
  <c r="I71"/>
  <c r="H71"/>
  <c r="F69"/>
  <c r="H69" s="1"/>
  <c r="F68"/>
  <c r="I68" s="1"/>
  <c r="F67"/>
  <c r="H67" s="1"/>
  <c r="F66"/>
  <c r="I66" s="1"/>
  <c r="F65"/>
  <c r="H65" s="1"/>
  <c r="F64"/>
  <c r="I64" s="1"/>
  <c r="H63"/>
  <c r="H62"/>
  <c r="F60"/>
  <c r="H60" s="1"/>
  <c r="F54"/>
  <c r="I54" s="1"/>
  <c r="H5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I72" i="22"/>
  <c r="H77"/>
  <c r="F74"/>
  <c r="H74" s="1"/>
  <c r="F73"/>
  <c r="H73" s="1"/>
  <c r="H72"/>
  <c r="F54"/>
  <c r="I54" s="1"/>
  <c r="I51"/>
  <c r="F51"/>
  <c r="H51" s="1"/>
  <c r="I50"/>
  <c r="H50"/>
  <c r="F49"/>
  <c r="I49" s="1"/>
  <c r="F48"/>
  <c r="I48" s="1"/>
  <c r="F47"/>
  <c r="I47" s="1"/>
  <c r="F46"/>
  <c r="I46" s="1"/>
  <c r="F45"/>
  <c r="I45" s="1"/>
  <c r="F44"/>
  <c r="I44" s="1"/>
  <c r="F43"/>
  <c r="I43" s="1"/>
  <c r="F42"/>
  <c r="I42" s="1"/>
  <c r="I40"/>
  <c r="H40"/>
  <c r="F39"/>
  <c r="I39" s="1"/>
  <c r="F38"/>
  <c r="I38" s="1"/>
  <c r="F37"/>
  <c r="I37" s="1"/>
  <c r="F36"/>
  <c r="I36" s="1"/>
  <c r="I35"/>
  <c r="H35"/>
  <c r="H33"/>
  <c r="F32"/>
  <c r="I32" s="1"/>
  <c r="H43" i="25" l="1"/>
  <c r="H66"/>
  <c r="H49"/>
  <c r="H64"/>
  <c r="H47"/>
  <c r="H68"/>
  <c r="H45"/>
  <c r="H54"/>
  <c r="H32"/>
  <c r="I36"/>
  <c r="H37"/>
  <c r="I38"/>
  <c r="H39"/>
  <c r="I42"/>
  <c r="I44"/>
  <c r="I46"/>
  <c r="I48"/>
  <c r="I63"/>
  <c r="I65"/>
  <c r="I67"/>
  <c r="H47" i="24"/>
  <c r="H32"/>
  <c r="I36"/>
  <c r="H37"/>
  <c r="I38"/>
  <c r="H39"/>
  <c r="I42"/>
  <c r="H43"/>
  <c r="I44"/>
  <c r="H45"/>
  <c r="I46"/>
  <c r="I48"/>
  <c r="H49"/>
  <c r="H54"/>
  <c r="H63"/>
  <c r="I64"/>
  <c r="H65"/>
  <c r="I66"/>
  <c r="H67"/>
  <c r="H32" i="23"/>
  <c r="I36"/>
  <c r="H37"/>
  <c r="I38"/>
  <c r="H39"/>
  <c r="I42"/>
  <c r="H43"/>
  <c r="I44"/>
  <c r="H45"/>
  <c r="I46"/>
  <c r="H47"/>
  <c r="I48"/>
  <c r="H49"/>
  <c r="H54"/>
  <c r="H64"/>
  <c r="I65"/>
  <c r="H66"/>
  <c r="I67"/>
  <c r="H68"/>
  <c r="I69"/>
  <c r="H36" i="22"/>
  <c r="H44"/>
  <c r="H38"/>
  <c r="H48"/>
  <c r="H42"/>
  <c r="H46"/>
  <c r="H32"/>
  <c r="H37"/>
  <c r="H39"/>
  <c r="H43"/>
  <c r="H45"/>
  <c r="H47"/>
  <c r="H49"/>
  <c r="H54"/>
  <c r="I89" i="24" l="1"/>
  <c r="I94" i="23"/>
  <c r="I90" i="25"/>
  <c r="I89" i="22"/>
  <c r="H76" i="21" l="1"/>
  <c r="F73"/>
  <c r="H73" s="1"/>
  <c r="H72"/>
  <c r="I68"/>
  <c r="H68"/>
  <c r="F66"/>
  <c r="H66" s="1"/>
  <c r="I65"/>
  <c r="H64"/>
  <c r="I63"/>
  <c r="H62"/>
  <c r="I61"/>
  <c r="H60"/>
  <c r="H59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I72" i="20"/>
  <c r="H76"/>
  <c r="F74"/>
  <c r="H74" s="1"/>
  <c r="F73"/>
  <c r="H73" s="1"/>
  <c r="H72"/>
  <c r="I70"/>
  <c r="H70"/>
  <c r="F68"/>
  <c r="H68" s="1"/>
  <c r="F67"/>
  <c r="H67" s="1"/>
  <c r="F66"/>
  <c r="H66" s="1"/>
  <c r="F65"/>
  <c r="H65" s="1"/>
  <c r="F64"/>
  <c r="H64" s="1"/>
  <c r="F63"/>
  <c r="H63" s="1"/>
  <c r="H62"/>
  <c r="H61"/>
  <c r="F59"/>
  <c r="H59" s="1"/>
  <c r="F54"/>
  <c r="I54" s="1"/>
  <c r="H51"/>
  <c r="I50"/>
  <c r="H50"/>
  <c r="I49"/>
  <c r="H48"/>
  <c r="I47"/>
  <c r="H46"/>
  <c r="H45"/>
  <c r="H44"/>
  <c r="H43"/>
  <c r="H42"/>
  <c r="I40"/>
  <c r="H40"/>
  <c r="F39"/>
  <c r="H39" s="1"/>
  <c r="F38"/>
  <c r="I38" s="1"/>
  <c r="F37"/>
  <c r="H37" s="1"/>
  <c r="F36"/>
  <c r="I36" s="1"/>
  <c r="I35"/>
  <c r="H35"/>
  <c r="H33"/>
  <c r="H32"/>
  <c r="H31"/>
  <c r="H30"/>
  <c r="I75" i="19"/>
  <c r="H81"/>
  <c r="F79"/>
  <c r="H79" s="1"/>
  <c r="F78"/>
  <c r="H78" s="1"/>
  <c r="I77"/>
  <c r="H77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F57"/>
  <c r="I54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H34"/>
  <c r="H33"/>
  <c r="F33"/>
  <c r="F32"/>
  <c r="H32" s="1"/>
  <c r="F31"/>
  <c r="H31" s="1"/>
  <c r="F30"/>
  <c r="H30" s="1"/>
  <c r="I53" i="18"/>
  <c r="I87"/>
  <c r="I86"/>
  <c r="H84"/>
  <c r="F81"/>
  <c r="H81" s="1"/>
  <c r="F80"/>
  <c r="H80" s="1"/>
  <c r="H79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I62"/>
  <c r="H57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2"/>
  <c r="I40"/>
  <c r="H38"/>
  <c r="I37"/>
  <c r="H36"/>
  <c r="H34"/>
  <c r="H33"/>
  <c r="F33"/>
  <c r="F32"/>
  <c r="H32" s="1"/>
  <c r="F31"/>
  <c r="H31" s="1"/>
  <c r="F30"/>
  <c r="H30" s="1"/>
  <c r="I76" i="17"/>
  <c r="H81"/>
  <c r="F78"/>
  <c r="H78" s="1"/>
  <c r="F77"/>
  <c r="H77" s="1"/>
  <c r="H76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H61"/>
  <c r="F57"/>
  <c r="I57" s="1"/>
  <c r="I54"/>
  <c r="F54"/>
  <c r="H54" s="1"/>
  <c r="H53"/>
  <c r="F52"/>
  <c r="H52" s="1"/>
  <c r="F51"/>
  <c r="H51" s="1"/>
  <c r="F49"/>
  <c r="H49" s="1"/>
  <c r="F48"/>
  <c r="H48" s="1"/>
  <c r="F47"/>
  <c r="H47" s="1"/>
  <c r="F46"/>
  <c r="H46" s="1"/>
  <c r="F45"/>
  <c r="H45" s="1"/>
  <c r="H34"/>
  <c r="H33"/>
  <c r="F33"/>
  <c r="F32"/>
  <c r="H32" s="1"/>
  <c r="F31"/>
  <c r="H31" s="1"/>
  <c r="F30"/>
  <c r="H30" s="1"/>
  <c r="I89" i="18" l="1"/>
  <c r="H41"/>
  <c r="I41"/>
  <c r="H32" i="21"/>
  <c r="I36"/>
  <c r="H37"/>
  <c r="I38"/>
  <c r="H39"/>
  <c r="I42"/>
  <c r="H43"/>
  <c r="I44"/>
  <c r="H45"/>
  <c r="I46"/>
  <c r="H47"/>
  <c r="I48"/>
  <c r="H49"/>
  <c r="H54"/>
  <c r="H61"/>
  <c r="I62"/>
  <c r="H63"/>
  <c r="I64"/>
  <c r="H65"/>
  <c r="I66"/>
  <c r="I32" i="20"/>
  <c r="I45"/>
  <c r="I43"/>
  <c r="I63"/>
  <c r="I66"/>
  <c r="I64"/>
  <c r="I30"/>
  <c r="I31"/>
  <c r="I46"/>
  <c r="I44"/>
  <c r="I42"/>
  <c r="I67"/>
  <c r="I65"/>
  <c r="I68"/>
  <c r="H47"/>
  <c r="H36"/>
  <c r="I37"/>
  <c r="H38"/>
  <c r="I39"/>
  <c r="I48"/>
  <c r="I83" s="1"/>
  <c r="H49"/>
  <c r="H54"/>
  <c r="H50" i="19"/>
  <c r="I51"/>
  <c r="H52"/>
  <c r="H57"/>
  <c r="H86" i="18"/>
  <c r="I51"/>
  <c r="I52"/>
  <c r="H37"/>
  <c r="I38"/>
  <c r="H40"/>
  <c r="H50"/>
  <c r="H62"/>
  <c r="H87"/>
  <c r="H57" i="17"/>
  <c r="I61"/>
  <c r="I87" s="1"/>
  <c r="I88" i="21" l="1"/>
  <c r="I91" i="17"/>
  <c r="I90" i="20"/>
  <c r="I96" i="18"/>
  <c r="I98" i="19"/>
  <c r="H82" i="8" l="1"/>
  <c r="H75"/>
  <c r="F79"/>
  <c r="H79" s="1"/>
  <c r="F78"/>
  <c r="H78" s="1"/>
  <c r="H77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H57"/>
  <c r="I54"/>
  <c r="F54"/>
  <c r="H54" s="1"/>
  <c r="H53"/>
  <c r="F52"/>
  <c r="H52" s="1"/>
  <c r="F51"/>
  <c r="H51" s="1"/>
  <c r="F49"/>
  <c r="H49" s="1"/>
  <c r="F48"/>
  <c r="H48" s="1"/>
  <c r="F47"/>
  <c r="H47" s="1"/>
  <c r="F46"/>
  <c r="H46" s="1"/>
  <c r="F45"/>
  <c r="H45" s="1"/>
  <c r="H34"/>
  <c r="H33"/>
  <c r="F33"/>
  <c r="F32"/>
  <c r="H32" s="1"/>
  <c r="F31"/>
  <c r="H31" s="1"/>
  <c r="F30"/>
  <c r="H30" s="1"/>
  <c r="I62" l="1"/>
  <c r="I88" s="1"/>
  <c r="I95" l="1"/>
</calcChain>
</file>

<file path=xl/sharedStrings.xml><?xml version="1.0" encoding="utf-8"?>
<sst xmlns="http://schemas.openxmlformats.org/spreadsheetml/2006/main" count="2584" uniqueCount="280">
  <si>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</si>
  <si>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</si>
  <si>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</si>
  <si>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</si>
  <si>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</si>
  <si>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</si>
  <si>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</si>
  <si>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</si>
  <si>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</si>
  <si>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</si>
  <si>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</si>
  <si>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</si>
  <si>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</si>
  <si>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</si>
  <si>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</si>
  <si>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</si>
  <si>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</si>
  <si>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</si>
  <si>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</si>
  <si>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</si>
  <si>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</si>
  <si>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</si>
  <si>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</si>
  <si>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</si>
  <si>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</si>
  <si>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</si>
  <si>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</si>
  <si>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</si>
  <si>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</si>
  <si>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</si>
  <si>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</si>
  <si>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</si>
  <si>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</si>
  <si>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</si>
  <si>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</si>
  <si>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</si>
  <si>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</si>
  <si>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</si>
  <si>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</si>
  <si>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</si>
  <si>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</si>
  <si>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</si>
  <si>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</si>
  <si>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</si>
  <si>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</si>
  <si>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</si>
  <si>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</si>
  <si>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</si>
  <si>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</si>
  <si>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</si>
  <si>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</si>
  <si>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</si>
  <si>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</si>
  <si>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</si>
  <si>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</si>
  <si>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</si>
  <si>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</si>
  <si>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</si>
  <si>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</si>
  <si>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</si>
  <si>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</si>
  <si>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</si>
  <si>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</si>
  <si>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</si>
  <si>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</si>
  <si>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</si>
  <si>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</si>
  <si>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</si>
  <si>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70 раз за сезон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</si>
  <si>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</si>
  <si>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</si>
  <si>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</si>
  <si>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</si>
  <si>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</si>
  <si>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</si>
  <si>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</si>
  <si>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</si>
  <si>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</si>
  <si>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</si>
  <si>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</si>
  <si>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</si>
  <si>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</si>
  <si>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шт</t>
  </si>
  <si>
    <t>Дератизация</t>
  </si>
  <si>
    <t>Влажная протирка перил</t>
  </si>
  <si>
    <t>100м2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</si>
  <si>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</si>
  <si>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</si>
  <si>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</si>
  <si>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</si>
  <si>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Влажная протирка почтовых ящиков</t>
  </si>
  <si>
    <t>Влажная протирка шкафов для щитов и слаботочных устройств</t>
  </si>
  <si>
    <t>Влажное подметание лестничных клеток 2-5 этажа</t>
  </si>
  <si>
    <t>Мытье лестничных  площадок и маршей 1-5 этаж.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</si>
  <si>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</si>
  <si>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</si>
  <si>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</si>
  <si>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</si>
  <si>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</si>
  <si>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</si>
  <si>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</si>
  <si>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</si>
  <si>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</si>
  <si>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</si>
  <si>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</si>
  <si>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</si>
  <si>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</si>
  <si>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</si>
  <si>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</si>
  <si>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</si>
  <si>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</si>
  <si>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</si>
  <si>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</si>
  <si>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</si>
  <si>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</si>
  <si>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ул.Мира пгт.Ярега
</t>
  </si>
  <si>
    <t>Мытье окон</t>
  </si>
  <si>
    <t>10м2</t>
  </si>
  <si>
    <t xml:space="preserve">1 раз в год     </t>
  </si>
  <si>
    <t xml:space="preserve">1 раз в год    </t>
  </si>
  <si>
    <t>30 раз за сезон</t>
  </si>
  <si>
    <t>Лестничная клетка</t>
  </si>
  <si>
    <t>Установка пружин на входных дверях</t>
  </si>
  <si>
    <t>Смена плавкой вставки в электрощитке</t>
  </si>
  <si>
    <t>Замена ламп ДРЛ</t>
  </si>
  <si>
    <t>АКТ №1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</si>
  <si>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</si>
  <si>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</si>
  <si>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</si>
  <si>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</si>
  <si>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</si>
  <si>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Итого затраты за месяц</t>
  </si>
  <si>
    <t>АКТ №2</t>
  </si>
  <si>
    <t>АКТ №3</t>
  </si>
  <si>
    <t>Работа автовышки</t>
  </si>
  <si>
    <t>маш/час</t>
  </si>
  <si>
    <t>АКТ №4</t>
  </si>
  <si>
    <t>III. Содержание общего имущества МКД</t>
  </si>
  <si>
    <t>IV. Прочие услуги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</si>
  <si>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</si>
  <si>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</si>
  <si>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</si>
  <si>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</si>
  <si>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</si>
  <si>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</si>
  <si>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ул.Мира, д.5</t>
    </r>
  </si>
  <si>
    <t>АКТ №11</t>
  </si>
  <si>
    <t>10 м2</t>
  </si>
  <si>
    <t>АКТ №12</t>
  </si>
  <si>
    <t>ООО «Движение»</t>
  </si>
  <si>
    <t>м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</si>
  <si>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</si>
  <si>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</si>
  <si>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</si>
  <si>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</si>
  <si>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</si>
  <si>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1 раз</t>
  </si>
  <si>
    <t>21 раз</t>
  </si>
  <si>
    <t>5 раз</t>
  </si>
  <si>
    <t>25 раз</t>
  </si>
  <si>
    <t>3 шт</t>
  </si>
  <si>
    <t>3 раза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</si>
  <si>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</si>
  <si>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</si>
  <si>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</t>
  </si>
  <si>
    <t xml:space="preserve">Подметание снега с ткрылец </t>
  </si>
  <si>
    <t>Вывоз снега с придомовой территории</t>
  </si>
  <si>
    <t>1 м3</t>
  </si>
  <si>
    <t xml:space="preserve">Очистка территории 1-го класса с усовершенствованным покрытием под скребок: ступеньки и площадки крылец, </t>
  </si>
  <si>
    <t>15 раз за сезон</t>
  </si>
  <si>
    <t>Очистка вручную от снега и наледи люков водопроводных и канализацинных колодцев</t>
  </si>
  <si>
    <t>Обслуживание ОДПУ эл.энергии и холодной воды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</si>
  <si>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</si>
  <si>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</si>
  <si>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6 раз</t>
  </si>
  <si>
    <t>4 раза</t>
  </si>
  <si>
    <t>1  раз</t>
  </si>
  <si>
    <t xml:space="preserve">1 раз  </t>
  </si>
  <si>
    <t xml:space="preserve">1 раз    </t>
  </si>
  <si>
    <t>1 шт. р/у</t>
  </si>
  <si>
    <t>10 раз</t>
  </si>
  <si>
    <t>час</t>
  </si>
  <si>
    <t>генеральный директор Кочанова И.Л.</t>
  </si>
  <si>
    <t xml:space="preserve">2 раза </t>
  </si>
  <si>
    <t>1 мЗ</t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</si>
  <si>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18.02.2020г.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</si>
  <si>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место</t>
  </si>
  <si>
    <t>Очистка канализационной сети внутренней</t>
  </si>
  <si>
    <t>за период с 01.01.2021 г. по 31.01.2021 г.</t>
  </si>
  <si>
    <t>0,8 ч ( 26 и 28 янв)</t>
  </si>
  <si>
    <t>Осмотр и очистка оголовков дымоходов и вентканалов от наледи и снега</t>
  </si>
  <si>
    <t>Внеплановая проверка вентканалов</t>
  </si>
  <si>
    <t>кв.9</t>
  </si>
  <si>
    <t xml:space="preserve">Осмотр водопроводов, канализации, отопления </t>
  </si>
  <si>
    <t>1 час</t>
  </si>
  <si>
    <t>2. Всего за период с 01.01.2021 по 31.01.2021 выполнено работ (оказано услуг) на общую сумму: 45285,41 руб.</t>
  </si>
  <si>
    <t>(сорок пять тысяч двести восемьдесят пять рублей 41 копейка)</t>
  </si>
  <si>
    <t>за период с 01.02.2021 г. по 28.02.2021 г.</t>
  </si>
  <si>
    <t>1 ч (1,3 февр)</t>
  </si>
  <si>
    <t>2. Всего за период с 01.02.2021 по 28.02.2021 выполнено работ (оказано услуг) на общую сумму: 52318,98 руб.</t>
  </si>
  <si>
    <t>(пятьдесят две тысячи триста восемнадцать рублей 98 копеек)</t>
  </si>
  <si>
    <t>за период с 01.03.2021 г. по 31.03.2021 г.</t>
  </si>
  <si>
    <t>16,30 марта</t>
  </si>
  <si>
    <t>7,5 ч</t>
  </si>
  <si>
    <t>Работа ротенбергера</t>
  </si>
  <si>
    <t>Осмотр кровель из штучных материалов</t>
  </si>
  <si>
    <t>20 м</t>
  </si>
  <si>
    <t>2. Всего за период с 01.03.2021 по 31.03.2021 выполнено работ (оказано услуг) на общую сумму: 55860,74 руб.</t>
  </si>
  <si>
    <t>(пятьдесят пять тысяч восемьсот шестьдесят рублей 74 копейки)</t>
  </si>
  <si>
    <t>за период с 01.04.2021 г. по 30.04.2021 г.</t>
  </si>
  <si>
    <t>2 апр.</t>
  </si>
  <si>
    <t>Демонтаж снегоудержателя над кв.29</t>
  </si>
  <si>
    <t>Установка хомута диаметром до 50 мм</t>
  </si>
  <si>
    <t>ГВС кв.42</t>
  </si>
  <si>
    <t>1 ч</t>
  </si>
  <si>
    <t>2. Всего за период с 01.04.2021 по 30.04.2021 выполнено работ (оказано услуг) на общую сумму: 40574,90 руб.</t>
  </si>
  <si>
    <t>(сорок тысяч пятьсот семьдесят четыре рубля 90 копеек)</t>
  </si>
  <si>
    <t>2 м</t>
  </si>
  <si>
    <t>за период с 01.05.2021 г. по 31.05.2021 г.</t>
  </si>
  <si>
    <t>Ремонт пандуса</t>
  </si>
  <si>
    <t xml:space="preserve">Ремонт ступеней </t>
  </si>
  <si>
    <t>10 ступ.</t>
  </si>
  <si>
    <t>Подборка мусора, налетевшего с контейнерной площадки</t>
  </si>
  <si>
    <t>под.№2 подсобка</t>
  </si>
  <si>
    <t>под.№1</t>
  </si>
  <si>
    <t>2. Всего за период с 01.05.2021 по 31.05.2021 выполнено работ (оказано услуг) на общую сумму: 50022,72 руб.</t>
  </si>
  <si>
    <t>(пятьдесят тысяч двадцать два рубля 72 копейки)</t>
  </si>
  <si>
    <t>за период с 01.06.2021 г. по 30.06.2021 г.</t>
  </si>
  <si>
    <t>Закрытие слухового окна</t>
  </si>
  <si>
    <t>Очистка цоколя и отмостки от растительности</t>
  </si>
  <si>
    <t>2. Всего за период с 01.06.2021 по 30.06.2021 выполнено работ (оказано услуг) на общую сумму: 130449,15 руб.</t>
  </si>
  <si>
    <t>(сто тридцать тысяч четыреста сорок девять рублей 15 копеек)</t>
  </si>
  <si>
    <t>за период с 01.07.2021 г. по 31.07.2021 г.</t>
  </si>
  <si>
    <t>Бетонирование ступени под.№1</t>
  </si>
  <si>
    <t>Закрепление радиатора на крюки</t>
  </si>
  <si>
    <t>2. Всего за период с 01.07.2021 по 31.07.2021 выполнено работ (оказано услуг) на общую сумму: 37740,94 руб.</t>
  </si>
  <si>
    <t>(тридцать семь тысяч семьсот сорок рублей 94 копейки)</t>
  </si>
  <si>
    <t>за период с 01.08.2021 г. по 31.08.2021 г.</t>
  </si>
  <si>
    <t>2,5 м/часа</t>
  </si>
  <si>
    <t>Ремонт отдельных мест покрытия из асбоцементных листов обыкновенного профиля</t>
  </si>
  <si>
    <t>Шифер</t>
  </si>
  <si>
    <t>Смена внутренних трубопроводов на полипропиленовые трубы PN 20 Dу 20</t>
  </si>
  <si>
    <t>Подключение/отключение электрооборудования</t>
  </si>
  <si>
    <t>Ремонт кирпичной кладки</t>
  </si>
  <si>
    <t xml:space="preserve">Ремонт штукатурки фасадов </t>
  </si>
  <si>
    <t>0,5 м п/с кв.30</t>
  </si>
  <si>
    <t>0,06м2 у кв.30</t>
  </si>
  <si>
    <t>0,6 м2 у кв.30</t>
  </si>
  <si>
    <t>5,7 м2</t>
  </si>
  <si>
    <t>3 шт.</t>
  </si>
  <si>
    <t>2. Всего за период с 01.08.2021 по 31.08.2021 выполнено работ (оказано услуг) на общую сумму: 46036,81 руб.</t>
  </si>
  <si>
    <t>(сорок шесть тысяч тридцать шесть рублей 81 копейка)</t>
  </si>
  <si>
    <t>за период с 01.09.2021 г. по 30.09.2021 г.</t>
  </si>
  <si>
    <t>11 шт.</t>
  </si>
  <si>
    <t>Нумерация подъездов и квартир</t>
  </si>
  <si>
    <t>Смена патронов</t>
  </si>
  <si>
    <t>2. Всего за период с 01.09.2021 по 30.09.2021 выполнено работ (оказано услуг) на общую сумму: 56401,80 руб.</t>
  </si>
  <si>
    <t>(пятьдесят шесть тысяч четыреста один рубль 80 копеек)</t>
  </si>
  <si>
    <t>за период с 01.10.2021 г. по 31.10.2021 г.</t>
  </si>
  <si>
    <t>Демонтаж внутреннего замка на двери</t>
  </si>
  <si>
    <t>кв.22</t>
  </si>
  <si>
    <t>2. Всего за период с 01.10.2021 по 31.10.2021 выполнено работ (оказано услуг) на общую сумму: 36454,02 руб.</t>
  </si>
  <si>
    <t>(тридцать шесть тысяч четыреста пятьдесят четыре рубля 02 копейки)</t>
  </si>
  <si>
    <t>за период с 01.11.2021 г. по 30.11.2021 г.</t>
  </si>
  <si>
    <t>22 ноября</t>
  </si>
  <si>
    <t>Смена внутренних трубопроводов на полипропиленовые трубы PN 25 Dу 25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</si>
  <si>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</si>
  <si>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</si>
  <si>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18.02.2020г.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</si>
  <si>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18.02.2020г. стороны, и ООО «Движение», именуемое в дальнейшем "Исполнитель", в лице генерального директора Кочановой 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</si>
  <si>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 шт. с/о кв.31</t>
  </si>
  <si>
    <t>0,5 м с/о кв.31</t>
  </si>
  <si>
    <t>2. Всего за период с 01.11.2021 по 30.11.2021 выполнено работ (оказано услуг) на общую сумму: 43954,08 руб.</t>
  </si>
  <si>
    <t>(сорок три тысячи девятьсот пятьдесят четыре рубля 08 копеек)</t>
  </si>
  <si>
    <t>за период с 01.12.2021 г. по 31.12.2021 г.</t>
  </si>
  <si>
    <t>1 декабря</t>
  </si>
  <si>
    <t>2 м/часа</t>
  </si>
  <si>
    <t>1 шт. кв.44 п/с</t>
  </si>
  <si>
    <t>2. Всего за период с 01.12.2021 по 31.12.2021 выполнено работ (оказано услуг) на общую сумму: 48945,81 руб.</t>
  </si>
  <si>
    <t>(сорок восемь тысяч девятьсот сорок пять рублей 81 копейка)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</si>
</sst>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1" fillId="2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left" vertical="center" wrapText="1"/>
    </xf>
    <xf numFmtId="4" fontId="11" fillId="2" borderId="1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/>
    </xf>
    <xf numFmtId="4" fontId="11" fillId="2" borderId="1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8" fillId="3" borderId="3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" fontId="18" fillId="2" borderId="11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6"/>
  <sheetViews>
    <sheetView topLeftCell="A50" workbookViewId="0">
      <selection activeCell="B86" sqref="B86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125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188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60"/>
      <c r="C6" s="60"/>
      <c r="D6" s="60"/>
      <c r="E6" s="60"/>
      <c r="F6" s="74"/>
      <c r="G6" s="60"/>
      <c r="H6" s="74"/>
      <c r="I6" s="32">
        <v>44227</v>
      </c>
      <c r="J6" s="2"/>
      <c r="K6" s="2"/>
      <c r="L6" s="2"/>
      <c r="M6" s="2"/>
    </row>
    <row r="7" spans="1:13" ht="15.75" customHeight="1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61"/>
      <c r="K8" s="61"/>
      <c r="L8" s="61"/>
      <c r="M8" s="61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156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F18/18*1*G18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1" t="s">
        <v>94</v>
      </c>
      <c r="C30" s="92" t="s">
        <v>95</v>
      </c>
      <c r="D30" s="91" t="s">
        <v>96</v>
      </c>
      <c r="E30" s="94">
        <v>1167.4000000000001</v>
      </c>
      <c r="F30" s="94">
        <f>SUM(E30*52/1000)</f>
        <v>60.704800000000006</v>
      </c>
      <c r="G30" s="94">
        <v>155.88999999999999</v>
      </c>
      <c r="H30" s="95">
        <f t="shared" ref="H30:H32" si="2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1" t="s">
        <v>129</v>
      </c>
      <c r="C31" s="92" t="s">
        <v>95</v>
      </c>
      <c r="D31" s="91" t="s">
        <v>97</v>
      </c>
      <c r="E31" s="94">
        <v>540.04999999999995</v>
      </c>
      <c r="F31" s="94">
        <f>SUM(E31*78/1000)</f>
        <v>42.123899999999992</v>
      </c>
      <c r="G31" s="94">
        <v>258.63</v>
      </c>
      <c r="H31" s="95">
        <f t="shared" si="2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si="2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1" t="s">
        <v>98</v>
      </c>
      <c r="C33" s="92" t="s">
        <v>30</v>
      </c>
      <c r="D33" s="91" t="s">
        <v>63</v>
      </c>
      <c r="E33" s="97">
        <v>0.33333333333333331</v>
      </c>
      <c r="F33" s="94">
        <f>155/3</f>
        <v>51.666666666666664</v>
      </c>
      <c r="G33" s="94">
        <v>56.69</v>
      </c>
      <c r="H33" s="95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1" t="s">
        <v>64</v>
      </c>
      <c r="C34" s="92" t="s">
        <v>32</v>
      </c>
      <c r="D34" s="91" t="s">
        <v>65</v>
      </c>
      <c r="E34" s="93"/>
      <c r="F34" s="94">
        <v>3</v>
      </c>
      <c r="G34" s="94">
        <v>191.32</v>
      </c>
      <c r="H34" s="95">
        <f t="shared" ref="H34" si="3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21" customHeight="1">
      <c r="A36" s="41">
        <v>7</v>
      </c>
      <c r="B36" s="91" t="s">
        <v>26</v>
      </c>
      <c r="C36" s="92" t="s">
        <v>31</v>
      </c>
      <c r="D36" s="91" t="s">
        <v>189</v>
      </c>
      <c r="E36" s="93"/>
      <c r="F36" s="94">
        <v>6</v>
      </c>
      <c r="G36" s="170">
        <v>1930</v>
      </c>
      <c r="H36" s="95">
        <f t="shared" ref="H36:H41" si="4">SUM(F36*G36/1000)</f>
        <v>11.58</v>
      </c>
      <c r="I36" s="13">
        <f>G36*0.8</f>
        <v>1544</v>
      </c>
      <c r="J36" s="24"/>
      <c r="K36" s="8"/>
      <c r="L36" s="8"/>
      <c r="M36" s="8"/>
    </row>
    <row r="37" spans="1:13" ht="15.75" customHeight="1">
      <c r="A37" s="35">
        <v>8</v>
      </c>
      <c r="B37" s="146" t="s">
        <v>66</v>
      </c>
      <c r="C37" s="147" t="s">
        <v>29</v>
      </c>
      <c r="D37" s="146" t="s">
        <v>158</v>
      </c>
      <c r="E37" s="148">
        <v>26.33</v>
      </c>
      <c r="F37" s="148">
        <f>SUM(E37*30/1000)</f>
        <v>0.78989999999999994</v>
      </c>
      <c r="G37" s="148">
        <v>3134.93</v>
      </c>
      <c r="H37" s="95">
        <f t="shared" si="4"/>
        <v>2.4762812069999995</v>
      </c>
      <c r="I37" s="13">
        <f t="shared" ref="I37:I39" si="5">F37/6*G37</f>
        <v>412.71353449999992</v>
      </c>
      <c r="J37" s="24"/>
      <c r="K37" s="8"/>
      <c r="L37" s="8"/>
      <c r="M37" s="8"/>
    </row>
    <row r="38" spans="1:13" ht="15.75" customHeight="1">
      <c r="A38" s="35">
        <v>9</v>
      </c>
      <c r="B38" s="34" t="s">
        <v>165</v>
      </c>
      <c r="C38" s="40" t="s">
        <v>29</v>
      </c>
      <c r="D38" s="34" t="s">
        <v>159</v>
      </c>
      <c r="E38" s="121">
        <v>26.33</v>
      </c>
      <c r="F38" s="148">
        <f>SUM(E38*155/1000)</f>
        <v>4.0811500000000001</v>
      </c>
      <c r="G38" s="121">
        <v>522.92999999999995</v>
      </c>
      <c r="H38" s="95">
        <f t="shared" si="4"/>
        <v>2.1341557694999995</v>
      </c>
      <c r="I38" s="13">
        <f t="shared" si="5"/>
        <v>355.69262824999993</v>
      </c>
      <c r="J38" s="24"/>
      <c r="K38" s="8"/>
      <c r="L38" s="8"/>
      <c r="M38" s="8"/>
    </row>
    <row r="39" spans="1:13" ht="47.25" hidden="1" customHeight="1">
      <c r="A39" s="35">
        <v>10</v>
      </c>
      <c r="B39" s="34" t="s">
        <v>166</v>
      </c>
      <c r="C39" s="40" t="s">
        <v>167</v>
      </c>
      <c r="D39" s="34"/>
      <c r="E39" s="121"/>
      <c r="F39" s="148">
        <v>39</v>
      </c>
      <c r="G39" s="121">
        <v>330</v>
      </c>
      <c r="H39" s="95">
        <f t="shared" si="4"/>
        <v>12.87</v>
      </c>
      <c r="I39" s="13">
        <f t="shared" si="5"/>
        <v>2145</v>
      </c>
      <c r="J39" s="24"/>
      <c r="K39" s="8"/>
      <c r="L39" s="8"/>
      <c r="M39" s="8"/>
    </row>
    <row r="40" spans="1:13" ht="15.75" customHeight="1">
      <c r="A40" s="35">
        <v>10</v>
      </c>
      <c r="B40" s="34" t="s">
        <v>168</v>
      </c>
      <c r="C40" s="40" t="s">
        <v>95</v>
      </c>
      <c r="D40" s="34" t="s">
        <v>174</v>
      </c>
      <c r="E40" s="121">
        <v>26.33</v>
      </c>
      <c r="F40" s="148">
        <f>SUM(E40*35/1000)</f>
        <v>0.92154999999999998</v>
      </c>
      <c r="G40" s="121">
        <v>8652.07</v>
      </c>
      <c r="H40" s="95">
        <f t="shared" si="4"/>
        <v>7.9733151084999996</v>
      </c>
      <c r="I40" s="13">
        <f>G40*F40/6</f>
        <v>1328.8858514166666</v>
      </c>
      <c r="J40" s="24"/>
      <c r="K40" s="8"/>
      <c r="L40" s="8"/>
      <c r="M40" s="8"/>
    </row>
    <row r="41" spans="1:13" ht="15.75" hidden="1" customHeight="1">
      <c r="A41" s="35">
        <v>12</v>
      </c>
      <c r="B41" s="34" t="s">
        <v>100</v>
      </c>
      <c r="C41" s="40" t="s">
        <v>95</v>
      </c>
      <c r="D41" s="34" t="s">
        <v>156</v>
      </c>
      <c r="E41" s="121">
        <v>90.4</v>
      </c>
      <c r="F41" s="148">
        <f>SUM(E41*15/1000)</f>
        <v>1.3560000000000001</v>
      </c>
      <c r="G41" s="121">
        <v>639.1</v>
      </c>
      <c r="H41" s="95">
        <f t="shared" si="4"/>
        <v>0.86661960000000016</v>
      </c>
      <c r="I41" s="13">
        <f>G41*F41/15*1</f>
        <v>57.774640000000005</v>
      </c>
      <c r="J41" s="24"/>
      <c r="K41" s="8"/>
      <c r="L41" s="8"/>
      <c r="M41" s="8"/>
    </row>
    <row r="42" spans="1:13" ht="15.75" hidden="1" customHeight="1">
      <c r="A42" s="144"/>
      <c r="B42" s="146" t="s">
        <v>70</v>
      </c>
      <c r="C42" s="147" t="s">
        <v>32</v>
      </c>
      <c r="D42" s="146"/>
      <c r="E42" s="129"/>
      <c r="F42" s="148">
        <v>0.6</v>
      </c>
      <c r="G42" s="148">
        <v>900</v>
      </c>
      <c r="H42" s="84"/>
      <c r="I42" s="169">
        <f>G42*F42/15*1</f>
        <v>36</v>
      </c>
      <c r="J42" s="24"/>
      <c r="K42" s="8"/>
      <c r="L42" s="8"/>
      <c r="M42" s="8"/>
    </row>
    <row r="43" spans="1:13" ht="32.25" customHeight="1">
      <c r="A43" s="144">
        <v>11</v>
      </c>
      <c r="B43" s="34" t="s">
        <v>170</v>
      </c>
      <c r="C43" s="40" t="s">
        <v>29</v>
      </c>
      <c r="D43" s="34" t="s">
        <v>183</v>
      </c>
      <c r="E43" s="120">
        <v>1.2</v>
      </c>
      <c r="F43" s="121">
        <f>E43*12/1000</f>
        <v>1.4399999999999998E-2</v>
      </c>
      <c r="G43" s="121">
        <v>20547.34</v>
      </c>
      <c r="H43" s="84"/>
      <c r="I43" s="169">
        <f>G43*F43/6</f>
        <v>49.313615999999996</v>
      </c>
      <c r="J43" s="24"/>
      <c r="K43" s="8"/>
      <c r="L43" s="8"/>
      <c r="M43" s="8"/>
    </row>
    <row r="44" spans="1:13" ht="15.75" customHeight="1">
      <c r="A44" s="206" t="s">
        <v>126</v>
      </c>
      <c r="B44" s="207"/>
      <c r="C44" s="207"/>
      <c r="D44" s="207"/>
      <c r="E44" s="207"/>
      <c r="F44" s="207"/>
      <c r="G44" s="207"/>
      <c r="H44" s="207"/>
      <c r="I44" s="208"/>
      <c r="J44" s="24"/>
      <c r="K44" s="8"/>
      <c r="L44" s="8"/>
      <c r="M44" s="8"/>
    </row>
    <row r="45" spans="1:13" ht="15.75" hidden="1" customHeight="1">
      <c r="A45" s="41">
        <v>15</v>
      </c>
      <c r="B45" s="91" t="s">
        <v>101</v>
      </c>
      <c r="C45" s="92" t="s">
        <v>95</v>
      </c>
      <c r="D45" s="91" t="s">
        <v>42</v>
      </c>
      <c r="E45" s="93">
        <v>965.8</v>
      </c>
      <c r="F45" s="94">
        <f>SUM(E45*2/1000)</f>
        <v>1.9316</v>
      </c>
      <c r="G45" s="13">
        <v>849.49</v>
      </c>
      <c r="H45" s="95">
        <f t="shared" ref="H45:H54" si="6">SUM(F45*G45/1000)</f>
        <v>1.640874884</v>
      </c>
      <c r="I45" s="13">
        <v>0</v>
      </c>
      <c r="J45" s="24"/>
      <c r="K45" s="8"/>
    </row>
    <row r="46" spans="1:13" ht="15.75" hidden="1" customHeight="1">
      <c r="A46" s="41">
        <v>16</v>
      </c>
      <c r="B46" s="91" t="s">
        <v>35</v>
      </c>
      <c r="C46" s="92" t="s">
        <v>95</v>
      </c>
      <c r="D46" s="91" t="s">
        <v>42</v>
      </c>
      <c r="E46" s="93">
        <v>36</v>
      </c>
      <c r="F46" s="94">
        <f>SUM(E46*2/1000)</f>
        <v>7.1999999999999995E-2</v>
      </c>
      <c r="G46" s="13">
        <v>579.48</v>
      </c>
      <c r="H46" s="95">
        <f t="shared" si="6"/>
        <v>4.1722559999999999E-2</v>
      </c>
      <c r="I46" s="13">
        <v>0</v>
      </c>
      <c r="J46" s="25"/>
    </row>
    <row r="47" spans="1:13" ht="15.75" hidden="1" customHeight="1">
      <c r="A47" s="41">
        <v>17</v>
      </c>
      <c r="B47" s="91" t="s">
        <v>36</v>
      </c>
      <c r="C47" s="92" t="s">
        <v>95</v>
      </c>
      <c r="D47" s="91" t="s">
        <v>42</v>
      </c>
      <c r="E47" s="93">
        <v>1197.7</v>
      </c>
      <c r="F47" s="94">
        <f>SUM(E47*2/1000)</f>
        <v>2.3954</v>
      </c>
      <c r="G47" s="13">
        <v>579.48</v>
      </c>
      <c r="H47" s="95">
        <f t="shared" si="6"/>
        <v>1.3880863919999999</v>
      </c>
      <c r="I47" s="13">
        <v>0</v>
      </c>
      <c r="J47" s="25"/>
    </row>
    <row r="48" spans="1:13" ht="15.75" hidden="1" customHeight="1">
      <c r="A48" s="41"/>
      <c r="B48" s="91" t="s">
        <v>37</v>
      </c>
      <c r="C48" s="92" t="s">
        <v>95</v>
      </c>
      <c r="D48" s="91" t="s">
        <v>42</v>
      </c>
      <c r="E48" s="93">
        <v>2275.92</v>
      </c>
      <c r="F48" s="94">
        <f>SUM(E48*2/1000)</f>
        <v>4.5518400000000003</v>
      </c>
      <c r="G48" s="13">
        <v>606.77</v>
      </c>
      <c r="H48" s="95">
        <f t="shared" si="6"/>
        <v>2.7619199567999999</v>
      </c>
      <c r="I48" s="13">
        <v>0</v>
      </c>
      <c r="J48" s="25"/>
    </row>
    <row r="49" spans="1:14" ht="15.75" hidden="1" customHeight="1">
      <c r="A49" s="41">
        <v>18</v>
      </c>
      <c r="B49" s="91" t="s">
        <v>33</v>
      </c>
      <c r="C49" s="92" t="s">
        <v>34</v>
      </c>
      <c r="D49" s="91" t="s">
        <v>42</v>
      </c>
      <c r="E49" s="93">
        <v>81.709999999999994</v>
      </c>
      <c r="F49" s="94">
        <f>SUM(E49*2/100)</f>
        <v>1.6341999999999999</v>
      </c>
      <c r="G49" s="13">
        <v>68.56</v>
      </c>
      <c r="H49" s="95">
        <f t="shared" si="6"/>
        <v>0.11204075199999999</v>
      </c>
      <c r="I49" s="13">
        <v>0</v>
      </c>
      <c r="J49" s="25"/>
    </row>
    <row r="50" spans="1:14" ht="15.75" customHeight="1">
      <c r="A50" s="41">
        <v>12</v>
      </c>
      <c r="B50" s="91" t="s">
        <v>56</v>
      </c>
      <c r="C50" s="92" t="s">
        <v>95</v>
      </c>
      <c r="D50" s="91" t="s">
        <v>156</v>
      </c>
      <c r="E50" s="93">
        <v>1711.8</v>
      </c>
      <c r="F50" s="94">
        <f>SUM(E50*5/1000)</f>
        <v>8.5589999999999993</v>
      </c>
      <c r="G50" s="131">
        <v>1809.27</v>
      </c>
      <c r="H50" s="95">
        <f t="shared" ref="H50" si="7">SUM(F50*G50/1000)</f>
        <v>15.48554193</v>
      </c>
      <c r="I50" s="13">
        <f>F50/5*G50</f>
        <v>3097.1083859999994</v>
      </c>
      <c r="J50" s="25"/>
    </row>
    <row r="51" spans="1:14" ht="31.5" hidden="1" customHeight="1">
      <c r="A51" s="41">
        <v>10</v>
      </c>
      <c r="B51" s="91" t="s">
        <v>102</v>
      </c>
      <c r="C51" s="92" t="s">
        <v>95</v>
      </c>
      <c r="D51" s="91" t="s">
        <v>42</v>
      </c>
      <c r="E51" s="93">
        <v>1711.8</v>
      </c>
      <c r="F51" s="94">
        <f>SUM(E51*2/1000)</f>
        <v>3.4236</v>
      </c>
      <c r="G51" s="13">
        <v>1213.55</v>
      </c>
      <c r="H51" s="95">
        <f t="shared" si="6"/>
        <v>4.1547097800000001</v>
      </c>
      <c r="I51" s="13">
        <v>0</v>
      </c>
      <c r="J51" s="25"/>
    </row>
    <row r="52" spans="1:14" ht="31.5" hidden="1" customHeight="1">
      <c r="A52" s="41">
        <v>11</v>
      </c>
      <c r="B52" s="91" t="s">
        <v>103</v>
      </c>
      <c r="C52" s="92" t="s">
        <v>38</v>
      </c>
      <c r="D52" s="91" t="s">
        <v>42</v>
      </c>
      <c r="E52" s="93">
        <v>15</v>
      </c>
      <c r="F52" s="94">
        <f>SUM(E52*2/100)</f>
        <v>0.3</v>
      </c>
      <c r="G52" s="13">
        <v>2730.49</v>
      </c>
      <c r="H52" s="95">
        <f t="shared" si="6"/>
        <v>0.81914699999999996</v>
      </c>
      <c r="I52" s="13">
        <v>0</v>
      </c>
      <c r="J52" s="25"/>
    </row>
    <row r="53" spans="1:14" ht="15.75" hidden="1" customHeight="1">
      <c r="A53" s="41">
        <v>12</v>
      </c>
      <c r="B53" s="91" t="s">
        <v>39</v>
      </c>
      <c r="C53" s="92" t="s">
        <v>40</v>
      </c>
      <c r="D53" s="91" t="s">
        <v>42</v>
      </c>
      <c r="E53" s="93">
        <v>1</v>
      </c>
      <c r="F53" s="94">
        <v>0.02</v>
      </c>
      <c r="G53" s="13">
        <v>5322.15</v>
      </c>
      <c r="H53" s="95">
        <f t="shared" si="6"/>
        <v>0.106443</v>
      </c>
      <c r="I53" s="13">
        <v>0</v>
      </c>
      <c r="J53" s="25"/>
      <c r="L53" s="21"/>
      <c r="M53" s="22"/>
      <c r="N53" s="23"/>
    </row>
    <row r="54" spans="1:14" ht="15.75" hidden="1" customHeight="1">
      <c r="A54" s="41">
        <v>14</v>
      </c>
      <c r="B54" s="91" t="s">
        <v>41</v>
      </c>
      <c r="C54" s="92" t="s">
        <v>82</v>
      </c>
      <c r="D54" s="130">
        <v>43488</v>
      </c>
      <c r="E54" s="93">
        <v>90</v>
      </c>
      <c r="F54" s="94">
        <f>SUM(E54)*3</f>
        <v>270</v>
      </c>
      <c r="G54" s="13">
        <v>65.67</v>
      </c>
      <c r="H54" s="95">
        <f t="shared" si="6"/>
        <v>17.730900000000002</v>
      </c>
      <c r="I54" s="13">
        <f>E54*G54</f>
        <v>5910.3</v>
      </c>
      <c r="J54" s="25"/>
      <c r="L54" s="21"/>
      <c r="M54" s="22"/>
      <c r="N54" s="23"/>
    </row>
    <row r="55" spans="1:14" ht="15.75" customHeight="1">
      <c r="A55" s="206" t="s">
        <v>127</v>
      </c>
      <c r="B55" s="207"/>
      <c r="C55" s="207"/>
      <c r="D55" s="207"/>
      <c r="E55" s="207"/>
      <c r="F55" s="207"/>
      <c r="G55" s="207"/>
      <c r="H55" s="207"/>
      <c r="I55" s="208"/>
      <c r="J55" s="25"/>
      <c r="L55" s="21"/>
      <c r="M55" s="22"/>
      <c r="N55" s="23"/>
    </row>
    <row r="56" spans="1:14" ht="15.75" customHeight="1">
      <c r="A56" s="53"/>
      <c r="B56" s="48" t="s">
        <v>43</v>
      </c>
      <c r="C56" s="17"/>
      <c r="D56" s="16"/>
      <c r="E56" s="16"/>
      <c r="F56" s="16"/>
      <c r="G56" s="31"/>
      <c r="H56" s="31"/>
      <c r="I56" s="19"/>
      <c r="J56" s="25"/>
      <c r="L56" s="21"/>
      <c r="M56" s="22"/>
      <c r="N56" s="23"/>
    </row>
    <row r="57" spans="1:14" ht="31.5" customHeight="1">
      <c r="A57" s="41">
        <v>13</v>
      </c>
      <c r="B57" s="34" t="s">
        <v>104</v>
      </c>
      <c r="C57" s="40" t="s">
        <v>85</v>
      </c>
      <c r="D57" s="34"/>
      <c r="E57" s="120">
        <v>62.4</v>
      </c>
      <c r="F57" s="121">
        <f>SUM(E57*6/100)</f>
        <v>3.7439999999999998</v>
      </c>
      <c r="G57" s="37">
        <v>2306.83</v>
      </c>
      <c r="H57" s="95">
        <f>SUM(F57*G57/1000)</f>
        <v>8.6367715199999981</v>
      </c>
      <c r="I57" s="13">
        <f>G57*0.208</f>
        <v>479.82063999999997</v>
      </c>
      <c r="J57" s="25"/>
      <c r="L57" s="21"/>
      <c r="M57" s="22"/>
      <c r="N57" s="23"/>
    </row>
    <row r="58" spans="1:14" ht="31.5" customHeight="1">
      <c r="A58" s="41">
        <v>14</v>
      </c>
      <c r="B58" s="34" t="s">
        <v>190</v>
      </c>
      <c r="C58" s="40" t="s">
        <v>85</v>
      </c>
      <c r="D58" s="34"/>
      <c r="E58" s="120">
        <v>50.2</v>
      </c>
      <c r="F58" s="121">
        <f>E58*12/100</f>
        <v>6.0240000000000009</v>
      </c>
      <c r="G58" s="68">
        <v>2306.83</v>
      </c>
      <c r="H58" s="84"/>
      <c r="I58" s="13">
        <f>G58*F58/6</f>
        <v>2316.0573200000003</v>
      </c>
      <c r="J58" s="25"/>
      <c r="L58" s="21"/>
      <c r="M58" s="22"/>
      <c r="N58" s="23"/>
    </row>
    <row r="59" spans="1:14" ht="16.5" customHeight="1">
      <c r="A59" s="41">
        <v>15</v>
      </c>
      <c r="B59" s="34" t="s">
        <v>134</v>
      </c>
      <c r="C59" s="40" t="s">
        <v>135</v>
      </c>
      <c r="D59" s="34" t="s">
        <v>194</v>
      </c>
      <c r="E59" s="120"/>
      <c r="F59" s="122">
        <v>10</v>
      </c>
      <c r="G59" s="37">
        <v>1800</v>
      </c>
      <c r="H59" s="84"/>
      <c r="I59" s="13">
        <f>G59*1</f>
        <v>1800</v>
      </c>
      <c r="J59" s="25"/>
      <c r="L59" s="21"/>
      <c r="M59" s="22"/>
      <c r="N59" s="23"/>
    </row>
    <row r="60" spans="1:14" ht="15.75" customHeight="1">
      <c r="A60" s="41"/>
      <c r="B60" s="67" t="s">
        <v>44</v>
      </c>
      <c r="C60" s="40"/>
      <c r="D60" s="34"/>
      <c r="E60" s="19"/>
      <c r="F60" s="85"/>
      <c r="G60" s="37"/>
      <c r="H60" s="68"/>
      <c r="I60" s="20"/>
      <c r="J60" s="25"/>
      <c r="L60" s="21"/>
      <c r="M60" s="22"/>
      <c r="N60" s="23"/>
    </row>
    <row r="61" spans="1:14" ht="15.75" hidden="1" customHeight="1">
      <c r="A61" s="41"/>
      <c r="B61" s="91" t="s">
        <v>45</v>
      </c>
      <c r="C61" s="92" t="s">
        <v>85</v>
      </c>
      <c r="D61" s="91" t="s">
        <v>54</v>
      </c>
      <c r="E61" s="93">
        <v>855.9</v>
      </c>
      <c r="F61" s="95">
        <v>8.6</v>
      </c>
      <c r="G61" s="13">
        <v>747.3</v>
      </c>
      <c r="H61" s="98">
        <v>6.4</v>
      </c>
      <c r="I61" s="13">
        <v>0</v>
      </c>
      <c r="J61" s="25"/>
      <c r="L61" s="21"/>
      <c r="M61" s="22"/>
      <c r="N61" s="23"/>
    </row>
    <row r="62" spans="1:14" ht="15.75" customHeight="1">
      <c r="A62" s="41">
        <v>16</v>
      </c>
      <c r="B62" s="34" t="s">
        <v>83</v>
      </c>
      <c r="C62" s="40" t="s">
        <v>25</v>
      </c>
      <c r="D62" s="34" t="s">
        <v>156</v>
      </c>
      <c r="E62" s="120">
        <v>130</v>
      </c>
      <c r="F62" s="121">
        <f>E62*12</f>
        <v>1560</v>
      </c>
      <c r="G62" s="68">
        <v>1.4</v>
      </c>
      <c r="H62" s="122">
        <f>F62*G62/1000</f>
        <v>2.1840000000000002</v>
      </c>
      <c r="I62" s="13">
        <f>F62/12*G62</f>
        <v>182</v>
      </c>
      <c r="J62" s="25"/>
      <c r="L62" s="21"/>
      <c r="M62" s="22"/>
      <c r="N62" s="23"/>
    </row>
    <row r="63" spans="1:14" ht="15.75" hidden="1" customHeight="1">
      <c r="A63" s="41"/>
      <c r="B63" s="67" t="s">
        <v>121</v>
      </c>
      <c r="C63" s="40"/>
      <c r="D63" s="34"/>
      <c r="E63" s="19"/>
      <c r="F63" s="85"/>
      <c r="G63" s="69"/>
      <c r="H63" s="68"/>
      <c r="I63" s="20"/>
      <c r="J63" s="25"/>
      <c r="L63" s="21"/>
      <c r="M63" s="22"/>
      <c r="N63" s="23"/>
    </row>
    <row r="64" spans="1:14" ht="15.75" hidden="1" customHeight="1">
      <c r="A64" s="41"/>
      <c r="B64" s="91" t="s">
        <v>122</v>
      </c>
      <c r="C64" s="92" t="s">
        <v>82</v>
      </c>
      <c r="D64" s="91" t="s">
        <v>65</v>
      </c>
      <c r="E64" s="93">
        <v>2</v>
      </c>
      <c r="F64" s="94">
        <f>SUM(E64)</f>
        <v>2</v>
      </c>
      <c r="G64" s="99">
        <v>237.75</v>
      </c>
      <c r="H64" s="95">
        <f t="shared" ref="H64" si="8">SUM(F64*G64/1000)</f>
        <v>0.47549999999999998</v>
      </c>
      <c r="I64" s="13">
        <v>0</v>
      </c>
      <c r="J64" s="25"/>
      <c r="L64" s="21"/>
      <c r="M64" s="22"/>
      <c r="N64" s="23"/>
    </row>
    <row r="65" spans="1:14" ht="15.75" hidden="1" customHeight="1">
      <c r="A65" s="41"/>
      <c r="B65" s="63" t="s">
        <v>46</v>
      </c>
      <c r="C65" s="17"/>
      <c r="D65" s="16"/>
      <c r="E65" s="16"/>
      <c r="F65" s="86"/>
      <c r="G65" s="65"/>
      <c r="H65" s="68"/>
      <c r="I65" s="19"/>
      <c r="J65" s="25"/>
      <c r="L65" s="21"/>
      <c r="M65" s="22"/>
      <c r="N65" s="23"/>
    </row>
    <row r="66" spans="1:14" ht="15.75" hidden="1" customHeight="1">
      <c r="A66" s="41">
        <v>13</v>
      </c>
      <c r="B66" s="15" t="s">
        <v>47</v>
      </c>
      <c r="C66" s="17" t="s">
        <v>82</v>
      </c>
      <c r="D66" s="91" t="s">
        <v>156</v>
      </c>
      <c r="E66" s="19">
        <v>10</v>
      </c>
      <c r="F66" s="94">
        <v>10</v>
      </c>
      <c r="G66" s="13">
        <v>222.4</v>
      </c>
      <c r="H66" s="100">
        <f t="shared" ref="H66:H73" si="9">SUM(F66*G66/1000)</f>
        <v>2.2240000000000002</v>
      </c>
      <c r="I66" s="13">
        <f>G66*1</f>
        <v>222.4</v>
      </c>
      <c r="J66" s="25"/>
      <c r="L66" s="21"/>
      <c r="M66" s="22"/>
      <c r="N66" s="23"/>
    </row>
    <row r="67" spans="1:14" ht="15.75" hidden="1" customHeight="1">
      <c r="A67" s="31">
        <v>29</v>
      </c>
      <c r="B67" s="15" t="s">
        <v>48</v>
      </c>
      <c r="C67" s="17" t="s">
        <v>82</v>
      </c>
      <c r="D67" s="91" t="s">
        <v>65</v>
      </c>
      <c r="E67" s="19">
        <v>5</v>
      </c>
      <c r="F67" s="94">
        <v>5</v>
      </c>
      <c r="G67" s="13">
        <v>75.25</v>
      </c>
      <c r="H67" s="100">
        <f t="shared" si="9"/>
        <v>0.37624999999999997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8</v>
      </c>
      <c r="B68" s="15" t="s">
        <v>49</v>
      </c>
      <c r="C68" s="17" t="s">
        <v>106</v>
      </c>
      <c r="D68" s="15" t="s">
        <v>54</v>
      </c>
      <c r="E68" s="93">
        <v>13018</v>
      </c>
      <c r="F68" s="13">
        <f>SUM(E68/100)</f>
        <v>130.18</v>
      </c>
      <c r="G68" s="13">
        <v>212.15</v>
      </c>
      <c r="H68" s="100">
        <f t="shared" si="9"/>
        <v>27.617687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9</v>
      </c>
      <c r="B69" s="15" t="s">
        <v>50</v>
      </c>
      <c r="C69" s="17" t="s">
        <v>107</v>
      </c>
      <c r="D69" s="15"/>
      <c r="E69" s="93">
        <v>13018</v>
      </c>
      <c r="F69" s="13">
        <f>SUM(E69/1000)</f>
        <v>13.018000000000001</v>
      </c>
      <c r="G69" s="13">
        <v>165.21</v>
      </c>
      <c r="H69" s="100">
        <f t="shared" si="9"/>
        <v>2.1507037800000002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10</v>
      </c>
      <c r="B70" s="15" t="s">
        <v>51</v>
      </c>
      <c r="C70" s="17" t="s">
        <v>76</v>
      </c>
      <c r="D70" s="15" t="s">
        <v>54</v>
      </c>
      <c r="E70" s="93">
        <v>1279</v>
      </c>
      <c r="F70" s="13">
        <f>SUM(E70/100)</f>
        <v>12.79</v>
      </c>
      <c r="G70" s="13">
        <v>2074.63</v>
      </c>
      <c r="H70" s="100">
        <f t="shared" si="9"/>
        <v>26.534517700000002</v>
      </c>
      <c r="I70" s="13">
        <v>0</v>
      </c>
      <c r="J70" s="25"/>
      <c r="L70" s="21"/>
      <c r="M70" s="22"/>
      <c r="N70" s="23"/>
    </row>
    <row r="71" spans="1:14" ht="15.75" hidden="1" customHeight="1">
      <c r="A71" s="31">
        <v>11</v>
      </c>
      <c r="B71" s="101" t="s">
        <v>108</v>
      </c>
      <c r="C71" s="17" t="s">
        <v>32</v>
      </c>
      <c r="D71" s="15"/>
      <c r="E71" s="93">
        <v>12</v>
      </c>
      <c r="F71" s="13">
        <f>SUM(E71)</f>
        <v>12</v>
      </c>
      <c r="G71" s="13">
        <v>45.32</v>
      </c>
      <c r="H71" s="100">
        <f t="shared" si="9"/>
        <v>0.54383999999999999</v>
      </c>
      <c r="I71" s="13">
        <v>0</v>
      </c>
      <c r="J71" s="25"/>
      <c r="L71" s="21"/>
      <c r="M71" s="22"/>
      <c r="N71" s="23"/>
    </row>
    <row r="72" spans="1:14" ht="15.75" hidden="1" customHeight="1">
      <c r="A72" s="31">
        <v>12</v>
      </c>
      <c r="B72" s="101" t="s">
        <v>109</v>
      </c>
      <c r="C72" s="17" t="s">
        <v>32</v>
      </c>
      <c r="D72" s="15"/>
      <c r="E72" s="93">
        <v>12</v>
      </c>
      <c r="F72" s="13">
        <f>SUM(E72)</f>
        <v>12</v>
      </c>
      <c r="G72" s="13">
        <v>42.28</v>
      </c>
      <c r="H72" s="100">
        <f t="shared" si="9"/>
        <v>0.50736000000000003</v>
      </c>
      <c r="I72" s="13">
        <v>0</v>
      </c>
      <c r="J72" s="25"/>
      <c r="L72" s="21"/>
      <c r="M72" s="22"/>
      <c r="N72" s="23"/>
    </row>
    <row r="73" spans="1:14" ht="15.75" hidden="1" customHeight="1">
      <c r="A73" s="31">
        <v>13</v>
      </c>
      <c r="B73" s="15" t="s">
        <v>57</v>
      </c>
      <c r="C73" s="17" t="s">
        <v>58</v>
      </c>
      <c r="D73" s="15" t="s">
        <v>54</v>
      </c>
      <c r="E73" s="19">
        <v>1</v>
      </c>
      <c r="F73" s="94">
        <f>SUM(E73)</f>
        <v>1</v>
      </c>
      <c r="G73" s="13">
        <v>49.88</v>
      </c>
      <c r="H73" s="100">
        <f t="shared" si="9"/>
        <v>4.9880000000000001E-2</v>
      </c>
      <c r="I73" s="13">
        <v>0</v>
      </c>
      <c r="J73" s="25"/>
      <c r="L73" s="21"/>
      <c r="M73" s="22"/>
      <c r="N73" s="23"/>
    </row>
    <row r="74" spans="1:14" ht="15.75" hidden="1" customHeight="1">
      <c r="A74" s="53"/>
      <c r="B74" s="63" t="s">
        <v>110</v>
      </c>
      <c r="C74" s="63"/>
      <c r="D74" s="63"/>
      <c r="E74" s="63"/>
      <c r="F74" s="75"/>
      <c r="G74" s="63"/>
      <c r="H74" s="75"/>
      <c r="I74" s="19"/>
      <c r="J74" s="25"/>
      <c r="L74" s="21"/>
      <c r="M74" s="22"/>
      <c r="N74" s="23"/>
    </row>
    <row r="75" spans="1:14" ht="15.75" hidden="1" customHeight="1">
      <c r="A75" s="31">
        <v>15</v>
      </c>
      <c r="B75" s="91" t="s">
        <v>111</v>
      </c>
      <c r="C75" s="17"/>
      <c r="D75" s="15"/>
      <c r="E75" s="85"/>
      <c r="F75" s="13">
        <v>1</v>
      </c>
      <c r="G75" s="13">
        <v>10041.700000000001</v>
      </c>
      <c r="H75" s="100">
        <f>G75*F75/1000</f>
        <v>10.041700000000001</v>
      </c>
      <c r="I75" s="13">
        <v>0</v>
      </c>
      <c r="J75" s="25"/>
      <c r="L75" s="21"/>
      <c r="M75" s="22"/>
      <c r="N75" s="23"/>
    </row>
    <row r="76" spans="1:14" ht="15.75" customHeight="1">
      <c r="A76" s="31"/>
      <c r="B76" s="49" t="s">
        <v>72</v>
      </c>
      <c r="C76" s="49"/>
      <c r="D76" s="49"/>
      <c r="E76" s="19"/>
      <c r="F76" s="19"/>
      <c r="G76" s="31"/>
      <c r="H76" s="31"/>
      <c r="I76" s="19"/>
      <c r="J76" s="25"/>
      <c r="L76" s="21"/>
      <c r="M76" s="22"/>
      <c r="N76" s="23"/>
    </row>
    <row r="77" spans="1:14" ht="15.75" hidden="1" customHeight="1">
      <c r="A77" s="31">
        <v>11</v>
      </c>
      <c r="B77" s="15" t="s">
        <v>73</v>
      </c>
      <c r="C77" s="17" t="s">
        <v>74</v>
      </c>
      <c r="D77" s="15" t="s">
        <v>65</v>
      </c>
      <c r="E77" s="19">
        <v>5</v>
      </c>
      <c r="F77" s="13">
        <v>0.5</v>
      </c>
      <c r="G77" s="13">
        <v>501.62</v>
      </c>
      <c r="H77" s="100">
        <f t="shared" ref="H77:H79" si="10">SUM(F77*G77/1000)</f>
        <v>0.25080999999999998</v>
      </c>
      <c r="I77" s="13">
        <v>0</v>
      </c>
      <c r="J77" s="25"/>
      <c r="L77" s="21"/>
      <c r="M77" s="22"/>
      <c r="N77" s="23"/>
    </row>
    <row r="78" spans="1:14" ht="15.75" hidden="1" customHeight="1">
      <c r="A78" s="31"/>
      <c r="B78" s="15" t="s">
        <v>123</v>
      </c>
      <c r="C78" s="17" t="s">
        <v>82</v>
      </c>
      <c r="D78" s="15"/>
      <c r="E78" s="19">
        <v>1</v>
      </c>
      <c r="F78" s="84">
        <f>E78</f>
        <v>1</v>
      </c>
      <c r="G78" s="13">
        <v>852.99</v>
      </c>
      <c r="H78" s="100">
        <f t="shared" si="10"/>
        <v>0.85299000000000003</v>
      </c>
      <c r="I78" s="13">
        <v>0</v>
      </c>
      <c r="J78" s="25"/>
      <c r="L78" s="21"/>
      <c r="M78" s="22"/>
      <c r="N78" s="23"/>
    </row>
    <row r="79" spans="1:14" ht="15.75" hidden="1" customHeight="1">
      <c r="A79" s="31"/>
      <c r="B79" s="15" t="s">
        <v>124</v>
      </c>
      <c r="C79" s="17" t="s">
        <v>82</v>
      </c>
      <c r="D79" s="15"/>
      <c r="E79" s="19">
        <v>1</v>
      </c>
      <c r="F79" s="94">
        <f>SUM(E79)</f>
        <v>1</v>
      </c>
      <c r="G79" s="13">
        <v>358.51</v>
      </c>
      <c r="H79" s="100">
        <f t="shared" si="10"/>
        <v>0.35851</v>
      </c>
      <c r="I79" s="13">
        <v>0</v>
      </c>
      <c r="J79" s="25"/>
      <c r="L79" s="21"/>
      <c r="M79" s="22"/>
      <c r="N79" s="23"/>
    </row>
    <row r="80" spans="1:14" ht="15.75" customHeight="1">
      <c r="A80" s="31">
        <v>17</v>
      </c>
      <c r="B80" s="119" t="s">
        <v>171</v>
      </c>
      <c r="C80" s="38" t="s">
        <v>82</v>
      </c>
      <c r="D80" s="119" t="s">
        <v>155</v>
      </c>
      <c r="E80" s="18">
        <v>2</v>
      </c>
      <c r="F80" s="68">
        <f>E80*12</f>
        <v>24</v>
      </c>
      <c r="G80" s="37">
        <v>420</v>
      </c>
      <c r="H80" s="100"/>
      <c r="I80" s="13">
        <f>G80*2</f>
        <v>840</v>
      </c>
      <c r="J80" s="25"/>
      <c r="L80" s="21"/>
      <c r="M80" s="22"/>
      <c r="N80" s="23"/>
    </row>
    <row r="81" spans="1:22" ht="15.75" hidden="1" customHeight="1">
      <c r="A81" s="31"/>
      <c r="B81" s="50" t="s">
        <v>75</v>
      </c>
      <c r="C81" s="38"/>
      <c r="D81" s="31"/>
      <c r="E81" s="19"/>
      <c r="F81" s="19"/>
      <c r="G81" s="37" t="s">
        <v>112</v>
      </c>
      <c r="H81" s="37"/>
      <c r="I81" s="19"/>
      <c r="J81" s="25"/>
      <c r="L81" s="21"/>
      <c r="M81" s="22"/>
      <c r="N81" s="23"/>
    </row>
    <row r="82" spans="1:22" ht="15.75" hidden="1" customHeight="1">
      <c r="A82" s="31">
        <v>12</v>
      </c>
      <c r="B82" s="52" t="s">
        <v>113</v>
      </c>
      <c r="C82" s="17" t="s">
        <v>76</v>
      </c>
      <c r="D82" s="15"/>
      <c r="E82" s="19"/>
      <c r="F82" s="13">
        <v>0.3</v>
      </c>
      <c r="G82" s="13">
        <v>2759.44</v>
      </c>
      <c r="H82" s="100">
        <f t="shared" ref="H82" si="11">SUM(F82*G82/1000)</f>
        <v>0.82783200000000001</v>
      </c>
      <c r="I82" s="13">
        <v>0</v>
      </c>
      <c r="J82" s="25"/>
      <c r="L82" s="21"/>
      <c r="M82" s="22"/>
      <c r="N82" s="23"/>
    </row>
    <row r="83" spans="1:22" ht="15.75" customHeight="1">
      <c r="A83" s="132"/>
      <c r="B83" s="135" t="s">
        <v>162</v>
      </c>
      <c r="C83" s="38"/>
      <c r="D83" s="119"/>
      <c r="E83" s="18"/>
      <c r="F83" s="68"/>
      <c r="G83" s="37"/>
      <c r="H83" s="133"/>
      <c r="I83" s="134"/>
      <c r="J83" s="25"/>
      <c r="L83" s="21"/>
      <c r="M83" s="22"/>
      <c r="N83" s="23"/>
    </row>
    <row r="84" spans="1:22" ht="31.5" customHeight="1">
      <c r="A84" s="132">
        <v>18</v>
      </c>
      <c r="B84" s="119" t="s">
        <v>163</v>
      </c>
      <c r="C84" s="41" t="s">
        <v>164</v>
      </c>
      <c r="D84" s="119"/>
      <c r="E84" s="18">
        <v>2581.1999999999998</v>
      </c>
      <c r="F84" s="37">
        <f>E84*12</f>
        <v>30974.399999999998</v>
      </c>
      <c r="G84" s="37">
        <v>2.6</v>
      </c>
      <c r="H84" s="133"/>
      <c r="I84" s="134">
        <f>G84*F84/12</f>
        <v>6711.12</v>
      </c>
      <c r="J84" s="25"/>
      <c r="L84" s="21"/>
      <c r="M84" s="22"/>
      <c r="N84" s="23"/>
    </row>
    <row r="85" spans="1:22" ht="15.75" customHeight="1">
      <c r="A85" s="210" t="s">
        <v>128</v>
      </c>
      <c r="B85" s="211"/>
      <c r="C85" s="211"/>
      <c r="D85" s="211"/>
      <c r="E85" s="211"/>
      <c r="F85" s="211"/>
      <c r="G85" s="211"/>
      <c r="H85" s="211"/>
      <c r="I85" s="212"/>
      <c r="J85" s="25"/>
      <c r="L85" s="21"/>
      <c r="M85" s="22"/>
      <c r="N85" s="23"/>
    </row>
    <row r="86" spans="1:22" ht="15.75" customHeight="1">
      <c r="A86" s="31">
        <v>19</v>
      </c>
      <c r="B86" s="119" t="s">
        <v>114</v>
      </c>
      <c r="C86" s="38" t="s">
        <v>55</v>
      </c>
      <c r="D86" s="160"/>
      <c r="E86" s="37">
        <v>2581.1999999999998</v>
      </c>
      <c r="F86" s="37">
        <f>SUM(E86*12)</f>
        <v>30974.399999999998</v>
      </c>
      <c r="G86" s="37">
        <v>3.5</v>
      </c>
      <c r="H86" s="155">
        <f>SUM(F86*G86/1000)</f>
        <v>108.4104</v>
      </c>
      <c r="I86" s="13">
        <f>F86/12*G86</f>
        <v>9034.1999999999989</v>
      </c>
      <c r="J86" s="25"/>
      <c r="L86" s="21"/>
    </row>
    <row r="87" spans="1:22" ht="31.5" customHeight="1">
      <c r="A87" s="31">
        <v>20</v>
      </c>
      <c r="B87" s="157" t="s">
        <v>172</v>
      </c>
      <c r="C87" s="150" t="s">
        <v>55</v>
      </c>
      <c r="D87" s="158"/>
      <c r="E87" s="159">
        <f>E86</f>
        <v>2581.1999999999998</v>
      </c>
      <c r="F87" s="152">
        <f>E87*12</f>
        <v>30974.399999999998</v>
      </c>
      <c r="G87" s="152">
        <v>3.2</v>
      </c>
      <c r="H87" s="100">
        <f>F87*G87/1000</f>
        <v>99.118080000000006</v>
      </c>
      <c r="I87" s="13">
        <f>F87/12*G87</f>
        <v>8259.84</v>
      </c>
    </row>
    <row r="88" spans="1:22" ht="15.75" customHeight="1">
      <c r="A88" s="53"/>
      <c r="B88" s="39" t="s">
        <v>78</v>
      </c>
      <c r="C88" s="41"/>
      <c r="D88" s="16"/>
      <c r="E88" s="16"/>
      <c r="F88" s="16"/>
      <c r="G88" s="19"/>
      <c r="H88" s="19"/>
      <c r="I88" s="33">
        <f>I87+I86+I84+I80+I62+I59+I58+I57+I50+I43+I40+I38+I37+I36+I27+I21+I20+I18+I17+I16</f>
        <v>45285.41269616667</v>
      </c>
    </row>
    <row r="89" spans="1:22" ht="15.75" customHeight="1">
      <c r="A89" s="213" t="s">
        <v>60</v>
      </c>
      <c r="B89" s="214"/>
      <c r="C89" s="214"/>
      <c r="D89" s="214"/>
      <c r="E89" s="214"/>
      <c r="F89" s="214"/>
      <c r="G89" s="214"/>
      <c r="H89" s="214"/>
      <c r="I89" s="215"/>
    </row>
    <row r="90" spans="1:22" ht="17.25" customHeight="1">
      <c r="A90" s="31">
        <v>21</v>
      </c>
      <c r="B90" s="117" t="s">
        <v>191</v>
      </c>
      <c r="C90" s="118" t="s">
        <v>82</v>
      </c>
      <c r="D90" s="66" t="s">
        <v>192</v>
      </c>
      <c r="E90" s="37"/>
      <c r="F90" s="37">
        <v>1</v>
      </c>
      <c r="G90" s="37">
        <v>97.3</v>
      </c>
      <c r="H90" s="100"/>
      <c r="I90" s="123">
        <v>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9"/>
    </row>
    <row r="91" spans="1:22" ht="14.25" customHeight="1">
      <c r="A91" s="31">
        <v>22</v>
      </c>
      <c r="B91" s="117" t="s">
        <v>193</v>
      </c>
      <c r="C91" s="118" t="s">
        <v>40</v>
      </c>
      <c r="D91" s="66" t="s">
        <v>156</v>
      </c>
      <c r="E91" s="37"/>
      <c r="F91" s="37">
        <v>0.01</v>
      </c>
      <c r="G91" s="37">
        <v>27139.18</v>
      </c>
      <c r="H91" s="100"/>
      <c r="I91" s="173">
        <v>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9"/>
    </row>
    <row r="92" spans="1:22" ht="15" hidden="1" customHeight="1">
      <c r="A92" s="31">
        <v>19</v>
      </c>
      <c r="B92" s="117"/>
      <c r="C92" s="118"/>
      <c r="D92" s="66"/>
      <c r="E92" s="37"/>
      <c r="F92" s="37"/>
      <c r="G92" s="37"/>
      <c r="H92" s="100"/>
      <c r="I92" s="17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9"/>
    </row>
    <row r="93" spans="1:22" ht="15.75" customHeight="1">
      <c r="A93" s="31"/>
      <c r="B93" s="46" t="s">
        <v>52</v>
      </c>
      <c r="C93" s="42"/>
      <c r="D93" s="54"/>
      <c r="E93" s="42">
        <v>1</v>
      </c>
      <c r="F93" s="42"/>
      <c r="G93" s="42"/>
      <c r="H93" s="42"/>
      <c r="I93" s="33">
        <f>SUM(I90:I91)</f>
        <v>0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2" ht="15.75" customHeight="1">
      <c r="A94" s="31"/>
      <c r="B94" s="52" t="s">
        <v>77</v>
      </c>
      <c r="C94" s="16"/>
      <c r="D94" s="16"/>
      <c r="E94" s="43"/>
      <c r="F94" s="43"/>
      <c r="G94" s="44"/>
      <c r="H94" s="44"/>
      <c r="I94" s="18">
        <v>0</v>
      </c>
    </row>
    <row r="95" spans="1:22" ht="15.75" customHeight="1">
      <c r="A95" s="55"/>
      <c r="B95" s="47" t="s">
        <v>131</v>
      </c>
      <c r="C95" s="36"/>
      <c r="D95" s="36"/>
      <c r="E95" s="36"/>
      <c r="F95" s="36"/>
      <c r="G95" s="36"/>
      <c r="H95" s="36"/>
      <c r="I95" s="45">
        <f>I93+I88</f>
        <v>45285.41269616667</v>
      </c>
    </row>
    <row r="96" spans="1:22" ht="15.75" customHeight="1">
      <c r="A96" s="209" t="s">
        <v>195</v>
      </c>
      <c r="B96" s="209"/>
      <c r="C96" s="209"/>
      <c r="D96" s="209"/>
      <c r="E96" s="209"/>
      <c r="F96" s="209"/>
      <c r="G96" s="209"/>
      <c r="H96" s="209"/>
      <c r="I96" s="209"/>
    </row>
    <row r="97" spans="1:9" ht="15.75" customHeight="1">
      <c r="A97" s="62"/>
      <c r="B97" s="190" t="s">
        <v>196</v>
      </c>
      <c r="C97" s="190"/>
      <c r="D97" s="190"/>
      <c r="E97" s="190"/>
      <c r="F97" s="190"/>
      <c r="G97" s="190"/>
      <c r="H97" s="89"/>
      <c r="I97" s="3"/>
    </row>
    <row r="98" spans="1:9" ht="15.75" customHeight="1">
      <c r="A98" s="56"/>
      <c r="B98" s="191" t="s">
        <v>6</v>
      </c>
      <c r="C98" s="191"/>
      <c r="D98" s="191"/>
      <c r="E98" s="191"/>
      <c r="F98" s="191"/>
      <c r="G98" s="191"/>
      <c r="H98" s="26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92" t="s">
        <v>7</v>
      </c>
      <c r="B100" s="192"/>
      <c r="C100" s="192"/>
      <c r="D100" s="192"/>
      <c r="E100" s="192"/>
      <c r="F100" s="192"/>
      <c r="G100" s="192"/>
      <c r="H100" s="192"/>
      <c r="I100" s="192"/>
    </row>
    <row r="101" spans="1:9" ht="15.75" customHeight="1">
      <c r="A101" s="192" t="s">
        <v>8</v>
      </c>
      <c r="B101" s="192"/>
      <c r="C101" s="192"/>
      <c r="D101" s="192"/>
      <c r="E101" s="192"/>
      <c r="F101" s="192"/>
      <c r="G101" s="192"/>
      <c r="H101" s="192"/>
      <c r="I101" s="192"/>
    </row>
    <row r="102" spans="1:9" ht="15.75" customHeight="1">
      <c r="A102" s="195" t="s">
        <v>61</v>
      </c>
      <c r="B102" s="195"/>
      <c r="C102" s="195"/>
      <c r="D102" s="195"/>
      <c r="E102" s="195"/>
      <c r="F102" s="195"/>
      <c r="G102" s="195"/>
      <c r="H102" s="195"/>
      <c r="I102" s="195"/>
    </row>
    <row r="103" spans="1:9" ht="15.75" customHeight="1">
      <c r="A103" s="11"/>
    </row>
    <row r="104" spans="1:9" ht="15.75" customHeight="1">
      <c r="A104" s="196" t="s">
        <v>9</v>
      </c>
      <c r="B104" s="196"/>
      <c r="C104" s="196"/>
      <c r="D104" s="196"/>
      <c r="E104" s="196"/>
      <c r="F104" s="196"/>
      <c r="G104" s="196"/>
      <c r="H104" s="196"/>
      <c r="I104" s="196"/>
    </row>
    <row r="105" spans="1:9" ht="15.75" customHeight="1">
      <c r="A105" s="4"/>
    </row>
    <row r="106" spans="1:9" ht="15.75" customHeight="1">
      <c r="B106" s="57" t="s">
        <v>10</v>
      </c>
      <c r="C106" s="197" t="s">
        <v>182</v>
      </c>
      <c r="D106" s="197"/>
      <c r="E106" s="197"/>
      <c r="F106" s="87"/>
      <c r="I106" s="59"/>
    </row>
    <row r="107" spans="1:9" ht="15.75" customHeight="1">
      <c r="A107" s="56"/>
      <c r="C107" s="191" t="s">
        <v>11</v>
      </c>
      <c r="D107" s="191"/>
      <c r="E107" s="191"/>
      <c r="F107" s="26"/>
      <c r="I107" s="58" t="s">
        <v>12</v>
      </c>
    </row>
    <row r="108" spans="1:9" ht="15.75" customHeight="1">
      <c r="A108" s="27"/>
      <c r="C108" s="12"/>
      <c r="D108" s="12"/>
      <c r="G108" s="12"/>
      <c r="H108" s="12"/>
    </row>
    <row r="109" spans="1:9" ht="15.75" customHeight="1">
      <c r="B109" s="57" t="s">
        <v>13</v>
      </c>
      <c r="C109" s="198"/>
      <c r="D109" s="198"/>
      <c r="E109" s="198"/>
      <c r="F109" s="88"/>
      <c r="I109" s="59"/>
    </row>
    <row r="110" spans="1:9" ht="15.75" customHeight="1">
      <c r="A110" s="56"/>
      <c r="C110" s="194" t="s">
        <v>11</v>
      </c>
      <c r="D110" s="194"/>
      <c r="E110" s="194"/>
      <c r="F110" s="70"/>
      <c r="I110" s="58" t="s">
        <v>12</v>
      </c>
    </row>
    <row r="111" spans="1:9" ht="15.75" customHeight="1">
      <c r="A111" s="4" t="s">
        <v>14</v>
      </c>
    </row>
    <row r="112" spans="1:9">
      <c r="A112" s="193" t="s">
        <v>15</v>
      </c>
      <c r="B112" s="193"/>
      <c r="C112" s="193"/>
      <c r="D112" s="193"/>
      <c r="E112" s="193"/>
      <c r="F112" s="193"/>
      <c r="G112" s="193"/>
      <c r="H112" s="193"/>
      <c r="I112" s="193"/>
    </row>
    <row r="113" spans="1:9" ht="45" customHeight="1">
      <c r="A113" s="189" t="s">
        <v>16</v>
      </c>
      <c r="B113" s="189"/>
      <c r="C113" s="189"/>
      <c r="D113" s="189"/>
      <c r="E113" s="189"/>
      <c r="F113" s="189"/>
      <c r="G113" s="189"/>
      <c r="H113" s="189"/>
      <c r="I113" s="189"/>
    </row>
    <row r="114" spans="1:9" ht="30" customHeight="1">
      <c r="A114" s="189" t="s">
        <v>17</v>
      </c>
      <c r="B114" s="189"/>
      <c r="C114" s="189"/>
      <c r="D114" s="189"/>
      <c r="E114" s="189"/>
      <c r="F114" s="189"/>
      <c r="G114" s="189"/>
      <c r="H114" s="189"/>
      <c r="I114" s="189"/>
    </row>
    <row r="115" spans="1:9" ht="30" customHeight="1">
      <c r="A115" s="189" t="s">
        <v>21</v>
      </c>
      <c r="B115" s="189"/>
      <c r="C115" s="189"/>
      <c r="D115" s="189"/>
      <c r="E115" s="189"/>
      <c r="F115" s="189"/>
      <c r="G115" s="189"/>
      <c r="H115" s="189"/>
      <c r="I115" s="189"/>
    </row>
    <row r="116" spans="1:9" ht="15" customHeight="1">
      <c r="A116" s="189" t="s">
        <v>20</v>
      </c>
      <c r="B116" s="189"/>
      <c r="C116" s="189"/>
      <c r="D116" s="189"/>
      <c r="E116" s="189"/>
      <c r="F116" s="189"/>
      <c r="G116" s="189"/>
      <c r="H116" s="189"/>
      <c r="I116" s="189"/>
    </row>
  </sheetData>
  <autoFilter ref="I12:I88"/>
  <mergeCells count="28">
    <mergeCell ref="A14:I14"/>
    <mergeCell ref="A15:I15"/>
    <mergeCell ref="A28:I28"/>
    <mergeCell ref="A44:I44"/>
    <mergeCell ref="A96:I96"/>
    <mergeCell ref="A55:I55"/>
    <mergeCell ref="A85:I85"/>
    <mergeCell ref="A89:I89"/>
    <mergeCell ref="A3:I3"/>
    <mergeCell ref="A4:I4"/>
    <mergeCell ref="A8:I8"/>
    <mergeCell ref="A10:I10"/>
    <mergeCell ref="A5:I5"/>
    <mergeCell ref="A113:I113"/>
    <mergeCell ref="A114:I114"/>
    <mergeCell ref="A115:I115"/>
    <mergeCell ref="A116:I116"/>
    <mergeCell ref="B97:G97"/>
    <mergeCell ref="B98:G98"/>
    <mergeCell ref="A100:I100"/>
    <mergeCell ref="A101:I101"/>
    <mergeCell ref="A112:I112"/>
    <mergeCell ref="C110:E110"/>
    <mergeCell ref="A102:I102"/>
    <mergeCell ref="A104:I104"/>
    <mergeCell ref="C106:E106"/>
    <mergeCell ref="C107:E107"/>
    <mergeCell ref="C109:E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12"/>
  <sheetViews>
    <sheetView topLeftCell="A15" workbookViewId="0">
      <selection activeCell="B58" sqref="B58:I5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132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197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44255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156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F18/18*1*G18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1" t="s">
        <v>94</v>
      </c>
      <c r="C30" s="92" t="s">
        <v>95</v>
      </c>
      <c r="D30" s="91" t="s">
        <v>96</v>
      </c>
      <c r="E30" s="94">
        <v>1167.4000000000001</v>
      </c>
      <c r="F30" s="94">
        <f>SUM(E30*52/1000)</f>
        <v>60.704800000000006</v>
      </c>
      <c r="G30" s="94">
        <v>155.88999999999999</v>
      </c>
      <c r="H30" s="95">
        <f t="shared" ref="H30:H32" si="2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1" t="s">
        <v>129</v>
      </c>
      <c r="C31" s="92" t="s">
        <v>95</v>
      </c>
      <c r="D31" s="91" t="s">
        <v>97</v>
      </c>
      <c r="E31" s="94">
        <v>540.04999999999995</v>
      </c>
      <c r="F31" s="94">
        <f>SUM(E31*78/1000)</f>
        <v>42.123899999999992</v>
      </c>
      <c r="G31" s="94">
        <v>258.63</v>
      </c>
      <c r="H31" s="95">
        <f t="shared" si="2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si="2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1" t="s">
        <v>98</v>
      </c>
      <c r="C33" s="92" t="s">
        <v>30</v>
      </c>
      <c r="D33" s="91" t="s">
        <v>63</v>
      </c>
      <c r="E33" s="97">
        <v>0.33333333333333331</v>
      </c>
      <c r="F33" s="94">
        <f>155/3</f>
        <v>51.666666666666664</v>
      </c>
      <c r="G33" s="94">
        <v>56.69</v>
      </c>
      <c r="H33" s="95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1" t="s">
        <v>64</v>
      </c>
      <c r="C34" s="92" t="s">
        <v>32</v>
      </c>
      <c r="D34" s="91" t="s">
        <v>65</v>
      </c>
      <c r="E34" s="93"/>
      <c r="F34" s="94">
        <v>3</v>
      </c>
      <c r="G34" s="94">
        <v>191.32</v>
      </c>
      <c r="H34" s="95">
        <f t="shared" ref="H34" si="3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customHeight="1">
      <c r="A36" s="41">
        <v>7</v>
      </c>
      <c r="B36" s="91" t="s">
        <v>26</v>
      </c>
      <c r="C36" s="92" t="s">
        <v>31</v>
      </c>
      <c r="D36" s="91" t="s">
        <v>198</v>
      </c>
      <c r="E36" s="93"/>
      <c r="F36" s="94">
        <v>6</v>
      </c>
      <c r="G36" s="170">
        <v>1930</v>
      </c>
      <c r="H36" s="95">
        <f t="shared" ref="H36:H41" si="4">SUM(F36*G36/1000)</f>
        <v>11.58</v>
      </c>
      <c r="I36" s="13">
        <f>G36*1</f>
        <v>1930</v>
      </c>
      <c r="J36" s="24"/>
      <c r="K36" s="8"/>
      <c r="L36" s="8"/>
      <c r="M36" s="8"/>
    </row>
    <row r="37" spans="1:13" ht="15.75" customHeight="1">
      <c r="A37" s="35">
        <v>8</v>
      </c>
      <c r="B37" s="146" t="s">
        <v>66</v>
      </c>
      <c r="C37" s="147" t="s">
        <v>29</v>
      </c>
      <c r="D37" s="146" t="s">
        <v>158</v>
      </c>
      <c r="E37" s="148">
        <v>26.33</v>
      </c>
      <c r="F37" s="148">
        <f>SUM(E37*30/1000)</f>
        <v>0.78989999999999994</v>
      </c>
      <c r="G37" s="148">
        <v>3134.93</v>
      </c>
      <c r="H37" s="95">
        <f t="shared" si="4"/>
        <v>2.4762812069999995</v>
      </c>
      <c r="I37" s="13">
        <f t="shared" ref="I37:I39" si="5">F37/6*G37</f>
        <v>412.71353449999992</v>
      </c>
      <c r="J37" s="24"/>
      <c r="K37" s="8"/>
      <c r="L37" s="8"/>
      <c r="M37" s="8"/>
    </row>
    <row r="38" spans="1:13" ht="15.75" customHeight="1">
      <c r="A38" s="35">
        <v>9</v>
      </c>
      <c r="B38" s="34" t="s">
        <v>165</v>
      </c>
      <c r="C38" s="40" t="s">
        <v>29</v>
      </c>
      <c r="D38" s="34" t="s">
        <v>159</v>
      </c>
      <c r="E38" s="121">
        <v>26.33</v>
      </c>
      <c r="F38" s="148">
        <f>SUM(E38*155/1000)</f>
        <v>4.0811500000000001</v>
      </c>
      <c r="G38" s="121">
        <v>522.92999999999995</v>
      </c>
      <c r="H38" s="95">
        <f t="shared" si="4"/>
        <v>2.1341557694999995</v>
      </c>
      <c r="I38" s="13">
        <f t="shared" si="5"/>
        <v>355.69262824999993</v>
      </c>
      <c r="J38" s="24"/>
      <c r="K38" s="8"/>
      <c r="L38" s="8"/>
      <c r="M38" s="8"/>
    </row>
    <row r="39" spans="1:13" ht="47.25" hidden="1" customHeight="1">
      <c r="A39" s="35">
        <v>10</v>
      </c>
      <c r="B39" s="34" t="s">
        <v>166</v>
      </c>
      <c r="C39" s="40" t="s">
        <v>167</v>
      </c>
      <c r="D39" s="34"/>
      <c r="E39" s="121"/>
      <c r="F39" s="148">
        <v>39</v>
      </c>
      <c r="G39" s="121">
        <v>330</v>
      </c>
      <c r="H39" s="95">
        <f t="shared" si="4"/>
        <v>12.87</v>
      </c>
      <c r="I39" s="13">
        <f t="shared" si="5"/>
        <v>2145</v>
      </c>
      <c r="J39" s="24"/>
      <c r="K39" s="8"/>
      <c r="L39" s="8"/>
      <c r="M39" s="8"/>
    </row>
    <row r="40" spans="1:13" ht="15.75" customHeight="1">
      <c r="A40" s="35">
        <v>10</v>
      </c>
      <c r="B40" s="34" t="s">
        <v>168</v>
      </c>
      <c r="C40" s="40" t="s">
        <v>95</v>
      </c>
      <c r="D40" s="34" t="s">
        <v>174</v>
      </c>
      <c r="E40" s="121">
        <v>26.33</v>
      </c>
      <c r="F40" s="148">
        <f>SUM(E40*35/1000)</f>
        <v>0.92154999999999998</v>
      </c>
      <c r="G40" s="121">
        <v>8652.07</v>
      </c>
      <c r="H40" s="95">
        <f t="shared" si="4"/>
        <v>7.9733151084999996</v>
      </c>
      <c r="I40" s="13">
        <f>G40*F40/6</f>
        <v>1328.8858514166666</v>
      </c>
      <c r="J40" s="24"/>
      <c r="K40" s="8"/>
      <c r="L40" s="8"/>
      <c r="M40" s="8"/>
    </row>
    <row r="41" spans="1:13" ht="15.75" hidden="1" customHeight="1">
      <c r="A41" s="35">
        <v>12</v>
      </c>
      <c r="B41" s="34" t="s">
        <v>100</v>
      </c>
      <c r="C41" s="40" t="s">
        <v>95</v>
      </c>
      <c r="D41" s="34" t="s">
        <v>156</v>
      </c>
      <c r="E41" s="121">
        <v>90.4</v>
      </c>
      <c r="F41" s="148">
        <f>SUM(E41*15/1000)</f>
        <v>1.3560000000000001</v>
      </c>
      <c r="G41" s="121">
        <v>639.1</v>
      </c>
      <c r="H41" s="95">
        <f t="shared" si="4"/>
        <v>0.86661960000000016</v>
      </c>
      <c r="I41" s="13">
        <f>G41*F41/15*1</f>
        <v>57.774640000000005</v>
      </c>
      <c r="J41" s="24"/>
      <c r="K41" s="8"/>
      <c r="L41" s="8"/>
      <c r="M41" s="8"/>
    </row>
    <row r="42" spans="1:13" ht="15.75" hidden="1" customHeight="1">
      <c r="A42" s="144"/>
      <c r="B42" s="146" t="s">
        <v>70</v>
      </c>
      <c r="C42" s="147" t="s">
        <v>32</v>
      </c>
      <c r="D42" s="146"/>
      <c r="E42" s="129"/>
      <c r="F42" s="148">
        <v>0.6</v>
      </c>
      <c r="G42" s="148">
        <v>900</v>
      </c>
      <c r="H42" s="84"/>
      <c r="I42" s="169">
        <f>G42*F42/15*1</f>
        <v>36</v>
      </c>
      <c r="J42" s="24"/>
      <c r="K42" s="8"/>
      <c r="L42" s="8"/>
      <c r="M42" s="8"/>
    </row>
    <row r="43" spans="1:13" ht="29.25" customHeight="1">
      <c r="A43" s="144">
        <v>11</v>
      </c>
      <c r="B43" s="34" t="s">
        <v>170</v>
      </c>
      <c r="C43" s="40" t="s">
        <v>29</v>
      </c>
      <c r="D43" s="34" t="s">
        <v>183</v>
      </c>
      <c r="E43" s="120">
        <v>1.2</v>
      </c>
      <c r="F43" s="121">
        <f>E43*12/1000</f>
        <v>1.4399999999999998E-2</v>
      </c>
      <c r="G43" s="121">
        <v>20547.34</v>
      </c>
      <c r="H43" s="84"/>
      <c r="I43" s="169">
        <f>G43*F43/6</f>
        <v>49.313615999999996</v>
      </c>
      <c r="J43" s="24"/>
      <c r="K43" s="8"/>
      <c r="L43" s="8"/>
      <c r="M43" s="8"/>
    </row>
    <row r="44" spans="1:13" ht="15.75" customHeight="1">
      <c r="A44" s="206" t="s">
        <v>126</v>
      </c>
      <c r="B44" s="207"/>
      <c r="C44" s="207"/>
      <c r="D44" s="207"/>
      <c r="E44" s="207"/>
      <c r="F44" s="207"/>
      <c r="G44" s="207"/>
      <c r="H44" s="207"/>
      <c r="I44" s="208"/>
      <c r="J44" s="24"/>
      <c r="K44" s="8"/>
      <c r="L44" s="8"/>
      <c r="M44" s="8"/>
    </row>
    <row r="45" spans="1:13" ht="15.75" hidden="1" customHeight="1">
      <c r="A45" s="41">
        <v>15</v>
      </c>
      <c r="B45" s="91" t="s">
        <v>101</v>
      </c>
      <c r="C45" s="92" t="s">
        <v>95</v>
      </c>
      <c r="D45" s="91" t="s">
        <v>42</v>
      </c>
      <c r="E45" s="93">
        <v>965.8</v>
      </c>
      <c r="F45" s="94">
        <f>SUM(E45*2/1000)</f>
        <v>1.9316</v>
      </c>
      <c r="G45" s="13">
        <v>849.49</v>
      </c>
      <c r="H45" s="95">
        <f t="shared" ref="H45:H54" si="6">SUM(F45*G45/1000)</f>
        <v>1.640874884</v>
      </c>
      <c r="I45" s="13">
        <v>0</v>
      </c>
      <c r="J45" s="24"/>
      <c r="K45" s="8"/>
    </row>
    <row r="46" spans="1:13" ht="15.75" hidden="1" customHeight="1">
      <c r="A46" s="41">
        <v>16</v>
      </c>
      <c r="B46" s="91" t="s">
        <v>35</v>
      </c>
      <c r="C46" s="92" t="s">
        <v>95</v>
      </c>
      <c r="D46" s="91" t="s">
        <v>42</v>
      </c>
      <c r="E46" s="93">
        <v>36</v>
      </c>
      <c r="F46" s="94">
        <f>SUM(E46*2/1000)</f>
        <v>7.1999999999999995E-2</v>
      </c>
      <c r="G46" s="13">
        <v>579.48</v>
      </c>
      <c r="H46" s="95">
        <f t="shared" si="6"/>
        <v>4.1722559999999999E-2</v>
      </c>
      <c r="I46" s="13">
        <v>0</v>
      </c>
      <c r="J46" s="25"/>
    </row>
    <row r="47" spans="1:13" ht="15.75" hidden="1" customHeight="1">
      <c r="A47" s="41">
        <v>17</v>
      </c>
      <c r="B47" s="91" t="s">
        <v>36</v>
      </c>
      <c r="C47" s="92" t="s">
        <v>95</v>
      </c>
      <c r="D47" s="91" t="s">
        <v>42</v>
      </c>
      <c r="E47" s="93">
        <v>1197.7</v>
      </c>
      <c r="F47" s="94">
        <f>SUM(E47*2/1000)</f>
        <v>2.3954</v>
      </c>
      <c r="G47" s="13">
        <v>579.48</v>
      </c>
      <c r="H47" s="95">
        <f t="shared" si="6"/>
        <v>1.3880863919999999</v>
      </c>
      <c r="I47" s="13">
        <v>0</v>
      </c>
      <c r="J47" s="25"/>
    </row>
    <row r="48" spans="1:13" ht="15.75" hidden="1" customHeight="1">
      <c r="A48" s="41"/>
      <c r="B48" s="91" t="s">
        <v>37</v>
      </c>
      <c r="C48" s="92" t="s">
        <v>95</v>
      </c>
      <c r="D48" s="91" t="s">
        <v>42</v>
      </c>
      <c r="E48" s="93">
        <v>2275.92</v>
      </c>
      <c r="F48" s="94">
        <f>SUM(E48*2/1000)</f>
        <v>4.5518400000000003</v>
      </c>
      <c r="G48" s="13">
        <v>606.77</v>
      </c>
      <c r="H48" s="95">
        <f t="shared" si="6"/>
        <v>2.7619199567999999</v>
      </c>
      <c r="I48" s="13">
        <v>0</v>
      </c>
      <c r="J48" s="25"/>
    </row>
    <row r="49" spans="1:14" ht="15.75" hidden="1" customHeight="1">
      <c r="A49" s="41">
        <v>18</v>
      </c>
      <c r="B49" s="91" t="s">
        <v>33</v>
      </c>
      <c r="C49" s="92" t="s">
        <v>34</v>
      </c>
      <c r="D49" s="91" t="s">
        <v>42</v>
      </c>
      <c r="E49" s="93">
        <v>81.709999999999994</v>
      </c>
      <c r="F49" s="94">
        <f>SUM(E49*2/100)</f>
        <v>1.6341999999999999</v>
      </c>
      <c r="G49" s="13">
        <v>68.56</v>
      </c>
      <c r="H49" s="95">
        <f t="shared" si="6"/>
        <v>0.11204075199999999</v>
      </c>
      <c r="I49" s="13">
        <v>0</v>
      </c>
      <c r="J49" s="25"/>
    </row>
    <row r="50" spans="1:14" ht="15.75" customHeight="1">
      <c r="A50" s="41">
        <v>12</v>
      </c>
      <c r="B50" s="91" t="s">
        <v>56</v>
      </c>
      <c r="C50" s="92" t="s">
        <v>95</v>
      </c>
      <c r="D50" s="91" t="s">
        <v>156</v>
      </c>
      <c r="E50" s="93">
        <v>1711.8</v>
      </c>
      <c r="F50" s="94">
        <f>SUM(E50*5/1000)</f>
        <v>8.5589999999999993</v>
      </c>
      <c r="G50" s="131">
        <v>1809.27</v>
      </c>
      <c r="H50" s="95">
        <f t="shared" ref="H50" si="7">SUM(F50*G50/1000)</f>
        <v>15.48554193</v>
      </c>
      <c r="I50" s="13">
        <f>F50/5*G50</f>
        <v>3097.1083859999994</v>
      </c>
      <c r="J50" s="25"/>
    </row>
    <row r="51" spans="1:14" ht="31.5" hidden="1" customHeight="1">
      <c r="A51" s="41">
        <v>10</v>
      </c>
      <c r="B51" s="91" t="s">
        <v>102</v>
      </c>
      <c r="C51" s="92" t="s">
        <v>95</v>
      </c>
      <c r="D51" s="91" t="s">
        <v>42</v>
      </c>
      <c r="E51" s="93">
        <v>1711.8</v>
      </c>
      <c r="F51" s="94">
        <f>SUM(E51*2/1000)</f>
        <v>3.4236</v>
      </c>
      <c r="G51" s="13">
        <v>1213.55</v>
      </c>
      <c r="H51" s="95">
        <f t="shared" si="6"/>
        <v>4.1547097800000001</v>
      </c>
      <c r="I51" s="13">
        <v>0</v>
      </c>
      <c r="J51" s="25"/>
    </row>
    <row r="52" spans="1:14" ht="31.5" hidden="1" customHeight="1">
      <c r="A52" s="41">
        <v>11</v>
      </c>
      <c r="B52" s="91" t="s">
        <v>103</v>
      </c>
      <c r="C52" s="92" t="s">
        <v>38</v>
      </c>
      <c r="D52" s="91" t="s">
        <v>42</v>
      </c>
      <c r="E52" s="93">
        <v>15</v>
      </c>
      <c r="F52" s="94">
        <f>SUM(E52*2/100)</f>
        <v>0.3</v>
      </c>
      <c r="G52" s="13">
        <v>2730.49</v>
      </c>
      <c r="H52" s="95">
        <f t="shared" si="6"/>
        <v>0.81914699999999996</v>
      </c>
      <c r="I52" s="13">
        <v>0</v>
      </c>
      <c r="J52" s="25"/>
    </row>
    <row r="53" spans="1:14" ht="15.75" hidden="1" customHeight="1">
      <c r="A53" s="41">
        <v>12</v>
      </c>
      <c r="B53" s="91" t="s">
        <v>39</v>
      </c>
      <c r="C53" s="92" t="s">
        <v>40</v>
      </c>
      <c r="D53" s="91" t="s">
        <v>42</v>
      </c>
      <c r="E53" s="93">
        <v>1</v>
      </c>
      <c r="F53" s="94">
        <v>0.02</v>
      </c>
      <c r="G53" s="13">
        <v>5322.15</v>
      </c>
      <c r="H53" s="95">
        <f t="shared" si="6"/>
        <v>0.106443</v>
      </c>
      <c r="I53" s="13">
        <v>0</v>
      </c>
      <c r="J53" s="25"/>
      <c r="L53" s="21"/>
      <c r="M53" s="22"/>
      <c r="N53" s="23"/>
    </row>
    <row r="54" spans="1:14" ht="15.75" customHeight="1">
      <c r="A54" s="41">
        <v>13</v>
      </c>
      <c r="B54" s="91" t="s">
        <v>41</v>
      </c>
      <c r="C54" s="92" t="s">
        <v>82</v>
      </c>
      <c r="D54" s="130">
        <v>44235</v>
      </c>
      <c r="E54" s="93">
        <v>90</v>
      </c>
      <c r="F54" s="94">
        <f>SUM(E54)*3</f>
        <v>270</v>
      </c>
      <c r="G54" s="161">
        <v>97.93</v>
      </c>
      <c r="H54" s="95">
        <f t="shared" si="6"/>
        <v>26.441100000000002</v>
      </c>
      <c r="I54" s="13">
        <f>E54*G54</f>
        <v>8813.7000000000007</v>
      </c>
      <c r="J54" s="25"/>
      <c r="L54" s="21"/>
      <c r="M54" s="22"/>
      <c r="N54" s="23"/>
    </row>
    <row r="55" spans="1:14" ht="15.75" customHeight="1">
      <c r="A55" s="206" t="s">
        <v>127</v>
      </c>
      <c r="B55" s="207"/>
      <c r="C55" s="207"/>
      <c r="D55" s="207"/>
      <c r="E55" s="207"/>
      <c r="F55" s="207"/>
      <c r="G55" s="207"/>
      <c r="H55" s="207"/>
      <c r="I55" s="208"/>
      <c r="J55" s="25"/>
      <c r="L55" s="21"/>
      <c r="M55" s="22"/>
      <c r="N55" s="23"/>
    </row>
    <row r="56" spans="1:14" ht="15.75" customHeight="1">
      <c r="A56" s="53"/>
      <c r="B56" s="48" t="s">
        <v>43</v>
      </c>
      <c r="C56" s="17"/>
      <c r="D56" s="16"/>
      <c r="E56" s="16"/>
      <c r="F56" s="16"/>
      <c r="G56" s="31"/>
      <c r="H56" s="31"/>
      <c r="I56" s="19"/>
      <c r="J56" s="25"/>
      <c r="L56" s="21"/>
      <c r="M56" s="22"/>
      <c r="N56" s="23"/>
    </row>
    <row r="57" spans="1:14" ht="31.5" hidden="1" customHeight="1">
      <c r="A57" s="41">
        <v>15</v>
      </c>
      <c r="B57" s="91" t="s">
        <v>104</v>
      </c>
      <c r="C57" s="92" t="s">
        <v>85</v>
      </c>
      <c r="D57" s="91" t="s">
        <v>105</v>
      </c>
      <c r="E57" s="93">
        <v>96.58</v>
      </c>
      <c r="F57" s="94">
        <f>SUM(E57*6/100)</f>
        <v>5.7948000000000004</v>
      </c>
      <c r="G57" s="13">
        <v>1547.28</v>
      </c>
      <c r="H57" s="95">
        <f>SUM(F57*G57/1000)</f>
        <v>8.9661781440000006</v>
      </c>
      <c r="I57" s="13">
        <f>F57/6*G57</f>
        <v>1494.3630240000002</v>
      </c>
      <c r="J57" s="25"/>
      <c r="L57" s="21"/>
      <c r="M57" s="22"/>
      <c r="N57" s="23"/>
    </row>
    <row r="58" spans="1:14" ht="31.5" customHeight="1">
      <c r="A58" s="41">
        <v>14</v>
      </c>
      <c r="B58" s="34" t="s">
        <v>190</v>
      </c>
      <c r="C58" s="40" t="s">
        <v>85</v>
      </c>
      <c r="D58" s="34"/>
      <c r="E58" s="120">
        <v>50.2</v>
      </c>
      <c r="F58" s="121">
        <f>E58*12/100</f>
        <v>6.0240000000000009</v>
      </c>
      <c r="G58" s="68">
        <v>2306.83</v>
      </c>
      <c r="H58" s="84"/>
      <c r="I58" s="13">
        <f>G58*F58/6</f>
        <v>2316.0573200000003</v>
      </c>
      <c r="J58" s="25"/>
      <c r="L58" s="21"/>
      <c r="M58" s="22"/>
      <c r="N58" s="23"/>
    </row>
    <row r="59" spans="1:14" ht="15.75" customHeight="1">
      <c r="A59" s="41"/>
      <c r="B59" s="67" t="s">
        <v>44</v>
      </c>
      <c r="C59" s="40"/>
      <c r="D59" s="34"/>
      <c r="E59" s="19"/>
      <c r="F59" s="85"/>
      <c r="G59" s="37"/>
      <c r="H59" s="68"/>
      <c r="I59" s="20"/>
      <c r="J59" s="25"/>
      <c r="L59" s="21"/>
      <c r="M59" s="22"/>
      <c r="N59" s="23"/>
    </row>
    <row r="60" spans="1:14" ht="15.75" hidden="1" customHeight="1">
      <c r="A60" s="41"/>
      <c r="B60" s="91" t="s">
        <v>45</v>
      </c>
      <c r="C60" s="92" t="s">
        <v>85</v>
      </c>
      <c r="D60" s="91" t="s">
        <v>54</v>
      </c>
      <c r="E60" s="93">
        <v>855.9</v>
      </c>
      <c r="F60" s="95">
        <v>8.6</v>
      </c>
      <c r="G60" s="13">
        <v>747.3</v>
      </c>
      <c r="H60" s="98">
        <v>6.4</v>
      </c>
      <c r="I60" s="13">
        <v>0</v>
      </c>
      <c r="J60" s="25"/>
      <c r="L60" s="21"/>
      <c r="M60" s="22"/>
      <c r="N60" s="23"/>
    </row>
    <row r="61" spans="1:14" ht="15.75" customHeight="1">
      <c r="A61" s="41">
        <v>15</v>
      </c>
      <c r="B61" s="34" t="s">
        <v>83</v>
      </c>
      <c r="C61" s="40" t="s">
        <v>25</v>
      </c>
      <c r="D61" s="34" t="s">
        <v>156</v>
      </c>
      <c r="E61" s="120">
        <v>130</v>
      </c>
      <c r="F61" s="121">
        <f>E61*12</f>
        <v>1560</v>
      </c>
      <c r="G61" s="68">
        <v>1.4</v>
      </c>
      <c r="H61" s="98">
        <f>F61*G61/1000</f>
        <v>2.1840000000000002</v>
      </c>
      <c r="I61" s="13">
        <f>F61/12*G61</f>
        <v>182</v>
      </c>
      <c r="J61" s="25"/>
      <c r="L61" s="21"/>
      <c r="M61" s="22"/>
      <c r="N61" s="23"/>
    </row>
    <row r="62" spans="1:14" ht="15.75" hidden="1" customHeight="1">
      <c r="A62" s="41"/>
      <c r="B62" s="67" t="s">
        <v>121</v>
      </c>
      <c r="C62" s="40"/>
      <c r="D62" s="34"/>
      <c r="E62" s="19"/>
      <c r="F62" s="85"/>
      <c r="G62" s="69"/>
      <c r="H62" s="68"/>
      <c r="I62" s="20"/>
      <c r="J62" s="25"/>
      <c r="L62" s="21"/>
      <c r="M62" s="22"/>
      <c r="N62" s="23"/>
    </row>
    <row r="63" spans="1:14" ht="15.75" hidden="1" customHeight="1">
      <c r="A63" s="41"/>
      <c r="B63" s="91" t="s">
        <v>122</v>
      </c>
      <c r="C63" s="92" t="s">
        <v>82</v>
      </c>
      <c r="D63" s="91" t="s">
        <v>65</v>
      </c>
      <c r="E63" s="93">
        <v>2</v>
      </c>
      <c r="F63" s="94">
        <f>SUM(E63)</f>
        <v>2</v>
      </c>
      <c r="G63" s="99">
        <v>237.75</v>
      </c>
      <c r="H63" s="95">
        <f t="shared" ref="H63" si="8">SUM(F63*G63/1000)</f>
        <v>0.47549999999999998</v>
      </c>
      <c r="I63" s="13">
        <v>0</v>
      </c>
      <c r="J63" s="25"/>
      <c r="L63" s="21"/>
      <c r="M63" s="22"/>
      <c r="N63" s="23"/>
    </row>
    <row r="64" spans="1:14" ht="15.75" customHeight="1">
      <c r="A64" s="41"/>
      <c r="B64" s="75" t="s">
        <v>46</v>
      </c>
      <c r="C64" s="17"/>
      <c r="D64" s="16"/>
      <c r="E64" s="16"/>
      <c r="F64" s="86"/>
      <c r="G64" s="65"/>
      <c r="H64" s="68"/>
      <c r="I64" s="19"/>
      <c r="J64" s="25"/>
      <c r="L64" s="21"/>
      <c r="M64" s="22"/>
      <c r="N64" s="23"/>
    </row>
    <row r="65" spans="1:14" ht="15.75" hidden="1" customHeight="1">
      <c r="A65" s="41">
        <v>16</v>
      </c>
      <c r="B65" s="15" t="s">
        <v>47</v>
      </c>
      <c r="C65" s="17" t="s">
        <v>82</v>
      </c>
      <c r="D65" s="91" t="s">
        <v>65</v>
      </c>
      <c r="E65" s="19">
        <v>10</v>
      </c>
      <c r="F65" s="94">
        <v>10</v>
      </c>
      <c r="G65" s="13">
        <v>222.4</v>
      </c>
      <c r="H65" s="100">
        <f t="shared" ref="H65:H72" si="9">SUM(F65*G65/1000)</f>
        <v>2.2240000000000002</v>
      </c>
      <c r="I65" s="13">
        <f>G65</f>
        <v>222.4</v>
      </c>
      <c r="J65" s="25"/>
      <c r="L65" s="21"/>
      <c r="M65" s="22"/>
      <c r="N65" s="23"/>
    </row>
    <row r="66" spans="1:14" ht="15.75" customHeight="1">
      <c r="A66" s="31">
        <v>16</v>
      </c>
      <c r="B66" s="15" t="s">
        <v>48</v>
      </c>
      <c r="C66" s="17" t="s">
        <v>82</v>
      </c>
      <c r="D66" s="91" t="s">
        <v>156</v>
      </c>
      <c r="E66" s="19">
        <v>5</v>
      </c>
      <c r="F66" s="94">
        <v>5</v>
      </c>
      <c r="G66" s="131">
        <v>113.69</v>
      </c>
      <c r="H66" s="100">
        <f t="shared" si="9"/>
        <v>0.56845000000000001</v>
      </c>
      <c r="I66" s="13">
        <f>G66*1</f>
        <v>113.69</v>
      </c>
      <c r="J66" s="25"/>
      <c r="L66" s="21"/>
      <c r="M66" s="22"/>
      <c r="N66" s="23"/>
    </row>
    <row r="67" spans="1:14" ht="15.75" hidden="1" customHeight="1">
      <c r="A67" s="31">
        <v>8</v>
      </c>
      <c r="B67" s="15" t="s">
        <v>49</v>
      </c>
      <c r="C67" s="17" t="s">
        <v>106</v>
      </c>
      <c r="D67" s="15" t="s">
        <v>54</v>
      </c>
      <c r="E67" s="93">
        <v>13018</v>
      </c>
      <c r="F67" s="13">
        <f>SUM(E67/100)</f>
        <v>130.18</v>
      </c>
      <c r="G67" s="13">
        <v>212.15</v>
      </c>
      <c r="H67" s="100">
        <f t="shared" si="9"/>
        <v>27.617687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9</v>
      </c>
      <c r="B68" s="15" t="s">
        <v>50</v>
      </c>
      <c r="C68" s="17" t="s">
        <v>107</v>
      </c>
      <c r="D68" s="15"/>
      <c r="E68" s="93">
        <v>13018</v>
      </c>
      <c r="F68" s="13">
        <f>SUM(E68/1000)</f>
        <v>13.018000000000001</v>
      </c>
      <c r="G68" s="13">
        <v>165.21</v>
      </c>
      <c r="H68" s="100">
        <f t="shared" si="9"/>
        <v>2.1507037800000002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10</v>
      </c>
      <c r="B69" s="15" t="s">
        <v>51</v>
      </c>
      <c r="C69" s="17" t="s">
        <v>76</v>
      </c>
      <c r="D69" s="15" t="s">
        <v>54</v>
      </c>
      <c r="E69" s="93">
        <v>1279</v>
      </c>
      <c r="F69" s="13">
        <f>SUM(E69/100)</f>
        <v>12.79</v>
      </c>
      <c r="G69" s="13">
        <v>2074.63</v>
      </c>
      <c r="H69" s="100">
        <f t="shared" si="9"/>
        <v>26.534517700000002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11</v>
      </c>
      <c r="B70" s="101" t="s">
        <v>108</v>
      </c>
      <c r="C70" s="17" t="s">
        <v>32</v>
      </c>
      <c r="D70" s="15"/>
      <c r="E70" s="93">
        <v>12</v>
      </c>
      <c r="F70" s="13">
        <f>SUM(E70)</f>
        <v>12</v>
      </c>
      <c r="G70" s="13">
        <v>45.32</v>
      </c>
      <c r="H70" s="100">
        <f t="shared" si="9"/>
        <v>0.54383999999999999</v>
      </c>
      <c r="I70" s="13">
        <v>0</v>
      </c>
      <c r="J70" s="25"/>
      <c r="L70" s="21"/>
      <c r="M70" s="22"/>
      <c r="N70" s="23"/>
    </row>
    <row r="71" spans="1:14" ht="15.75" hidden="1" customHeight="1">
      <c r="A71" s="31">
        <v>12</v>
      </c>
      <c r="B71" s="101" t="s">
        <v>109</v>
      </c>
      <c r="C71" s="17" t="s">
        <v>32</v>
      </c>
      <c r="D71" s="15"/>
      <c r="E71" s="93">
        <v>12</v>
      </c>
      <c r="F71" s="13">
        <f>SUM(E71)</f>
        <v>12</v>
      </c>
      <c r="G71" s="13">
        <v>42.28</v>
      </c>
      <c r="H71" s="100">
        <f t="shared" si="9"/>
        <v>0.50736000000000003</v>
      </c>
      <c r="I71" s="13">
        <v>0</v>
      </c>
      <c r="J71" s="25"/>
      <c r="L71" s="21"/>
      <c r="M71" s="22"/>
      <c r="N71" s="23"/>
    </row>
    <row r="72" spans="1:14" ht="15.75" hidden="1" customHeight="1">
      <c r="A72" s="31">
        <v>13</v>
      </c>
      <c r="B72" s="15" t="s">
        <v>57</v>
      </c>
      <c r="C72" s="17" t="s">
        <v>58</v>
      </c>
      <c r="D72" s="15" t="s">
        <v>54</v>
      </c>
      <c r="E72" s="19">
        <v>1</v>
      </c>
      <c r="F72" s="94">
        <f>SUM(E72)</f>
        <v>1</v>
      </c>
      <c r="G72" s="13">
        <v>49.88</v>
      </c>
      <c r="H72" s="100">
        <f t="shared" si="9"/>
        <v>4.9880000000000001E-2</v>
      </c>
      <c r="I72" s="13">
        <v>0</v>
      </c>
      <c r="J72" s="25"/>
      <c r="L72" s="21"/>
      <c r="M72" s="22"/>
      <c r="N72" s="23"/>
    </row>
    <row r="73" spans="1:14" ht="15.75" hidden="1" customHeight="1">
      <c r="A73" s="53"/>
      <c r="B73" s="75" t="s">
        <v>110</v>
      </c>
      <c r="C73" s="75"/>
      <c r="D73" s="75"/>
      <c r="E73" s="75"/>
      <c r="F73" s="75"/>
      <c r="G73" s="75"/>
      <c r="H73" s="75"/>
      <c r="I73" s="19"/>
      <c r="J73" s="25"/>
      <c r="L73" s="21"/>
      <c r="M73" s="22"/>
      <c r="N73" s="23"/>
    </row>
    <row r="74" spans="1:14" ht="15.75" hidden="1" customHeight="1">
      <c r="A74" s="31">
        <v>15</v>
      </c>
      <c r="B74" s="91" t="s">
        <v>111</v>
      </c>
      <c r="C74" s="17"/>
      <c r="D74" s="15"/>
      <c r="E74" s="85"/>
      <c r="F74" s="13">
        <v>1</v>
      </c>
      <c r="G74" s="13">
        <v>10041.700000000001</v>
      </c>
      <c r="H74" s="100">
        <f>G74*F74/1000</f>
        <v>10.041700000000001</v>
      </c>
      <c r="I74" s="13">
        <v>0</v>
      </c>
      <c r="J74" s="25"/>
      <c r="L74" s="21"/>
      <c r="M74" s="22"/>
      <c r="N74" s="23"/>
    </row>
    <row r="75" spans="1:14" ht="15.75" customHeight="1">
      <c r="A75" s="31"/>
      <c r="B75" s="49" t="s">
        <v>72</v>
      </c>
      <c r="C75" s="49"/>
      <c r="D75" s="49"/>
      <c r="E75" s="19"/>
      <c r="F75" s="19"/>
      <c r="G75" s="31"/>
      <c r="H75" s="31"/>
      <c r="I75" s="19"/>
      <c r="J75" s="25"/>
      <c r="L75" s="21"/>
      <c r="M75" s="22"/>
      <c r="N75" s="23"/>
    </row>
    <row r="76" spans="1:14" ht="15.75" hidden="1" customHeight="1">
      <c r="A76" s="31">
        <v>17</v>
      </c>
      <c r="B76" s="15" t="s">
        <v>73</v>
      </c>
      <c r="C76" s="17" t="s">
        <v>74</v>
      </c>
      <c r="D76" s="15" t="s">
        <v>65</v>
      </c>
      <c r="E76" s="19">
        <v>5</v>
      </c>
      <c r="F76" s="13">
        <v>0.5</v>
      </c>
      <c r="G76" s="13">
        <v>501.62</v>
      </c>
      <c r="H76" s="100">
        <f t="shared" ref="H76:H78" si="10">SUM(F76*G76/1000)</f>
        <v>0.25080999999999998</v>
      </c>
      <c r="I76" s="13">
        <f>G76*0.5</f>
        <v>250.81</v>
      </c>
      <c r="J76" s="25"/>
      <c r="L76" s="21"/>
      <c r="M76" s="22"/>
      <c r="N76" s="23"/>
    </row>
    <row r="77" spans="1:14" ht="15.75" hidden="1" customHeight="1">
      <c r="A77" s="31"/>
      <c r="B77" s="15" t="s">
        <v>123</v>
      </c>
      <c r="C77" s="17" t="s">
        <v>82</v>
      </c>
      <c r="D77" s="15"/>
      <c r="E77" s="19">
        <v>1</v>
      </c>
      <c r="F77" s="84">
        <f>E77</f>
        <v>1</v>
      </c>
      <c r="G77" s="13">
        <v>852.99</v>
      </c>
      <c r="H77" s="100">
        <f t="shared" si="10"/>
        <v>0.85299000000000003</v>
      </c>
      <c r="I77" s="13">
        <v>0</v>
      </c>
      <c r="J77" s="25"/>
      <c r="L77" s="21"/>
      <c r="M77" s="22"/>
      <c r="N77" s="23"/>
    </row>
    <row r="78" spans="1:14" ht="15.75" hidden="1" customHeight="1">
      <c r="A78" s="31"/>
      <c r="B78" s="15" t="s">
        <v>124</v>
      </c>
      <c r="C78" s="17" t="s">
        <v>82</v>
      </c>
      <c r="D78" s="15"/>
      <c r="E78" s="19">
        <v>1</v>
      </c>
      <c r="F78" s="94">
        <f>SUM(E78)</f>
        <v>1</v>
      </c>
      <c r="G78" s="13">
        <v>358.51</v>
      </c>
      <c r="H78" s="100">
        <f t="shared" si="10"/>
        <v>0.35851</v>
      </c>
      <c r="I78" s="13">
        <v>0</v>
      </c>
      <c r="J78" s="25"/>
      <c r="L78" s="21"/>
      <c r="M78" s="22"/>
      <c r="N78" s="23"/>
    </row>
    <row r="79" spans="1:14" ht="15.75" customHeight="1">
      <c r="A79" s="31">
        <v>17</v>
      </c>
      <c r="B79" s="119" t="s">
        <v>171</v>
      </c>
      <c r="C79" s="38" t="s">
        <v>82</v>
      </c>
      <c r="D79" s="119" t="s">
        <v>155</v>
      </c>
      <c r="E79" s="18">
        <v>2</v>
      </c>
      <c r="F79" s="68">
        <f>E79*12</f>
        <v>24</v>
      </c>
      <c r="G79" s="37">
        <v>420</v>
      </c>
      <c r="H79" s="100"/>
      <c r="I79" s="13">
        <f>G79*2</f>
        <v>840</v>
      </c>
      <c r="J79" s="25"/>
      <c r="L79" s="21"/>
      <c r="M79" s="22"/>
      <c r="N79" s="23"/>
    </row>
    <row r="80" spans="1:14" ht="15.75" hidden="1" customHeight="1">
      <c r="A80" s="31"/>
      <c r="B80" s="50" t="s">
        <v>75</v>
      </c>
      <c r="C80" s="38"/>
      <c r="D80" s="31"/>
      <c r="E80" s="19"/>
      <c r="F80" s="19"/>
      <c r="G80" s="37" t="s">
        <v>112</v>
      </c>
      <c r="H80" s="37"/>
      <c r="I80" s="19"/>
      <c r="J80" s="25"/>
      <c r="L80" s="21"/>
      <c r="M80" s="22"/>
      <c r="N80" s="23"/>
    </row>
    <row r="81" spans="1:21" ht="15.75" hidden="1" customHeight="1">
      <c r="A81" s="31">
        <v>12</v>
      </c>
      <c r="B81" s="52" t="s">
        <v>113</v>
      </c>
      <c r="C81" s="17" t="s">
        <v>76</v>
      </c>
      <c r="D81" s="15"/>
      <c r="E81" s="19"/>
      <c r="F81" s="13">
        <v>0.3</v>
      </c>
      <c r="G81" s="13">
        <v>2759.44</v>
      </c>
      <c r="H81" s="100">
        <f t="shared" ref="H81" si="11">SUM(F81*G81/1000)</f>
        <v>0.82783200000000001</v>
      </c>
      <c r="I81" s="13">
        <v>0</v>
      </c>
      <c r="J81" s="25"/>
      <c r="L81" s="21"/>
      <c r="M81" s="22"/>
      <c r="N81" s="23"/>
    </row>
    <row r="82" spans="1:21" ht="15.75" customHeight="1">
      <c r="A82" s="132"/>
      <c r="B82" s="135" t="s">
        <v>162</v>
      </c>
      <c r="C82" s="38"/>
      <c r="D82" s="119"/>
      <c r="E82" s="18"/>
      <c r="F82" s="68"/>
      <c r="G82" s="37"/>
      <c r="H82" s="133"/>
      <c r="I82" s="134"/>
      <c r="J82" s="25"/>
      <c r="L82" s="21"/>
      <c r="M82" s="22"/>
      <c r="N82" s="23"/>
    </row>
    <row r="83" spans="1:21" ht="34.5" customHeight="1">
      <c r="A83" s="132">
        <v>18</v>
      </c>
      <c r="B83" s="119" t="s">
        <v>163</v>
      </c>
      <c r="C83" s="41" t="s">
        <v>164</v>
      </c>
      <c r="D83" s="119"/>
      <c r="E83" s="18">
        <v>2581.1999999999998</v>
      </c>
      <c r="F83" s="37">
        <f>E83*12</f>
        <v>30974.399999999998</v>
      </c>
      <c r="G83" s="37">
        <v>2.6</v>
      </c>
      <c r="H83" s="133"/>
      <c r="I83" s="134">
        <f>G83*F83/12</f>
        <v>6711.12</v>
      </c>
      <c r="J83" s="25"/>
      <c r="L83" s="21"/>
      <c r="M83" s="22"/>
      <c r="N83" s="23"/>
    </row>
    <row r="84" spans="1:21" ht="15.75" customHeight="1">
      <c r="A84" s="210" t="s">
        <v>128</v>
      </c>
      <c r="B84" s="211"/>
      <c r="C84" s="211"/>
      <c r="D84" s="211"/>
      <c r="E84" s="211"/>
      <c r="F84" s="211"/>
      <c r="G84" s="211"/>
      <c r="H84" s="211"/>
      <c r="I84" s="212"/>
      <c r="J84" s="25"/>
      <c r="L84" s="21"/>
      <c r="M84" s="22"/>
      <c r="N84" s="23"/>
    </row>
    <row r="85" spans="1:21" ht="15.75" customHeight="1">
      <c r="A85" s="31">
        <v>19</v>
      </c>
      <c r="B85" s="119" t="s">
        <v>114</v>
      </c>
      <c r="C85" s="38" t="s">
        <v>55</v>
      </c>
      <c r="D85" s="160"/>
      <c r="E85" s="37">
        <v>2581.1999999999998</v>
      </c>
      <c r="F85" s="37">
        <f>SUM(E85*12)</f>
        <v>30974.399999999998</v>
      </c>
      <c r="G85" s="37">
        <v>3.5</v>
      </c>
      <c r="H85" s="155">
        <f>SUM(F85*G85/1000)</f>
        <v>108.4104</v>
      </c>
      <c r="I85" s="13">
        <f>F85/12*G85</f>
        <v>9034.1999999999989</v>
      </c>
      <c r="J85" s="25"/>
      <c r="L85" s="21"/>
    </row>
    <row r="86" spans="1:21" ht="31.5" customHeight="1">
      <c r="A86" s="31">
        <v>20</v>
      </c>
      <c r="B86" s="157" t="s">
        <v>172</v>
      </c>
      <c r="C86" s="150" t="s">
        <v>55</v>
      </c>
      <c r="D86" s="158"/>
      <c r="E86" s="159">
        <f>E85</f>
        <v>2581.1999999999998</v>
      </c>
      <c r="F86" s="152">
        <f>E86*12</f>
        <v>30974.399999999998</v>
      </c>
      <c r="G86" s="152">
        <v>3.2</v>
      </c>
      <c r="H86" s="100">
        <f>F86*G86/1000</f>
        <v>99.118080000000006</v>
      </c>
      <c r="I86" s="13">
        <f>F86/12*G86</f>
        <v>8259.84</v>
      </c>
    </row>
    <row r="87" spans="1:21" ht="15.75" customHeight="1">
      <c r="A87" s="53"/>
      <c r="B87" s="39" t="s">
        <v>78</v>
      </c>
      <c r="C87" s="41"/>
      <c r="D87" s="16"/>
      <c r="E87" s="16"/>
      <c r="F87" s="16"/>
      <c r="G87" s="19"/>
      <c r="H87" s="19"/>
      <c r="I87" s="33">
        <f>I86+I85+I83+I79+I66+I61+I58+I54+I50+I43+I40+I38+I37+I36+I27+I21+I20+I18+I17+I16</f>
        <v>52318.982056166664</v>
      </c>
    </row>
    <row r="88" spans="1:21" ht="15.75" customHeight="1">
      <c r="A88" s="213" t="s">
        <v>60</v>
      </c>
      <c r="B88" s="214"/>
      <c r="C88" s="214"/>
      <c r="D88" s="214"/>
      <c r="E88" s="214"/>
      <c r="F88" s="214"/>
      <c r="G88" s="214"/>
      <c r="H88" s="214"/>
      <c r="I88" s="215"/>
    </row>
    <row r="89" spans="1:21" ht="15.75" customHeight="1">
      <c r="A89" s="31"/>
      <c r="B89" s="46" t="s">
        <v>52</v>
      </c>
      <c r="C89" s="42"/>
      <c r="D89" s="54"/>
      <c r="E89" s="42">
        <v>1</v>
      </c>
      <c r="F89" s="42"/>
      <c r="G89" s="42"/>
      <c r="H89" s="42"/>
      <c r="I89" s="128">
        <v>0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15.75" customHeight="1">
      <c r="A90" s="31"/>
      <c r="B90" s="52" t="s">
        <v>77</v>
      </c>
      <c r="C90" s="16"/>
      <c r="D90" s="16"/>
      <c r="E90" s="43"/>
      <c r="F90" s="43"/>
      <c r="G90" s="44"/>
      <c r="H90" s="44"/>
      <c r="I90" s="18">
        <v>0</v>
      </c>
    </row>
    <row r="91" spans="1:21" ht="15.75" customHeight="1">
      <c r="A91" s="55"/>
      <c r="B91" s="47" t="s">
        <v>131</v>
      </c>
      <c r="C91" s="36"/>
      <c r="D91" s="36"/>
      <c r="E91" s="36"/>
      <c r="F91" s="36"/>
      <c r="G91" s="36"/>
      <c r="H91" s="36"/>
      <c r="I91" s="45">
        <f>I87+I89</f>
        <v>52318.982056166664</v>
      </c>
    </row>
    <row r="92" spans="1:21" ht="15.75" customHeight="1">
      <c r="A92" s="209" t="s">
        <v>199</v>
      </c>
      <c r="B92" s="209"/>
      <c r="C92" s="209"/>
      <c r="D92" s="209"/>
      <c r="E92" s="209"/>
      <c r="F92" s="209"/>
      <c r="G92" s="209"/>
      <c r="H92" s="209"/>
      <c r="I92" s="209"/>
    </row>
    <row r="93" spans="1:21" ht="15.75" customHeight="1">
      <c r="A93" s="77"/>
      <c r="B93" s="190" t="s">
        <v>200</v>
      </c>
      <c r="C93" s="190"/>
      <c r="D93" s="190"/>
      <c r="E93" s="190"/>
      <c r="F93" s="190"/>
      <c r="G93" s="190"/>
      <c r="H93" s="89"/>
      <c r="I93" s="3"/>
    </row>
    <row r="94" spans="1:21" ht="15.75" customHeight="1">
      <c r="A94" s="70"/>
      <c r="B94" s="191" t="s">
        <v>6</v>
      </c>
      <c r="C94" s="191"/>
      <c r="D94" s="191"/>
      <c r="E94" s="191"/>
      <c r="F94" s="191"/>
      <c r="G94" s="191"/>
      <c r="H94" s="26"/>
      <c r="I94" s="5"/>
    </row>
    <row r="95" spans="1:21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21" ht="15.75" customHeight="1">
      <c r="A96" s="192" t="s">
        <v>7</v>
      </c>
      <c r="B96" s="192"/>
      <c r="C96" s="192"/>
      <c r="D96" s="192"/>
      <c r="E96" s="192"/>
      <c r="F96" s="192"/>
      <c r="G96" s="192"/>
      <c r="H96" s="192"/>
      <c r="I96" s="192"/>
    </row>
    <row r="97" spans="1:9" ht="15.75" customHeight="1">
      <c r="A97" s="192" t="s">
        <v>8</v>
      </c>
      <c r="B97" s="192"/>
      <c r="C97" s="192"/>
      <c r="D97" s="192"/>
      <c r="E97" s="192"/>
      <c r="F97" s="192"/>
      <c r="G97" s="192"/>
      <c r="H97" s="192"/>
      <c r="I97" s="192"/>
    </row>
    <row r="98" spans="1:9" ht="15.75" customHeight="1">
      <c r="A98" s="195" t="s">
        <v>112</v>
      </c>
      <c r="B98" s="195"/>
      <c r="C98" s="195"/>
      <c r="D98" s="195"/>
      <c r="E98" s="195"/>
      <c r="F98" s="195"/>
      <c r="G98" s="195"/>
      <c r="H98" s="195"/>
      <c r="I98" s="195"/>
    </row>
    <row r="99" spans="1:9" ht="15.75" customHeight="1">
      <c r="A99" s="11"/>
    </row>
    <row r="100" spans="1:9" ht="15.75" customHeight="1">
      <c r="A100" s="196" t="s">
        <v>9</v>
      </c>
      <c r="B100" s="196"/>
      <c r="C100" s="196"/>
      <c r="D100" s="196"/>
      <c r="E100" s="196"/>
      <c r="F100" s="196"/>
      <c r="G100" s="196"/>
      <c r="H100" s="196"/>
      <c r="I100" s="196"/>
    </row>
    <row r="101" spans="1:9" ht="15.75" customHeight="1">
      <c r="A101" s="4"/>
    </row>
    <row r="102" spans="1:9" ht="15.75" customHeight="1">
      <c r="B102" s="73" t="s">
        <v>10</v>
      </c>
      <c r="C102" s="197" t="s">
        <v>182</v>
      </c>
      <c r="D102" s="197"/>
      <c r="E102" s="197"/>
      <c r="F102" s="87"/>
      <c r="I102" s="72"/>
    </row>
    <row r="103" spans="1:9" ht="15.75" customHeight="1">
      <c r="A103" s="70"/>
      <c r="C103" s="191" t="s">
        <v>11</v>
      </c>
      <c r="D103" s="191"/>
      <c r="E103" s="191"/>
      <c r="F103" s="26"/>
      <c r="I103" s="71" t="s">
        <v>12</v>
      </c>
    </row>
    <row r="104" spans="1:9" ht="15.75" customHeight="1">
      <c r="A104" s="27"/>
      <c r="C104" s="12"/>
      <c r="D104" s="12"/>
      <c r="G104" s="12"/>
      <c r="H104" s="12"/>
    </row>
    <row r="105" spans="1:9" ht="15.75" customHeight="1">
      <c r="B105" s="73" t="s">
        <v>13</v>
      </c>
      <c r="C105" s="198"/>
      <c r="D105" s="198"/>
      <c r="E105" s="198"/>
      <c r="F105" s="88"/>
      <c r="I105" s="72"/>
    </row>
    <row r="106" spans="1:9" ht="15.75" customHeight="1">
      <c r="A106" s="70"/>
      <c r="C106" s="194" t="s">
        <v>11</v>
      </c>
      <c r="D106" s="194"/>
      <c r="E106" s="194"/>
      <c r="F106" s="70"/>
      <c r="I106" s="71" t="s">
        <v>12</v>
      </c>
    </row>
    <row r="107" spans="1:9" ht="15.75" customHeight="1">
      <c r="A107" s="4" t="s">
        <v>14</v>
      </c>
    </row>
    <row r="108" spans="1:9">
      <c r="A108" s="193" t="s">
        <v>15</v>
      </c>
      <c r="B108" s="193"/>
      <c r="C108" s="193"/>
      <c r="D108" s="193"/>
      <c r="E108" s="193"/>
      <c r="F108" s="193"/>
      <c r="G108" s="193"/>
      <c r="H108" s="193"/>
      <c r="I108" s="193"/>
    </row>
    <row r="109" spans="1:9" ht="45" customHeight="1">
      <c r="A109" s="189" t="s">
        <v>16</v>
      </c>
      <c r="B109" s="189"/>
      <c r="C109" s="189"/>
      <c r="D109" s="189"/>
      <c r="E109" s="189"/>
      <c r="F109" s="189"/>
      <c r="G109" s="189"/>
      <c r="H109" s="189"/>
      <c r="I109" s="189"/>
    </row>
    <row r="110" spans="1:9" ht="30" customHeight="1">
      <c r="A110" s="189" t="s">
        <v>17</v>
      </c>
      <c r="B110" s="189"/>
      <c r="C110" s="189"/>
      <c r="D110" s="189"/>
      <c r="E110" s="189"/>
      <c r="F110" s="189"/>
      <c r="G110" s="189"/>
      <c r="H110" s="189"/>
      <c r="I110" s="189"/>
    </row>
    <row r="111" spans="1:9" ht="30" customHeight="1">
      <c r="A111" s="189" t="s">
        <v>21</v>
      </c>
      <c r="B111" s="189"/>
      <c r="C111" s="189"/>
      <c r="D111" s="189"/>
      <c r="E111" s="189"/>
      <c r="F111" s="189"/>
      <c r="G111" s="189"/>
      <c r="H111" s="189"/>
      <c r="I111" s="189"/>
    </row>
    <row r="112" spans="1:9" ht="15" customHeight="1">
      <c r="A112" s="189" t="s">
        <v>20</v>
      </c>
      <c r="B112" s="189"/>
      <c r="C112" s="189"/>
      <c r="D112" s="189"/>
      <c r="E112" s="189"/>
      <c r="F112" s="189"/>
      <c r="G112" s="189"/>
      <c r="H112" s="189"/>
      <c r="I112" s="189"/>
    </row>
  </sheetData>
  <autoFilter ref="I12:I87"/>
  <mergeCells count="28">
    <mergeCell ref="A14:I14"/>
    <mergeCell ref="A3:I3"/>
    <mergeCell ref="A4:I4"/>
    <mergeCell ref="A5:I5"/>
    <mergeCell ref="A8:I8"/>
    <mergeCell ref="A10:I10"/>
    <mergeCell ref="A98:I98"/>
    <mergeCell ref="A15:I15"/>
    <mergeCell ref="A28:I28"/>
    <mergeCell ref="A44:I44"/>
    <mergeCell ref="A55:I55"/>
    <mergeCell ref="A84:I84"/>
    <mergeCell ref="A88:I88"/>
    <mergeCell ref="A92:I92"/>
    <mergeCell ref="B93:G93"/>
    <mergeCell ref="B94:G94"/>
    <mergeCell ref="A96:I96"/>
    <mergeCell ref="A97:I9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17"/>
  <sheetViews>
    <sheetView topLeftCell="A16" workbookViewId="0">
      <selection activeCell="B59" sqref="B59:I5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133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201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44286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27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156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118</v>
      </c>
      <c r="E19" s="120">
        <v>18.48</v>
      </c>
      <c r="F19" s="121">
        <f>SUM(E19/10)</f>
        <v>1.8480000000000001</v>
      </c>
      <c r="G19" s="121">
        <v>253.7</v>
      </c>
      <c r="H19" s="95">
        <f t="shared" si="0"/>
        <v>0.46883760000000002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118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0"/>
        <v>1.0748556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118</v>
      </c>
      <c r="E23" s="145">
        <v>36</v>
      </c>
      <c r="F23" s="121">
        <f>SUM(E23/100)</f>
        <v>0.36</v>
      </c>
      <c r="G23" s="121">
        <v>66.03</v>
      </c>
      <c r="H23" s="95">
        <f t="shared" si="0"/>
        <v>2.3770800000000002E-2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119</v>
      </c>
      <c r="E24" s="120">
        <v>15</v>
      </c>
      <c r="F24" s="121">
        <f>E24/100</f>
        <v>0.15</v>
      </c>
      <c r="G24" s="121">
        <v>581.02</v>
      </c>
      <c r="H24" s="95">
        <f t="shared" si="0"/>
        <v>8.7152999999999994E-2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54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118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0"/>
        <v>4.9538147999999997E-2</v>
      </c>
      <c r="I26" s="13">
        <v>0</v>
      </c>
      <c r="J26" s="8"/>
      <c r="K26" s="8"/>
      <c r="L26" s="8"/>
      <c r="M26" s="8"/>
    </row>
    <row r="27" spans="1:13" ht="15.75" hidden="1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1" t="s">
        <v>94</v>
      </c>
      <c r="C30" s="92" t="s">
        <v>95</v>
      </c>
      <c r="D30" s="91" t="s">
        <v>96</v>
      </c>
      <c r="E30" s="94">
        <v>1167.4000000000001</v>
      </c>
      <c r="F30" s="94">
        <f>SUM(E30*52/1000)</f>
        <v>60.704800000000006</v>
      </c>
      <c r="G30" s="94">
        <v>155.88999999999999</v>
      </c>
      <c r="H30" s="95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1" t="s">
        <v>129</v>
      </c>
      <c r="C31" s="92" t="s">
        <v>95</v>
      </c>
      <c r="D31" s="91" t="s">
        <v>97</v>
      </c>
      <c r="E31" s="94">
        <v>540.04999999999995</v>
      </c>
      <c r="F31" s="94">
        <f>SUM(E31*78/1000)</f>
        <v>42.123899999999992</v>
      </c>
      <c r="G31" s="94">
        <v>258.63</v>
      </c>
      <c r="H31" s="95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1" t="s">
        <v>98</v>
      </c>
      <c r="C33" s="92" t="s">
        <v>30</v>
      </c>
      <c r="D33" s="91" t="s">
        <v>63</v>
      </c>
      <c r="E33" s="97">
        <v>0.33333333333333331</v>
      </c>
      <c r="F33" s="94">
        <f>155/3</f>
        <v>51.666666666666664</v>
      </c>
      <c r="G33" s="94">
        <v>56.69</v>
      </c>
      <c r="H33" s="95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1" t="s">
        <v>64</v>
      </c>
      <c r="C34" s="92" t="s">
        <v>32</v>
      </c>
      <c r="D34" s="91" t="s">
        <v>65</v>
      </c>
      <c r="E34" s="93"/>
      <c r="F34" s="94">
        <v>3</v>
      </c>
      <c r="G34" s="94">
        <v>191.32</v>
      </c>
      <c r="H34" s="95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customHeight="1">
      <c r="A36" s="41">
        <v>6</v>
      </c>
      <c r="B36" s="146" t="s">
        <v>26</v>
      </c>
      <c r="C36" s="40" t="s">
        <v>31</v>
      </c>
      <c r="D36" s="34" t="s">
        <v>202</v>
      </c>
      <c r="E36" s="120"/>
      <c r="F36" s="121">
        <v>6</v>
      </c>
      <c r="G36" s="121">
        <v>1930</v>
      </c>
      <c r="H36" s="95">
        <f t="shared" ref="H36:H42" si="3">SUM(F36*G36/1000)</f>
        <v>11.58</v>
      </c>
      <c r="I36" s="13">
        <f>G36*1</f>
        <v>1930</v>
      </c>
      <c r="J36" s="24"/>
      <c r="K36" s="8"/>
      <c r="L36" s="8"/>
      <c r="M36" s="8"/>
    </row>
    <row r="37" spans="1:13" ht="15.75" customHeight="1">
      <c r="A37" s="35">
        <v>7</v>
      </c>
      <c r="B37" s="146" t="s">
        <v>66</v>
      </c>
      <c r="C37" s="147" t="s">
        <v>29</v>
      </c>
      <c r="D37" s="146" t="s">
        <v>158</v>
      </c>
      <c r="E37" s="148">
        <v>26.33</v>
      </c>
      <c r="F37" s="148">
        <f>SUM(E37*30/1000)</f>
        <v>0.78989999999999994</v>
      </c>
      <c r="G37" s="148">
        <v>3134.93</v>
      </c>
      <c r="H37" s="95">
        <f t="shared" si="3"/>
        <v>2.4762812069999995</v>
      </c>
      <c r="I37" s="13">
        <f t="shared" ref="I37:I40" si="4">F37/6*G37</f>
        <v>412.71353449999992</v>
      </c>
      <c r="J37" s="24"/>
      <c r="K37" s="8"/>
      <c r="L37" s="8"/>
      <c r="M37" s="8"/>
    </row>
    <row r="38" spans="1:13" ht="15.75" customHeight="1">
      <c r="A38" s="35">
        <v>8</v>
      </c>
      <c r="B38" s="34" t="s">
        <v>165</v>
      </c>
      <c r="C38" s="40" t="s">
        <v>29</v>
      </c>
      <c r="D38" s="34" t="s">
        <v>159</v>
      </c>
      <c r="E38" s="121">
        <v>26.33</v>
      </c>
      <c r="F38" s="148">
        <f>SUM(E38*155/1000)</f>
        <v>4.0811500000000001</v>
      </c>
      <c r="G38" s="121">
        <v>522.92999999999995</v>
      </c>
      <c r="H38" s="95">
        <f t="shared" si="3"/>
        <v>2.1341557694999995</v>
      </c>
      <c r="I38" s="13">
        <f t="shared" si="4"/>
        <v>355.69262824999993</v>
      </c>
      <c r="J38" s="24"/>
      <c r="K38" s="8"/>
      <c r="L38" s="8"/>
      <c r="M38" s="8"/>
    </row>
    <row r="39" spans="1:13" ht="15.75" hidden="1" customHeight="1">
      <c r="A39" s="35"/>
      <c r="B39" s="34" t="s">
        <v>166</v>
      </c>
      <c r="C39" s="40" t="s">
        <v>167</v>
      </c>
      <c r="D39" s="34"/>
      <c r="E39" s="121"/>
      <c r="F39" s="148">
        <v>39</v>
      </c>
      <c r="G39" s="121">
        <v>330</v>
      </c>
      <c r="H39" s="95"/>
      <c r="I39" s="13"/>
      <c r="J39" s="24"/>
      <c r="K39" s="8"/>
      <c r="L39" s="8"/>
      <c r="M39" s="8"/>
    </row>
    <row r="40" spans="1:13" ht="34.5" customHeight="1">
      <c r="A40" s="35">
        <v>9</v>
      </c>
      <c r="B40" s="34" t="s">
        <v>168</v>
      </c>
      <c r="C40" s="40" t="s">
        <v>95</v>
      </c>
      <c r="D40" s="34" t="s">
        <v>174</v>
      </c>
      <c r="E40" s="121">
        <v>26.33</v>
      </c>
      <c r="F40" s="148">
        <f>SUM(E40*35/1000)</f>
        <v>0.92154999999999998</v>
      </c>
      <c r="G40" s="121">
        <v>8652.07</v>
      </c>
      <c r="H40" s="95">
        <f t="shared" si="3"/>
        <v>7.9733151084999996</v>
      </c>
      <c r="I40" s="13">
        <f t="shared" si="4"/>
        <v>1328.8858514166666</v>
      </c>
      <c r="J40" s="24"/>
      <c r="K40" s="8"/>
      <c r="L40" s="8"/>
      <c r="M40" s="8"/>
    </row>
    <row r="41" spans="1:13" ht="15.75" hidden="1" customHeight="1">
      <c r="A41" s="35">
        <v>11</v>
      </c>
      <c r="B41" s="34" t="s">
        <v>100</v>
      </c>
      <c r="C41" s="40" t="s">
        <v>95</v>
      </c>
      <c r="D41" s="34" t="s">
        <v>169</v>
      </c>
      <c r="E41" s="121">
        <v>90.4</v>
      </c>
      <c r="F41" s="148">
        <f>SUM(E41*15/1000)</f>
        <v>1.3560000000000001</v>
      </c>
      <c r="G41" s="121">
        <v>639.1</v>
      </c>
      <c r="H41" s="95">
        <f t="shared" si="3"/>
        <v>0.86661960000000016</v>
      </c>
      <c r="I41" s="13">
        <f>(F41/7.5*1.5)*G41</f>
        <v>173.32392000000002</v>
      </c>
      <c r="J41" s="24"/>
      <c r="K41" s="8"/>
      <c r="L41" s="8"/>
      <c r="M41" s="8"/>
    </row>
    <row r="42" spans="1:13" ht="15.75" hidden="1" customHeight="1">
      <c r="A42" s="35">
        <v>12</v>
      </c>
      <c r="B42" s="146" t="s">
        <v>70</v>
      </c>
      <c r="C42" s="147" t="s">
        <v>32</v>
      </c>
      <c r="D42" s="146"/>
      <c r="E42" s="129"/>
      <c r="F42" s="148">
        <v>0.6</v>
      </c>
      <c r="G42" s="148">
        <v>900</v>
      </c>
      <c r="H42" s="143">
        <f t="shared" si="3"/>
        <v>0.54</v>
      </c>
      <c r="I42" s="123">
        <f>(F42/7.5*1.5)*G42</f>
        <v>108</v>
      </c>
      <c r="J42" s="24"/>
      <c r="K42" s="8"/>
      <c r="L42" s="8"/>
      <c r="M42" s="8"/>
    </row>
    <row r="43" spans="1:13" ht="34.5" customHeight="1">
      <c r="A43" s="144">
        <v>10</v>
      </c>
      <c r="B43" s="34" t="s">
        <v>170</v>
      </c>
      <c r="C43" s="40" t="s">
        <v>29</v>
      </c>
      <c r="D43" s="34" t="s">
        <v>154</v>
      </c>
      <c r="E43" s="120">
        <v>1.2</v>
      </c>
      <c r="F43" s="121">
        <f>E43*12/1000</f>
        <v>1.4399999999999998E-2</v>
      </c>
      <c r="G43" s="121">
        <v>20547.34</v>
      </c>
      <c r="H43" s="13"/>
      <c r="I43" s="13">
        <f>G43*F43/6</f>
        <v>49.313615999999996</v>
      </c>
      <c r="J43" s="24"/>
      <c r="K43" s="8"/>
      <c r="L43" s="8"/>
      <c r="M43" s="8"/>
    </row>
    <row r="44" spans="1:13" ht="15.75" hidden="1" customHeight="1">
      <c r="A44" s="206" t="s">
        <v>126</v>
      </c>
      <c r="B44" s="207"/>
      <c r="C44" s="207"/>
      <c r="D44" s="207"/>
      <c r="E44" s="207"/>
      <c r="F44" s="207"/>
      <c r="G44" s="207"/>
      <c r="H44" s="207"/>
      <c r="I44" s="208"/>
      <c r="J44" s="24"/>
      <c r="K44" s="8"/>
      <c r="L44" s="8"/>
      <c r="M44" s="8"/>
    </row>
    <row r="45" spans="1:13" ht="15.75" hidden="1" customHeight="1">
      <c r="A45" s="41">
        <v>15</v>
      </c>
      <c r="B45" s="91" t="s">
        <v>101</v>
      </c>
      <c r="C45" s="92" t="s">
        <v>95</v>
      </c>
      <c r="D45" s="91" t="s">
        <v>42</v>
      </c>
      <c r="E45" s="93">
        <v>965.8</v>
      </c>
      <c r="F45" s="94">
        <f>SUM(E45*2/1000)</f>
        <v>1.9316</v>
      </c>
      <c r="G45" s="13">
        <v>849.49</v>
      </c>
      <c r="H45" s="95">
        <f t="shared" ref="H45:H54" si="5">SUM(F45*G45/1000)</f>
        <v>1.640874884</v>
      </c>
      <c r="I45" s="13">
        <v>0</v>
      </c>
      <c r="J45" s="24"/>
      <c r="K45" s="8"/>
    </row>
    <row r="46" spans="1:13" ht="15.75" hidden="1" customHeight="1">
      <c r="A46" s="41">
        <v>16</v>
      </c>
      <c r="B46" s="91" t="s">
        <v>35</v>
      </c>
      <c r="C46" s="92" t="s">
        <v>95</v>
      </c>
      <c r="D46" s="91" t="s">
        <v>42</v>
      </c>
      <c r="E46" s="93">
        <v>36</v>
      </c>
      <c r="F46" s="94">
        <f>SUM(E46*2/1000)</f>
        <v>7.1999999999999995E-2</v>
      </c>
      <c r="G46" s="13">
        <v>579.48</v>
      </c>
      <c r="H46" s="95">
        <f t="shared" si="5"/>
        <v>4.1722559999999999E-2</v>
      </c>
      <c r="I46" s="13">
        <v>0</v>
      </c>
      <c r="J46" s="25"/>
    </row>
    <row r="47" spans="1:13" ht="15.75" hidden="1" customHeight="1">
      <c r="A47" s="41">
        <v>17</v>
      </c>
      <c r="B47" s="91" t="s">
        <v>36</v>
      </c>
      <c r="C47" s="92" t="s">
        <v>95</v>
      </c>
      <c r="D47" s="91" t="s">
        <v>42</v>
      </c>
      <c r="E47" s="93">
        <v>1197.7</v>
      </c>
      <c r="F47" s="94">
        <f>SUM(E47*2/1000)</f>
        <v>2.3954</v>
      </c>
      <c r="G47" s="13">
        <v>579.48</v>
      </c>
      <c r="H47" s="95">
        <f t="shared" si="5"/>
        <v>1.3880863919999999</v>
      </c>
      <c r="I47" s="13">
        <v>0</v>
      </c>
      <c r="J47" s="25"/>
    </row>
    <row r="48" spans="1:13" ht="15.75" hidden="1" customHeight="1">
      <c r="A48" s="41"/>
      <c r="B48" s="91" t="s">
        <v>37</v>
      </c>
      <c r="C48" s="92" t="s">
        <v>95</v>
      </c>
      <c r="D48" s="91" t="s">
        <v>42</v>
      </c>
      <c r="E48" s="93">
        <v>2275.92</v>
      </c>
      <c r="F48" s="94">
        <f>SUM(E48*2/1000)</f>
        <v>4.5518400000000003</v>
      </c>
      <c r="G48" s="13">
        <v>606.77</v>
      </c>
      <c r="H48" s="95">
        <f t="shared" si="5"/>
        <v>2.7619199567999999</v>
      </c>
      <c r="I48" s="13">
        <v>0</v>
      </c>
      <c r="J48" s="25"/>
    </row>
    <row r="49" spans="1:14" ht="15.75" hidden="1" customHeight="1">
      <c r="A49" s="41">
        <v>18</v>
      </c>
      <c r="B49" s="91" t="s">
        <v>33</v>
      </c>
      <c r="C49" s="92" t="s">
        <v>34</v>
      </c>
      <c r="D49" s="91" t="s">
        <v>42</v>
      </c>
      <c r="E49" s="93">
        <v>81.709999999999994</v>
      </c>
      <c r="F49" s="94">
        <f>SUM(E49*2/100)</f>
        <v>1.6341999999999999</v>
      </c>
      <c r="G49" s="13">
        <v>68.56</v>
      </c>
      <c r="H49" s="95">
        <f t="shared" si="5"/>
        <v>0.11204075199999999</v>
      </c>
      <c r="I49" s="13">
        <v>0</v>
      </c>
      <c r="J49" s="25"/>
    </row>
    <row r="50" spans="1:14" ht="15.75" hidden="1" customHeight="1">
      <c r="A50" s="41">
        <v>14</v>
      </c>
      <c r="B50" s="91" t="s">
        <v>56</v>
      </c>
      <c r="C50" s="92" t="s">
        <v>95</v>
      </c>
      <c r="D50" s="91" t="s">
        <v>130</v>
      </c>
      <c r="E50" s="93">
        <v>1711.8</v>
      </c>
      <c r="F50" s="94">
        <f>SUM(E50*5/1000)</f>
        <v>8.5589999999999993</v>
      </c>
      <c r="G50" s="13">
        <v>1213.55</v>
      </c>
      <c r="H50" s="95">
        <f t="shared" si="5"/>
        <v>10.386774449999999</v>
      </c>
      <c r="I50" s="13">
        <f>F50/5*G50</f>
        <v>2077.3548899999996</v>
      </c>
      <c r="J50" s="25"/>
    </row>
    <row r="51" spans="1:14" ht="31.5" hidden="1" customHeight="1">
      <c r="A51" s="41">
        <v>14</v>
      </c>
      <c r="B51" s="91" t="s">
        <v>102</v>
      </c>
      <c r="C51" s="92" t="s">
        <v>95</v>
      </c>
      <c r="D51" s="91" t="s">
        <v>42</v>
      </c>
      <c r="E51" s="93">
        <v>1711.8</v>
      </c>
      <c r="F51" s="94">
        <f>SUM(E51*2/1000)</f>
        <v>3.4236</v>
      </c>
      <c r="G51" s="13">
        <v>1213.55</v>
      </c>
      <c r="H51" s="95">
        <f t="shared" si="5"/>
        <v>4.1547097800000001</v>
      </c>
      <c r="I51" s="13">
        <f>F51/2*G51</f>
        <v>2077.3548900000001</v>
      </c>
      <c r="J51" s="25"/>
    </row>
    <row r="52" spans="1:14" ht="31.5" hidden="1" customHeight="1">
      <c r="A52" s="41">
        <v>15</v>
      </c>
      <c r="B52" s="91" t="s">
        <v>103</v>
      </c>
      <c r="C52" s="92" t="s">
        <v>38</v>
      </c>
      <c r="D52" s="91" t="s">
        <v>42</v>
      </c>
      <c r="E52" s="93">
        <v>15</v>
      </c>
      <c r="F52" s="94">
        <f>SUM(E52*2/100)</f>
        <v>0.3</v>
      </c>
      <c r="G52" s="13">
        <v>2730.49</v>
      </c>
      <c r="H52" s="95">
        <f t="shared" si="5"/>
        <v>0.81914699999999996</v>
      </c>
      <c r="I52" s="13">
        <f t="shared" ref="I52:I53" si="6">F52/2*G52</f>
        <v>409.57349999999997</v>
      </c>
      <c r="J52" s="25"/>
    </row>
    <row r="53" spans="1:14" ht="15.75" hidden="1" customHeight="1">
      <c r="A53" s="41">
        <v>16</v>
      </c>
      <c r="B53" s="91" t="s">
        <v>39</v>
      </c>
      <c r="C53" s="92" t="s">
        <v>40</v>
      </c>
      <c r="D53" s="91" t="s">
        <v>42</v>
      </c>
      <c r="E53" s="93">
        <v>1</v>
      </c>
      <c r="F53" s="94">
        <v>0.02</v>
      </c>
      <c r="G53" s="13">
        <v>5322.15</v>
      </c>
      <c r="H53" s="95">
        <f t="shared" si="5"/>
        <v>0.106443</v>
      </c>
      <c r="I53" s="13">
        <f t="shared" si="6"/>
        <v>53.221499999999999</v>
      </c>
      <c r="J53" s="25"/>
      <c r="L53" s="21"/>
      <c r="M53" s="22"/>
      <c r="N53" s="23"/>
    </row>
    <row r="54" spans="1:14" ht="15.75" hidden="1" customHeight="1">
      <c r="A54" s="139">
        <v>15</v>
      </c>
      <c r="B54" s="136" t="s">
        <v>41</v>
      </c>
      <c r="C54" s="140" t="s">
        <v>82</v>
      </c>
      <c r="D54" s="136" t="s">
        <v>71</v>
      </c>
      <c r="E54" s="141">
        <v>90</v>
      </c>
      <c r="F54" s="142">
        <f>SUM(E54)*3</f>
        <v>270</v>
      </c>
      <c r="G54" s="123">
        <v>65.67</v>
      </c>
      <c r="H54" s="143">
        <f t="shared" si="5"/>
        <v>17.730900000000002</v>
      </c>
      <c r="I54" s="123">
        <f>E54*G54</f>
        <v>5910.3</v>
      </c>
      <c r="J54" s="25"/>
      <c r="L54" s="21"/>
      <c r="M54" s="22"/>
      <c r="N54" s="23"/>
    </row>
    <row r="55" spans="1:14" ht="15.75" customHeight="1">
      <c r="A55" s="206" t="s">
        <v>137</v>
      </c>
      <c r="B55" s="207"/>
      <c r="C55" s="207"/>
      <c r="D55" s="207"/>
      <c r="E55" s="207"/>
      <c r="F55" s="207"/>
      <c r="G55" s="207"/>
      <c r="H55" s="207"/>
      <c r="I55" s="208"/>
      <c r="J55" s="25"/>
      <c r="L55" s="21"/>
      <c r="M55" s="22"/>
      <c r="N55" s="23"/>
    </row>
    <row r="56" spans="1:14" ht="15.75" customHeight="1">
      <c r="A56" s="138"/>
      <c r="B56" s="48" t="s">
        <v>43</v>
      </c>
      <c r="C56" s="17"/>
      <c r="D56" s="16"/>
      <c r="E56" s="16"/>
      <c r="F56" s="16"/>
      <c r="G56" s="31"/>
      <c r="H56" s="31"/>
      <c r="I56" s="19"/>
      <c r="J56" s="25"/>
      <c r="L56" s="21"/>
      <c r="M56" s="22"/>
      <c r="N56" s="23"/>
    </row>
    <row r="57" spans="1:14" ht="31.5" customHeight="1">
      <c r="A57" s="41">
        <v>11</v>
      </c>
      <c r="B57" s="34" t="s">
        <v>104</v>
      </c>
      <c r="C57" s="40" t="s">
        <v>85</v>
      </c>
      <c r="D57" s="34"/>
      <c r="E57" s="120">
        <v>62.4</v>
      </c>
      <c r="F57" s="121">
        <f>SUM(E57*6/100)</f>
        <v>3.7439999999999998</v>
      </c>
      <c r="G57" s="37">
        <v>2306.83</v>
      </c>
      <c r="H57" s="95">
        <f>SUM(F57*G57/1000)</f>
        <v>8.6367715199999981</v>
      </c>
      <c r="I57" s="13">
        <f>G57*1.28</f>
        <v>2952.7424000000001</v>
      </c>
      <c r="J57" s="25"/>
      <c r="L57" s="21"/>
      <c r="M57" s="22"/>
      <c r="N57" s="23"/>
    </row>
    <row r="58" spans="1:14" ht="31.5" customHeight="1">
      <c r="A58" s="41">
        <v>12</v>
      </c>
      <c r="B58" s="34" t="s">
        <v>190</v>
      </c>
      <c r="C58" s="40" t="s">
        <v>85</v>
      </c>
      <c r="D58" s="34"/>
      <c r="E58" s="120">
        <v>50.2</v>
      </c>
      <c r="F58" s="121">
        <f>E58*12/100</f>
        <v>6.0240000000000009</v>
      </c>
      <c r="G58" s="68">
        <v>2306.83</v>
      </c>
      <c r="H58" s="84"/>
      <c r="I58" s="13">
        <f>G58*F58/6</f>
        <v>2316.0573200000003</v>
      </c>
      <c r="J58" s="25"/>
      <c r="L58" s="21"/>
      <c r="M58" s="22"/>
      <c r="N58" s="23"/>
    </row>
    <row r="59" spans="1:14" ht="18.75" customHeight="1">
      <c r="A59" s="41">
        <v>13</v>
      </c>
      <c r="B59" s="34" t="s">
        <v>134</v>
      </c>
      <c r="C59" s="40" t="s">
        <v>135</v>
      </c>
      <c r="D59" s="34" t="s">
        <v>203</v>
      </c>
      <c r="E59" s="120"/>
      <c r="F59" s="122">
        <v>10</v>
      </c>
      <c r="G59" s="37">
        <v>1800</v>
      </c>
      <c r="H59" s="84"/>
      <c r="I59" s="13">
        <f>G59*7.5</f>
        <v>13500</v>
      </c>
      <c r="J59" s="25"/>
      <c r="L59" s="21"/>
      <c r="M59" s="22"/>
      <c r="N59" s="23"/>
    </row>
    <row r="60" spans="1:14" ht="15.75" customHeight="1">
      <c r="A60" s="41"/>
      <c r="B60" s="67" t="s">
        <v>44</v>
      </c>
      <c r="C60" s="40"/>
      <c r="D60" s="34"/>
      <c r="E60" s="19"/>
      <c r="F60" s="85"/>
      <c r="G60" s="37"/>
      <c r="H60" s="68"/>
      <c r="I60" s="20"/>
      <c r="J60" s="25"/>
      <c r="L60" s="21"/>
      <c r="M60" s="22"/>
      <c r="N60" s="23"/>
    </row>
    <row r="61" spans="1:14" ht="15.75" hidden="1" customHeight="1">
      <c r="A61" s="41"/>
      <c r="B61" s="91" t="s">
        <v>45</v>
      </c>
      <c r="C61" s="92" t="s">
        <v>85</v>
      </c>
      <c r="D61" s="91" t="s">
        <v>54</v>
      </c>
      <c r="E61" s="93">
        <v>855.9</v>
      </c>
      <c r="F61" s="95">
        <v>8.6</v>
      </c>
      <c r="G61" s="13">
        <v>747.3</v>
      </c>
      <c r="H61" s="98">
        <v>6.4</v>
      </c>
      <c r="I61" s="13">
        <v>0</v>
      </c>
      <c r="J61" s="25"/>
      <c r="L61" s="21"/>
      <c r="M61" s="22"/>
      <c r="N61" s="23"/>
    </row>
    <row r="62" spans="1:14" ht="15.75" customHeight="1">
      <c r="A62" s="41">
        <v>14</v>
      </c>
      <c r="B62" s="34" t="s">
        <v>83</v>
      </c>
      <c r="C62" s="40" t="s">
        <v>25</v>
      </c>
      <c r="D62" s="34" t="s">
        <v>156</v>
      </c>
      <c r="E62" s="120">
        <v>130</v>
      </c>
      <c r="F62" s="121">
        <f>E62*12</f>
        <v>1560</v>
      </c>
      <c r="G62" s="68">
        <v>1.4</v>
      </c>
      <c r="H62" s="98">
        <f>F62*G62/1000</f>
        <v>2.1840000000000002</v>
      </c>
      <c r="I62" s="13">
        <f>F62/12*G62</f>
        <v>182</v>
      </c>
      <c r="J62" s="25"/>
      <c r="L62" s="21"/>
      <c r="M62" s="22"/>
      <c r="N62" s="23"/>
    </row>
    <row r="63" spans="1:14" ht="15.75" hidden="1" customHeight="1">
      <c r="A63" s="41"/>
      <c r="B63" s="67" t="s">
        <v>121</v>
      </c>
      <c r="C63" s="40"/>
      <c r="D63" s="34"/>
      <c r="E63" s="19"/>
      <c r="F63" s="85"/>
      <c r="G63" s="69"/>
      <c r="H63" s="68"/>
      <c r="I63" s="20"/>
      <c r="J63" s="25"/>
      <c r="L63" s="21"/>
      <c r="M63" s="22"/>
      <c r="N63" s="23"/>
    </row>
    <row r="64" spans="1:14" ht="15.75" hidden="1" customHeight="1">
      <c r="A64" s="41"/>
      <c r="B64" s="91" t="s">
        <v>122</v>
      </c>
      <c r="C64" s="92" t="s">
        <v>82</v>
      </c>
      <c r="D64" s="91" t="s">
        <v>65</v>
      </c>
      <c r="E64" s="93">
        <v>2</v>
      </c>
      <c r="F64" s="94">
        <f>SUM(E64)</f>
        <v>2</v>
      </c>
      <c r="G64" s="99">
        <v>237.75</v>
      </c>
      <c r="H64" s="95">
        <f t="shared" ref="H64" si="7">SUM(F64*G64/1000)</f>
        <v>0.47549999999999998</v>
      </c>
      <c r="I64" s="13">
        <v>0</v>
      </c>
      <c r="J64" s="25"/>
      <c r="L64" s="21"/>
      <c r="M64" s="22"/>
      <c r="N64" s="23"/>
    </row>
    <row r="65" spans="1:14" ht="15.75" hidden="1" customHeight="1">
      <c r="A65" s="41"/>
      <c r="B65" s="137" t="s">
        <v>46</v>
      </c>
      <c r="C65" s="17"/>
      <c r="D65" s="16"/>
      <c r="E65" s="16"/>
      <c r="F65" s="86"/>
      <c r="G65" s="65"/>
      <c r="H65" s="68"/>
      <c r="I65" s="19"/>
      <c r="J65" s="25"/>
      <c r="L65" s="21"/>
      <c r="M65" s="22"/>
      <c r="N65" s="23"/>
    </row>
    <row r="66" spans="1:14" ht="15.75" hidden="1" customHeight="1">
      <c r="A66" s="41">
        <v>23</v>
      </c>
      <c r="B66" s="15" t="s">
        <v>47</v>
      </c>
      <c r="C66" s="17" t="s">
        <v>82</v>
      </c>
      <c r="D66" s="91" t="s">
        <v>65</v>
      </c>
      <c r="E66" s="19">
        <v>10</v>
      </c>
      <c r="F66" s="94">
        <v>10</v>
      </c>
      <c r="G66" s="13">
        <v>222.4</v>
      </c>
      <c r="H66" s="100">
        <f t="shared" ref="H66:H73" si="8">SUM(F66*G66/1000)</f>
        <v>2.2240000000000002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29</v>
      </c>
      <c r="B67" s="15" t="s">
        <v>48</v>
      </c>
      <c r="C67" s="17" t="s">
        <v>82</v>
      </c>
      <c r="D67" s="91" t="s">
        <v>65</v>
      </c>
      <c r="E67" s="19">
        <v>5</v>
      </c>
      <c r="F67" s="94">
        <v>5</v>
      </c>
      <c r="G67" s="13">
        <v>75.25</v>
      </c>
      <c r="H67" s="100">
        <f t="shared" si="8"/>
        <v>0.37624999999999997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8</v>
      </c>
      <c r="B68" s="15" t="s">
        <v>49</v>
      </c>
      <c r="C68" s="17" t="s">
        <v>106</v>
      </c>
      <c r="D68" s="15" t="s">
        <v>54</v>
      </c>
      <c r="E68" s="93">
        <v>13018</v>
      </c>
      <c r="F68" s="13">
        <f>SUM(E68/100)</f>
        <v>130.18</v>
      </c>
      <c r="G68" s="13">
        <v>212.15</v>
      </c>
      <c r="H68" s="100">
        <f t="shared" si="8"/>
        <v>27.617687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9</v>
      </c>
      <c r="B69" s="15" t="s">
        <v>50</v>
      </c>
      <c r="C69" s="17" t="s">
        <v>107</v>
      </c>
      <c r="D69" s="15"/>
      <c r="E69" s="93">
        <v>13018</v>
      </c>
      <c r="F69" s="13">
        <f>SUM(E69/1000)</f>
        <v>13.018000000000001</v>
      </c>
      <c r="G69" s="13">
        <v>165.21</v>
      </c>
      <c r="H69" s="100">
        <f t="shared" si="8"/>
        <v>2.1507037800000002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10</v>
      </c>
      <c r="B70" s="15" t="s">
        <v>51</v>
      </c>
      <c r="C70" s="17" t="s">
        <v>76</v>
      </c>
      <c r="D70" s="15" t="s">
        <v>54</v>
      </c>
      <c r="E70" s="93">
        <v>1279</v>
      </c>
      <c r="F70" s="13">
        <f>SUM(E70/100)</f>
        <v>12.79</v>
      </c>
      <c r="G70" s="13">
        <v>2074.63</v>
      </c>
      <c r="H70" s="100">
        <f t="shared" si="8"/>
        <v>26.534517700000002</v>
      </c>
      <c r="I70" s="13">
        <v>0</v>
      </c>
      <c r="J70" s="25"/>
      <c r="L70" s="21"/>
      <c r="M70" s="22"/>
      <c r="N70" s="23"/>
    </row>
    <row r="71" spans="1:14" ht="15.75" hidden="1" customHeight="1">
      <c r="A71" s="31">
        <v>11</v>
      </c>
      <c r="B71" s="101" t="s">
        <v>108</v>
      </c>
      <c r="C71" s="17" t="s">
        <v>32</v>
      </c>
      <c r="D71" s="15"/>
      <c r="E71" s="93">
        <v>12</v>
      </c>
      <c r="F71" s="13">
        <f>SUM(E71)</f>
        <v>12</v>
      </c>
      <c r="G71" s="13">
        <v>45.32</v>
      </c>
      <c r="H71" s="100">
        <f t="shared" si="8"/>
        <v>0.54383999999999999</v>
      </c>
      <c r="I71" s="13">
        <v>0</v>
      </c>
      <c r="J71" s="25"/>
      <c r="L71" s="21"/>
      <c r="M71" s="22"/>
      <c r="N71" s="23"/>
    </row>
    <row r="72" spans="1:14" ht="15.75" hidden="1" customHeight="1">
      <c r="A72" s="31">
        <v>12</v>
      </c>
      <c r="B72" s="101" t="s">
        <v>109</v>
      </c>
      <c r="C72" s="17" t="s">
        <v>32</v>
      </c>
      <c r="D72" s="15"/>
      <c r="E72" s="93">
        <v>12</v>
      </c>
      <c r="F72" s="13">
        <f>SUM(E72)</f>
        <v>12</v>
      </c>
      <c r="G72" s="13">
        <v>42.28</v>
      </c>
      <c r="H72" s="100">
        <f t="shared" si="8"/>
        <v>0.50736000000000003</v>
      </c>
      <c r="I72" s="13">
        <v>0</v>
      </c>
      <c r="J72" s="25"/>
      <c r="L72" s="21"/>
      <c r="M72" s="22"/>
      <c r="N72" s="23"/>
    </row>
    <row r="73" spans="1:14" ht="15.75" hidden="1" customHeight="1">
      <c r="A73" s="31">
        <v>13</v>
      </c>
      <c r="B73" s="15" t="s">
        <v>57</v>
      </c>
      <c r="C73" s="17" t="s">
        <v>58</v>
      </c>
      <c r="D73" s="15" t="s">
        <v>54</v>
      </c>
      <c r="E73" s="19">
        <v>1</v>
      </c>
      <c r="F73" s="94">
        <f>SUM(E73)</f>
        <v>1</v>
      </c>
      <c r="G73" s="13">
        <v>49.88</v>
      </c>
      <c r="H73" s="100">
        <f t="shared" si="8"/>
        <v>4.9880000000000001E-2</v>
      </c>
      <c r="I73" s="13">
        <v>0</v>
      </c>
      <c r="J73" s="25"/>
      <c r="L73" s="21"/>
      <c r="M73" s="22"/>
      <c r="N73" s="23"/>
    </row>
    <row r="74" spans="1:14" ht="15.75" hidden="1" customHeight="1">
      <c r="A74" s="138"/>
      <c r="B74" s="137" t="s">
        <v>110</v>
      </c>
      <c r="C74" s="137"/>
      <c r="D74" s="137"/>
      <c r="E74" s="137"/>
      <c r="F74" s="137"/>
      <c r="G74" s="137"/>
      <c r="H74" s="137"/>
      <c r="I74" s="19"/>
      <c r="J74" s="25"/>
      <c r="L74" s="21"/>
      <c r="M74" s="22"/>
      <c r="N74" s="23"/>
    </row>
    <row r="75" spans="1:14" ht="15.75" hidden="1" customHeight="1">
      <c r="A75" s="31">
        <v>15</v>
      </c>
      <c r="B75" s="91" t="s">
        <v>111</v>
      </c>
      <c r="C75" s="17"/>
      <c r="D75" s="15"/>
      <c r="E75" s="85"/>
      <c r="F75" s="13">
        <v>1</v>
      </c>
      <c r="G75" s="13">
        <v>10041.700000000001</v>
      </c>
      <c r="H75" s="100">
        <f>G75*F75/1000</f>
        <v>10.041700000000001</v>
      </c>
      <c r="I75" s="13">
        <v>0</v>
      </c>
      <c r="J75" s="25"/>
      <c r="L75" s="21"/>
      <c r="M75" s="22"/>
      <c r="N75" s="23"/>
    </row>
    <row r="76" spans="1:14" ht="15.75" customHeight="1">
      <c r="A76" s="31"/>
      <c r="B76" s="135" t="s">
        <v>162</v>
      </c>
      <c r="C76" s="38"/>
      <c r="D76" s="119"/>
      <c r="E76" s="18"/>
      <c r="F76" s="68"/>
      <c r="G76" s="37"/>
      <c r="H76" s="133"/>
      <c r="I76" s="134"/>
      <c r="J76" s="25"/>
      <c r="L76" s="21"/>
      <c r="M76" s="22"/>
      <c r="N76" s="23"/>
    </row>
    <row r="77" spans="1:14" ht="33" customHeight="1">
      <c r="A77" s="31">
        <v>15</v>
      </c>
      <c r="B77" s="119" t="s">
        <v>163</v>
      </c>
      <c r="C77" s="41" t="s">
        <v>164</v>
      </c>
      <c r="D77" s="119"/>
      <c r="E77" s="18">
        <v>2581.1999999999998</v>
      </c>
      <c r="F77" s="37">
        <f>E77*12</f>
        <v>30974.399999999998</v>
      </c>
      <c r="G77" s="37">
        <v>2.6</v>
      </c>
      <c r="H77" s="133"/>
      <c r="I77" s="134">
        <f>G77*F77/12</f>
        <v>6711.12</v>
      </c>
      <c r="J77" s="25"/>
      <c r="L77" s="21"/>
      <c r="M77" s="22"/>
      <c r="N77" s="23"/>
    </row>
    <row r="78" spans="1:14" ht="15.75" hidden="1" customHeight="1">
      <c r="A78" s="31"/>
      <c r="B78" s="49" t="s">
        <v>72</v>
      </c>
      <c r="C78" s="49"/>
      <c r="D78" s="49"/>
      <c r="E78" s="19"/>
      <c r="F78" s="19"/>
      <c r="G78" s="31"/>
      <c r="H78" s="31"/>
      <c r="I78" s="19"/>
      <c r="J78" s="25"/>
      <c r="L78" s="21"/>
      <c r="M78" s="22"/>
      <c r="N78" s="23"/>
    </row>
    <row r="79" spans="1:14" ht="15.75" hidden="1" customHeight="1">
      <c r="A79" s="31">
        <v>16</v>
      </c>
      <c r="B79" s="15" t="s">
        <v>73</v>
      </c>
      <c r="C79" s="17" t="s">
        <v>74</v>
      </c>
      <c r="D79" s="15" t="s">
        <v>160</v>
      </c>
      <c r="E79" s="19">
        <v>5</v>
      </c>
      <c r="F79" s="13">
        <v>0.5</v>
      </c>
      <c r="G79" s="13">
        <v>501.62</v>
      </c>
      <c r="H79" s="100">
        <f t="shared" ref="H79:H81" si="9">SUM(F79*G79/1000)</f>
        <v>0.25080999999999998</v>
      </c>
      <c r="I79" s="13">
        <f>G79*0.3</f>
        <v>150.48599999999999</v>
      </c>
      <c r="J79" s="25"/>
      <c r="L79" s="21"/>
      <c r="M79" s="22"/>
      <c r="N79" s="23"/>
    </row>
    <row r="80" spans="1:14" ht="15.75" hidden="1" customHeight="1">
      <c r="A80" s="31"/>
      <c r="B80" s="15" t="s">
        <v>123</v>
      </c>
      <c r="C80" s="17" t="s">
        <v>82</v>
      </c>
      <c r="D80" s="15"/>
      <c r="E80" s="19">
        <v>1</v>
      </c>
      <c r="F80" s="84">
        <f>E80</f>
        <v>1</v>
      </c>
      <c r="G80" s="13">
        <v>852.99</v>
      </c>
      <c r="H80" s="100">
        <f t="shared" si="9"/>
        <v>0.85299000000000003</v>
      </c>
      <c r="I80" s="13">
        <v>0</v>
      </c>
      <c r="J80" s="25"/>
      <c r="L80" s="21"/>
      <c r="M80" s="22"/>
      <c r="N80" s="23"/>
    </row>
    <row r="81" spans="1:21" ht="15.75" hidden="1" customHeight="1">
      <c r="A81" s="31"/>
      <c r="B81" s="15" t="s">
        <v>124</v>
      </c>
      <c r="C81" s="17" t="s">
        <v>82</v>
      </c>
      <c r="D81" s="15"/>
      <c r="E81" s="19">
        <v>1</v>
      </c>
      <c r="F81" s="94">
        <f>SUM(E81)</f>
        <v>1</v>
      </c>
      <c r="G81" s="13">
        <v>358.51</v>
      </c>
      <c r="H81" s="100">
        <f t="shared" si="9"/>
        <v>0.35851</v>
      </c>
      <c r="I81" s="13">
        <v>0</v>
      </c>
      <c r="J81" s="25"/>
      <c r="L81" s="21"/>
      <c r="M81" s="22"/>
      <c r="N81" s="23"/>
    </row>
    <row r="82" spans="1:21" ht="15.75" customHeight="1">
      <c r="A82" s="31"/>
      <c r="B82" s="119" t="s">
        <v>171</v>
      </c>
      <c r="C82" s="38" t="s">
        <v>82</v>
      </c>
      <c r="D82" s="119" t="s">
        <v>155</v>
      </c>
      <c r="E82" s="18">
        <v>2</v>
      </c>
      <c r="F82" s="68">
        <f>E82*12</f>
        <v>24</v>
      </c>
      <c r="G82" s="37">
        <v>420</v>
      </c>
      <c r="H82" s="100"/>
      <c r="I82" s="13">
        <f>G82*2</f>
        <v>840</v>
      </c>
      <c r="J82" s="25"/>
      <c r="L82" s="21"/>
      <c r="M82" s="22"/>
      <c r="N82" s="23"/>
    </row>
    <row r="83" spans="1:21" ht="15.75" hidden="1" customHeight="1">
      <c r="A83" s="31"/>
      <c r="B83" s="50" t="s">
        <v>75</v>
      </c>
      <c r="C83" s="38"/>
      <c r="D83" s="31"/>
      <c r="E83" s="19"/>
      <c r="F83" s="19"/>
      <c r="G83" s="37" t="s">
        <v>112</v>
      </c>
      <c r="H83" s="37"/>
      <c r="I83" s="19"/>
      <c r="J83" s="25"/>
      <c r="L83" s="21"/>
      <c r="M83" s="22"/>
      <c r="N83" s="23"/>
    </row>
    <row r="84" spans="1:21" ht="15.75" hidden="1" customHeight="1">
      <c r="A84" s="31">
        <v>12</v>
      </c>
      <c r="B84" s="52" t="s">
        <v>113</v>
      </c>
      <c r="C84" s="17" t="s">
        <v>76</v>
      </c>
      <c r="D84" s="15"/>
      <c r="E84" s="19"/>
      <c r="F84" s="13">
        <v>0.3</v>
      </c>
      <c r="G84" s="13">
        <v>2759.44</v>
      </c>
      <c r="H84" s="100">
        <f t="shared" ref="H84" si="10">SUM(F84*G84/1000)</f>
        <v>0.82783200000000001</v>
      </c>
      <c r="I84" s="13">
        <v>0</v>
      </c>
      <c r="J84" s="25"/>
      <c r="L84" s="21"/>
      <c r="M84" s="22"/>
      <c r="N84" s="23"/>
    </row>
    <row r="85" spans="1:21" ht="15.75" customHeight="1">
      <c r="A85" s="205" t="s">
        <v>138</v>
      </c>
      <c r="B85" s="205"/>
      <c r="C85" s="205"/>
      <c r="D85" s="205"/>
      <c r="E85" s="205"/>
      <c r="F85" s="205"/>
      <c r="G85" s="205"/>
      <c r="H85" s="205"/>
      <c r="I85" s="205"/>
      <c r="J85" s="25"/>
      <c r="L85" s="21"/>
      <c r="M85" s="22"/>
      <c r="N85" s="23"/>
    </row>
    <row r="86" spans="1:21" ht="15.75" customHeight="1">
      <c r="A86" s="154">
        <v>16</v>
      </c>
      <c r="B86" s="149" t="s">
        <v>114</v>
      </c>
      <c r="C86" s="150" t="s">
        <v>55</v>
      </c>
      <c r="D86" s="151"/>
      <c r="E86" s="152">
        <v>2581.1999999999998</v>
      </c>
      <c r="F86" s="152">
        <f>SUM(E86*12)</f>
        <v>30974.399999999998</v>
      </c>
      <c r="G86" s="152">
        <v>3.5</v>
      </c>
      <c r="H86" s="155">
        <f>SUM(F86*G86/1000)</f>
        <v>108.4104</v>
      </c>
      <c r="I86" s="156">
        <f>F86/12*G86</f>
        <v>9034.1999999999989</v>
      </c>
      <c r="J86" s="25"/>
      <c r="L86" s="21"/>
    </row>
    <row r="87" spans="1:21" ht="31.5" customHeight="1">
      <c r="A87" s="31">
        <v>17</v>
      </c>
      <c r="B87" s="119" t="s">
        <v>172</v>
      </c>
      <c r="C87" s="38" t="s">
        <v>55</v>
      </c>
      <c r="D87" s="66"/>
      <c r="E87" s="120">
        <f>E86</f>
        <v>2581.1999999999998</v>
      </c>
      <c r="F87" s="37">
        <f>E87*12</f>
        <v>30974.399999999998</v>
      </c>
      <c r="G87" s="37">
        <v>3.2</v>
      </c>
      <c r="H87" s="100">
        <f>F87*G87/1000</f>
        <v>99.118080000000006</v>
      </c>
      <c r="I87" s="13">
        <f>F87/12*G87</f>
        <v>8259.84</v>
      </c>
    </row>
    <row r="88" spans="1:21" ht="31.5" hidden="1" customHeight="1">
      <c r="A88" s="31">
        <v>18</v>
      </c>
      <c r="B88" s="119" t="s">
        <v>173</v>
      </c>
      <c r="C88" s="38" t="s">
        <v>55</v>
      </c>
      <c r="D88" s="66"/>
      <c r="E88" s="153">
        <v>2581.1999999999998</v>
      </c>
      <c r="F88" s="37">
        <f>E88*1</f>
        <v>2581.1999999999998</v>
      </c>
      <c r="G88" s="37">
        <v>3.2</v>
      </c>
      <c r="H88" s="100"/>
      <c r="I88" s="13">
        <f>G88*F88/1</f>
        <v>8259.84</v>
      </c>
    </row>
    <row r="89" spans="1:21" ht="15.75" customHeight="1">
      <c r="A89" s="53"/>
      <c r="B89" s="39" t="s">
        <v>78</v>
      </c>
      <c r="C89" s="41"/>
      <c r="D89" s="16"/>
      <c r="E89" s="16"/>
      <c r="F89" s="16"/>
      <c r="G89" s="19"/>
      <c r="H89" s="19"/>
      <c r="I89" s="33">
        <f>I87+I86+I82+I77+I62+I59+I58+I57+I43+I40+I38+I37+I36+I21+I20+I18+I17+I16</f>
        <v>55624.661620166677</v>
      </c>
    </row>
    <row r="90" spans="1:21" ht="15.75" customHeight="1">
      <c r="A90" s="213" t="s">
        <v>60</v>
      </c>
      <c r="B90" s="214"/>
      <c r="C90" s="214"/>
      <c r="D90" s="214"/>
      <c r="E90" s="214"/>
      <c r="F90" s="214"/>
      <c r="G90" s="214"/>
      <c r="H90" s="214"/>
      <c r="I90" s="215"/>
    </row>
    <row r="91" spans="1:21" ht="15.75" customHeight="1">
      <c r="A91" s="42">
        <v>17</v>
      </c>
      <c r="B91" s="117" t="s">
        <v>187</v>
      </c>
      <c r="C91" s="118" t="s">
        <v>150</v>
      </c>
      <c r="D91" s="66" t="s">
        <v>206</v>
      </c>
      <c r="E91" s="37"/>
      <c r="F91" s="37">
        <v>20</v>
      </c>
      <c r="G91" s="37">
        <v>295.36</v>
      </c>
      <c r="H91" s="102">
        <f>G91*F91/1000</f>
        <v>5.9072000000000005</v>
      </c>
      <c r="I91" s="174">
        <v>0</v>
      </c>
    </row>
    <row r="92" spans="1:21" ht="15.75" customHeight="1">
      <c r="A92" s="42">
        <v>18</v>
      </c>
      <c r="B92" s="117" t="s">
        <v>204</v>
      </c>
      <c r="C92" s="118" t="s">
        <v>181</v>
      </c>
      <c r="D92" s="66"/>
      <c r="E92" s="37"/>
      <c r="F92" s="37">
        <v>1</v>
      </c>
      <c r="G92" s="37">
        <v>236.08</v>
      </c>
      <c r="H92" s="102">
        <f>G92*F92/1000</f>
        <v>0.23608000000000001</v>
      </c>
      <c r="I92" s="42">
        <f>G92*1</f>
        <v>236.08</v>
      </c>
    </row>
    <row r="93" spans="1:21" ht="15.75" customHeight="1">
      <c r="A93" s="42">
        <v>19</v>
      </c>
      <c r="B93" s="117" t="s">
        <v>205</v>
      </c>
      <c r="C93" s="118" t="s">
        <v>29</v>
      </c>
      <c r="D93" s="66" t="s">
        <v>156</v>
      </c>
      <c r="E93" s="37"/>
      <c r="F93" s="37">
        <v>0.1</v>
      </c>
      <c r="G93" s="37">
        <v>1255.53</v>
      </c>
      <c r="H93" s="102">
        <f>G93*F93/1000</f>
        <v>0.125553</v>
      </c>
      <c r="I93" s="174">
        <v>0</v>
      </c>
    </row>
    <row r="94" spans="1:21" ht="15.75" customHeight="1">
      <c r="A94" s="31"/>
      <c r="B94" s="46" t="s">
        <v>52</v>
      </c>
      <c r="C94" s="42"/>
      <c r="D94" s="54"/>
      <c r="E94" s="42">
        <v>1</v>
      </c>
      <c r="F94" s="42"/>
      <c r="G94" s="42"/>
      <c r="H94" s="42"/>
      <c r="I94" s="33">
        <f>SUM(I91:I93)</f>
        <v>236.08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ht="15.75" customHeight="1">
      <c r="A95" s="31"/>
      <c r="B95" s="52" t="s">
        <v>77</v>
      </c>
      <c r="C95" s="16"/>
      <c r="D95" s="16"/>
      <c r="E95" s="43"/>
      <c r="F95" s="43"/>
      <c r="G95" s="44"/>
      <c r="H95" s="44"/>
      <c r="I95" s="18">
        <v>0</v>
      </c>
    </row>
    <row r="96" spans="1:21" ht="15.75" customHeight="1">
      <c r="A96" s="55"/>
      <c r="B96" s="47" t="s">
        <v>131</v>
      </c>
      <c r="C96" s="36"/>
      <c r="D96" s="36"/>
      <c r="E96" s="36"/>
      <c r="F96" s="36"/>
      <c r="G96" s="36"/>
      <c r="H96" s="36"/>
      <c r="I96" s="45">
        <f>I89+I94</f>
        <v>55860.741620166678</v>
      </c>
    </row>
    <row r="97" spans="1:9" ht="15.75" customHeight="1">
      <c r="A97" s="209" t="s">
        <v>207</v>
      </c>
      <c r="B97" s="209"/>
      <c r="C97" s="209"/>
      <c r="D97" s="209"/>
      <c r="E97" s="209"/>
      <c r="F97" s="209"/>
      <c r="G97" s="209"/>
      <c r="H97" s="209"/>
      <c r="I97" s="209"/>
    </row>
    <row r="98" spans="1:9" ht="15.75" customHeight="1">
      <c r="A98" s="77"/>
      <c r="B98" s="190" t="s">
        <v>208</v>
      </c>
      <c r="C98" s="190"/>
      <c r="D98" s="190"/>
      <c r="E98" s="190"/>
      <c r="F98" s="190"/>
      <c r="G98" s="190"/>
      <c r="H98" s="89"/>
      <c r="I98" s="3"/>
    </row>
    <row r="99" spans="1:9" ht="15.75" customHeight="1">
      <c r="A99" s="70"/>
      <c r="B99" s="191" t="s">
        <v>6</v>
      </c>
      <c r="C99" s="191"/>
      <c r="D99" s="191"/>
      <c r="E99" s="191"/>
      <c r="F99" s="191"/>
      <c r="G99" s="191"/>
      <c r="H99" s="26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92" t="s">
        <v>7</v>
      </c>
      <c r="B101" s="192"/>
      <c r="C101" s="192"/>
      <c r="D101" s="192"/>
      <c r="E101" s="192"/>
      <c r="F101" s="192"/>
      <c r="G101" s="192"/>
      <c r="H101" s="192"/>
      <c r="I101" s="192"/>
    </row>
    <row r="102" spans="1:9" ht="15.75" customHeight="1">
      <c r="A102" s="192" t="s">
        <v>8</v>
      </c>
      <c r="B102" s="192"/>
      <c r="C102" s="192"/>
      <c r="D102" s="192"/>
      <c r="E102" s="192"/>
      <c r="F102" s="192"/>
      <c r="G102" s="192"/>
      <c r="H102" s="192"/>
      <c r="I102" s="192"/>
    </row>
    <row r="103" spans="1:9" ht="15.75" customHeight="1">
      <c r="A103" s="195" t="s">
        <v>61</v>
      </c>
      <c r="B103" s="195"/>
      <c r="C103" s="195"/>
      <c r="D103" s="195"/>
      <c r="E103" s="195"/>
      <c r="F103" s="195"/>
      <c r="G103" s="195"/>
      <c r="H103" s="195"/>
      <c r="I103" s="195"/>
    </row>
    <row r="104" spans="1:9" ht="15.75" customHeight="1">
      <c r="A104" s="11"/>
    </row>
    <row r="105" spans="1:9" ht="15.75" customHeight="1">
      <c r="A105" s="196" t="s">
        <v>9</v>
      </c>
      <c r="B105" s="196"/>
      <c r="C105" s="196"/>
      <c r="D105" s="196"/>
      <c r="E105" s="196"/>
      <c r="F105" s="196"/>
      <c r="G105" s="196"/>
      <c r="H105" s="196"/>
      <c r="I105" s="196"/>
    </row>
    <row r="106" spans="1:9" ht="15.75" customHeight="1">
      <c r="A106" s="4"/>
    </row>
    <row r="107" spans="1:9" ht="15.75" customHeight="1">
      <c r="B107" s="73" t="s">
        <v>10</v>
      </c>
      <c r="C107" s="197" t="s">
        <v>182</v>
      </c>
      <c r="D107" s="197"/>
      <c r="E107" s="197"/>
      <c r="F107" s="87"/>
      <c r="I107" s="72"/>
    </row>
    <row r="108" spans="1:9" ht="15.75" customHeight="1">
      <c r="A108" s="70"/>
      <c r="C108" s="191" t="s">
        <v>11</v>
      </c>
      <c r="D108" s="191"/>
      <c r="E108" s="191"/>
      <c r="F108" s="26"/>
      <c r="I108" s="71" t="s">
        <v>12</v>
      </c>
    </row>
    <row r="109" spans="1:9" ht="15.75" customHeight="1">
      <c r="A109" s="27"/>
      <c r="C109" s="12"/>
      <c r="D109" s="12"/>
      <c r="G109" s="12"/>
      <c r="H109" s="12"/>
    </row>
    <row r="110" spans="1:9" ht="15.75" customHeight="1">
      <c r="B110" s="73" t="s">
        <v>13</v>
      </c>
      <c r="C110" s="198"/>
      <c r="D110" s="198"/>
      <c r="E110" s="198"/>
      <c r="F110" s="88"/>
      <c r="I110" s="72"/>
    </row>
    <row r="111" spans="1:9" ht="15.75" customHeight="1">
      <c r="A111" s="70"/>
      <c r="C111" s="194" t="s">
        <v>11</v>
      </c>
      <c r="D111" s="194"/>
      <c r="E111" s="194"/>
      <c r="F111" s="70"/>
      <c r="I111" s="71" t="s">
        <v>12</v>
      </c>
    </row>
    <row r="112" spans="1:9" ht="15.75" customHeight="1">
      <c r="A112" s="4" t="s">
        <v>14</v>
      </c>
    </row>
    <row r="113" spans="1:9">
      <c r="A113" s="193" t="s">
        <v>15</v>
      </c>
      <c r="B113" s="193"/>
      <c r="C113" s="193"/>
      <c r="D113" s="193"/>
      <c r="E113" s="193"/>
      <c r="F113" s="193"/>
      <c r="G113" s="193"/>
      <c r="H113" s="193"/>
      <c r="I113" s="193"/>
    </row>
    <row r="114" spans="1:9" ht="45" customHeight="1">
      <c r="A114" s="189" t="s">
        <v>16</v>
      </c>
      <c r="B114" s="189"/>
      <c r="C114" s="189"/>
      <c r="D114" s="189"/>
      <c r="E114" s="189"/>
      <c r="F114" s="189"/>
      <c r="G114" s="189"/>
      <c r="H114" s="189"/>
      <c r="I114" s="189"/>
    </row>
    <row r="115" spans="1:9" ht="30" customHeight="1">
      <c r="A115" s="189" t="s">
        <v>17</v>
      </c>
      <c r="B115" s="189"/>
      <c r="C115" s="189"/>
      <c r="D115" s="189"/>
      <c r="E115" s="189"/>
      <c r="F115" s="189"/>
      <c r="G115" s="189"/>
      <c r="H115" s="189"/>
      <c r="I115" s="189"/>
    </row>
    <row r="116" spans="1:9" ht="30" customHeight="1">
      <c r="A116" s="189" t="s">
        <v>21</v>
      </c>
      <c r="B116" s="189"/>
      <c r="C116" s="189"/>
      <c r="D116" s="189"/>
      <c r="E116" s="189"/>
      <c r="F116" s="189"/>
      <c r="G116" s="189"/>
      <c r="H116" s="189"/>
      <c r="I116" s="189"/>
    </row>
    <row r="117" spans="1:9" ht="15" customHeight="1">
      <c r="A117" s="189" t="s">
        <v>20</v>
      </c>
      <c r="B117" s="189"/>
      <c r="C117" s="189"/>
      <c r="D117" s="189"/>
      <c r="E117" s="189"/>
      <c r="F117" s="189"/>
      <c r="G117" s="189"/>
      <c r="H117" s="189"/>
      <c r="I117" s="189"/>
    </row>
  </sheetData>
  <autoFilter ref="I12:I89"/>
  <mergeCells count="28">
    <mergeCell ref="A14:I14"/>
    <mergeCell ref="A3:I3"/>
    <mergeCell ref="A4:I4"/>
    <mergeCell ref="A5:I5"/>
    <mergeCell ref="A8:I8"/>
    <mergeCell ref="A10:I10"/>
    <mergeCell ref="A103:I103"/>
    <mergeCell ref="A15:I15"/>
    <mergeCell ref="A28:I28"/>
    <mergeCell ref="A44:I44"/>
    <mergeCell ref="A55:I55"/>
    <mergeCell ref="A85:I85"/>
    <mergeCell ref="A90:I90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19"/>
  <sheetViews>
    <sheetView workbookViewId="0">
      <selection activeCell="A95" sqref="A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136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209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44316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27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156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118</v>
      </c>
      <c r="E19" s="120">
        <v>18.48</v>
      </c>
      <c r="F19" s="121">
        <f>SUM(E19/10)</f>
        <v>1.8480000000000001</v>
      </c>
      <c r="G19" s="121">
        <v>253.7</v>
      </c>
      <c r="H19" s="95">
        <f t="shared" si="0"/>
        <v>0.46883760000000002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118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0"/>
        <v>1.0748556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118</v>
      </c>
      <c r="E23" s="145">
        <v>36</v>
      </c>
      <c r="F23" s="121">
        <f>SUM(E23/100)</f>
        <v>0.36</v>
      </c>
      <c r="G23" s="121">
        <v>66.03</v>
      </c>
      <c r="H23" s="95">
        <f t="shared" si="0"/>
        <v>2.3770800000000002E-2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119</v>
      </c>
      <c r="E24" s="120">
        <v>15</v>
      </c>
      <c r="F24" s="121">
        <f>E24/100</f>
        <v>0.15</v>
      </c>
      <c r="G24" s="121">
        <v>581.02</v>
      </c>
      <c r="H24" s="95">
        <f t="shared" si="0"/>
        <v>8.7152999999999994E-2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54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118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0"/>
        <v>4.9538147999999997E-2</v>
      </c>
      <c r="I26" s="13">
        <v>0</v>
      </c>
      <c r="J26" s="8"/>
      <c r="K26" s="8"/>
      <c r="L26" s="8"/>
      <c r="M26" s="8"/>
    </row>
    <row r="27" spans="1:13" ht="15.75" hidden="1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1" t="s">
        <v>94</v>
      </c>
      <c r="C30" s="92" t="s">
        <v>95</v>
      </c>
      <c r="D30" s="91" t="s">
        <v>96</v>
      </c>
      <c r="E30" s="94">
        <v>1167.4000000000001</v>
      </c>
      <c r="F30" s="94">
        <f>SUM(E30*52/1000)</f>
        <v>60.704800000000006</v>
      </c>
      <c r="G30" s="94">
        <v>155.88999999999999</v>
      </c>
      <c r="H30" s="95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1" t="s">
        <v>129</v>
      </c>
      <c r="C31" s="92" t="s">
        <v>95</v>
      </c>
      <c r="D31" s="91" t="s">
        <v>97</v>
      </c>
      <c r="E31" s="94">
        <v>540.04999999999995</v>
      </c>
      <c r="F31" s="94">
        <f>SUM(E31*78/1000)</f>
        <v>42.123899999999992</v>
      </c>
      <c r="G31" s="94">
        <v>258.63</v>
      </c>
      <c r="H31" s="95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1" t="s">
        <v>98</v>
      </c>
      <c r="C33" s="92" t="s">
        <v>30</v>
      </c>
      <c r="D33" s="91" t="s">
        <v>63</v>
      </c>
      <c r="E33" s="97">
        <v>0.33333333333333331</v>
      </c>
      <c r="F33" s="94">
        <f>155/3</f>
        <v>51.666666666666664</v>
      </c>
      <c r="G33" s="94">
        <v>56.69</v>
      </c>
      <c r="H33" s="95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1" t="s">
        <v>64</v>
      </c>
      <c r="C34" s="92" t="s">
        <v>32</v>
      </c>
      <c r="D34" s="91" t="s">
        <v>65</v>
      </c>
      <c r="E34" s="93"/>
      <c r="F34" s="94">
        <v>3</v>
      </c>
      <c r="G34" s="94">
        <v>191.32</v>
      </c>
      <c r="H34" s="95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customHeight="1">
      <c r="A36" s="41">
        <v>6</v>
      </c>
      <c r="B36" s="146" t="s">
        <v>26</v>
      </c>
      <c r="C36" s="40" t="s">
        <v>31</v>
      </c>
      <c r="D36" s="34" t="s">
        <v>210</v>
      </c>
      <c r="E36" s="120"/>
      <c r="F36" s="121">
        <v>6</v>
      </c>
      <c r="G36" s="121">
        <v>1930</v>
      </c>
      <c r="H36" s="95">
        <f t="shared" ref="H36:H42" si="3">SUM(F36*G36/1000)</f>
        <v>11.58</v>
      </c>
      <c r="I36" s="13">
        <f>G36*0.5</f>
        <v>965</v>
      </c>
      <c r="J36" s="24"/>
      <c r="K36" s="8"/>
      <c r="L36" s="8"/>
      <c r="M36" s="8"/>
    </row>
    <row r="37" spans="1:13" ht="15.75" customHeight="1">
      <c r="A37" s="35">
        <v>7</v>
      </c>
      <c r="B37" s="146" t="s">
        <v>66</v>
      </c>
      <c r="C37" s="147" t="s">
        <v>29</v>
      </c>
      <c r="D37" s="146" t="s">
        <v>158</v>
      </c>
      <c r="E37" s="148">
        <v>26.33</v>
      </c>
      <c r="F37" s="148">
        <f>SUM(E37*30/1000)</f>
        <v>0.78989999999999994</v>
      </c>
      <c r="G37" s="148">
        <v>3134.93</v>
      </c>
      <c r="H37" s="95">
        <f t="shared" si="3"/>
        <v>2.4762812069999995</v>
      </c>
      <c r="I37" s="13">
        <f t="shared" ref="I37:I40" si="4">F37/6*G37</f>
        <v>412.71353449999992</v>
      </c>
      <c r="J37" s="24"/>
      <c r="K37" s="8"/>
      <c r="L37" s="8"/>
      <c r="M37" s="8"/>
    </row>
    <row r="38" spans="1:13" ht="15.75" customHeight="1">
      <c r="A38" s="35">
        <v>8</v>
      </c>
      <c r="B38" s="34" t="s">
        <v>165</v>
      </c>
      <c r="C38" s="40" t="s">
        <v>29</v>
      </c>
      <c r="D38" s="34" t="s">
        <v>159</v>
      </c>
      <c r="E38" s="121">
        <v>26.33</v>
      </c>
      <c r="F38" s="148">
        <f>SUM(E38*155/1000)</f>
        <v>4.0811500000000001</v>
      </c>
      <c r="G38" s="121">
        <v>522.92999999999995</v>
      </c>
      <c r="H38" s="95">
        <f t="shared" si="3"/>
        <v>2.1341557694999995</v>
      </c>
      <c r="I38" s="13">
        <f t="shared" si="4"/>
        <v>355.69262824999993</v>
      </c>
      <c r="J38" s="24"/>
      <c r="K38" s="8"/>
      <c r="L38" s="8"/>
      <c r="M38" s="8"/>
    </row>
    <row r="39" spans="1:13" ht="47.25" hidden="1" customHeight="1">
      <c r="A39" s="35">
        <v>9</v>
      </c>
      <c r="B39" s="34" t="s">
        <v>166</v>
      </c>
      <c r="C39" s="40" t="s">
        <v>167</v>
      </c>
      <c r="D39" s="34"/>
      <c r="E39" s="121"/>
      <c r="F39" s="148">
        <v>39</v>
      </c>
      <c r="G39" s="121">
        <v>330</v>
      </c>
      <c r="H39" s="95"/>
      <c r="I39" s="13"/>
      <c r="J39" s="24"/>
      <c r="K39" s="8"/>
      <c r="L39" s="8"/>
      <c r="M39" s="8"/>
    </row>
    <row r="40" spans="1:13" ht="32.25" customHeight="1">
      <c r="A40" s="35">
        <v>9</v>
      </c>
      <c r="B40" s="34" t="s">
        <v>168</v>
      </c>
      <c r="C40" s="40" t="s">
        <v>95</v>
      </c>
      <c r="D40" s="34" t="s">
        <v>174</v>
      </c>
      <c r="E40" s="121">
        <v>26.33</v>
      </c>
      <c r="F40" s="148">
        <f>SUM(E40*35/1000)</f>
        <v>0.92154999999999998</v>
      </c>
      <c r="G40" s="121">
        <v>8652.07</v>
      </c>
      <c r="H40" s="95">
        <f t="shared" si="3"/>
        <v>7.9733151084999996</v>
      </c>
      <c r="I40" s="13">
        <f t="shared" si="4"/>
        <v>1328.8858514166666</v>
      </c>
      <c r="J40" s="24"/>
      <c r="K40" s="8"/>
      <c r="L40" s="8"/>
      <c r="M40" s="8"/>
    </row>
    <row r="41" spans="1:13" ht="15.75" hidden="1" customHeight="1">
      <c r="A41" s="35">
        <v>11</v>
      </c>
      <c r="B41" s="34" t="s">
        <v>100</v>
      </c>
      <c r="C41" s="40" t="s">
        <v>95</v>
      </c>
      <c r="D41" s="34" t="s">
        <v>169</v>
      </c>
      <c r="E41" s="121">
        <v>90.4</v>
      </c>
      <c r="F41" s="148">
        <f>SUM(E41*15/1000)</f>
        <v>1.3560000000000001</v>
      </c>
      <c r="G41" s="121">
        <v>639.1</v>
      </c>
      <c r="H41" s="95">
        <f t="shared" si="3"/>
        <v>0.86661960000000016</v>
      </c>
      <c r="I41" s="13">
        <f>(F41/7.5*1.5)*G41</f>
        <v>173.32392000000002</v>
      </c>
      <c r="J41" s="24"/>
      <c r="K41" s="8"/>
      <c r="L41" s="8"/>
      <c r="M41" s="8"/>
    </row>
    <row r="42" spans="1:13" ht="15.75" hidden="1" customHeight="1">
      <c r="A42" s="144"/>
      <c r="B42" s="146" t="s">
        <v>70</v>
      </c>
      <c r="C42" s="147" t="s">
        <v>32</v>
      </c>
      <c r="D42" s="146"/>
      <c r="E42" s="129"/>
      <c r="F42" s="148">
        <v>0.6</v>
      </c>
      <c r="G42" s="148">
        <v>900</v>
      </c>
      <c r="H42" s="143">
        <f t="shared" si="3"/>
        <v>0.54</v>
      </c>
      <c r="I42" s="123">
        <f>(F42/7.5*1.5)*G42</f>
        <v>108</v>
      </c>
      <c r="J42" s="24"/>
      <c r="K42" s="8"/>
      <c r="L42" s="8"/>
      <c r="M42" s="8"/>
    </row>
    <row r="43" spans="1:13" ht="29.25" customHeight="1">
      <c r="A43" s="144">
        <v>10</v>
      </c>
      <c r="B43" s="34" t="s">
        <v>170</v>
      </c>
      <c r="C43" s="40" t="s">
        <v>29</v>
      </c>
      <c r="D43" s="34" t="s">
        <v>154</v>
      </c>
      <c r="E43" s="120">
        <v>1.2</v>
      </c>
      <c r="F43" s="121">
        <f>E43*12/1000</f>
        <v>1.4399999999999998E-2</v>
      </c>
      <c r="G43" s="121">
        <v>20547.34</v>
      </c>
      <c r="H43" s="13"/>
      <c r="I43" s="13">
        <f>G43*F43/6</f>
        <v>49.313615999999996</v>
      </c>
      <c r="J43" s="24"/>
      <c r="K43" s="8"/>
      <c r="L43" s="8"/>
      <c r="M43" s="8"/>
    </row>
    <row r="44" spans="1:13" ht="15.75" hidden="1" customHeight="1">
      <c r="A44" s="206" t="s">
        <v>126</v>
      </c>
      <c r="B44" s="207"/>
      <c r="C44" s="207"/>
      <c r="D44" s="207"/>
      <c r="E44" s="207"/>
      <c r="F44" s="207"/>
      <c r="G44" s="207"/>
      <c r="H44" s="207"/>
      <c r="I44" s="208"/>
      <c r="J44" s="24"/>
      <c r="K44" s="8"/>
      <c r="L44" s="8"/>
      <c r="M44" s="8"/>
    </row>
    <row r="45" spans="1:13" ht="15.75" hidden="1" customHeight="1">
      <c r="A45" s="41">
        <v>15</v>
      </c>
      <c r="B45" s="91" t="s">
        <v>101</v>
      </c>
      <c r="C45" s="92" t="s">
        <v>95</v>
      </c>
      <c r="D45" s="91" t="s">
        <v>42</v>
      </c>
      <c r="E45" s="93">
        <v>965.8</v>
      </c>
      <c r="F45" s="94">
        <f>SUM(E45*2/1000)</f>
        <v>1.9316</v>
      </c>
      <c r="G45" s="13">
        <v>849.49</v>
      </c>
      <c r="H45" s="95">
        <f t="shared" ref="H45:H54" si="5">SUM(F45*G45/1000)</f>
        <v>1.640874884</v>
      </c>
      <c r="I45" s="13">
        <v>0</v>
      </c>
      <c r="J45" s="24"/>
      <c r="K45" s="8"/>
    </row>
    <row r="46" spans="1:13" ht="15.75" hidden="1" customHeight="1">
      <c r="A46" s="41">
        <v>16</v>
      </c>
      <c r="B46" s="91" t="s">
        <v>35</v>
      </c>
      <c r="C46" s="92" t="s">
        <v>95</v>
      </c>
      <c r="D46" s="91" t="s">
        <v>42</v>
      </c>
      <c r="E46" s="93">
        <v>36</v>
      </c>
      <c r="F46" s="94">
        <f>SUM(E46*2/1000)</f>
        <v>7.1999999999999995E-2</v>
      </c>
      <c r="G46" s="13">
        <v>579.48</v>
      </c>
      <c r="H46" s="95">
        <f t="shared" si="5"/>
        <v>4.1722559999999999E-2</v>
      </c>
      <c r="I46" s="13">
        <v>0</v>
      </c>
      <c r="J46" s="25"/>
    </row>
    <row r="47" spans="1:13" ht="15.75" hidden="1" customHeight="1">
      <c r="A47" s="41">
        <v>17</v>
      </c>
      <c r="B47" s="91" t="s">
        <v>36</v>
      </c>
      <c r="C47" s="92" t="s">
        <v>95</v>
      </c>
      <c r="D47" s="91" t="s">
        <v>42</v>
      </c>
      <c r="E47" s="93">
        <v>1197.7</v>
      </c>
      <c r="F47" s="94">
        <f>SUM(E47*2/1000)</f>
        <v>2.3954</v>
      </c>
      <c r="G47" s="13">
        <v>579.48</v>
      </c>
      <c r="H47" s="95">
        <f t="shared" si="5"/>
        <v>1.3880863919999999</v>
      </c>
      <c r="I47" s="13">
        <v>0</v>
      </c>
      <c r="J47" s="25"/>
    </row>
    <row r="48" spans="1:13" ht="15.75" hidden="1" customHeight="1">
      <c r="A48" s="41"/>
      <c r="B48" s="91" t="s">
        <v>37</v>
      </c>
      <c r="C48" s="92" t="s">
        <v>95</v>
      </c>
      <c r="D48" s="91" t="s">
        <v>42</v>
      </c>
      <c r="E48" s="93">
        <v>2275.92</v>
      </c>
      <c r="F48" s="94">
        <f>SUM(E48*2/1000)</f>
        <v>4.5518400000000003</v>
      </c>
      <c r="G48" s="13">
        <v>606.77</v>
      </c>
      <c r="H48" s="95">
        <f t="shared" si="5"/>
        <v>2.7619199567999999</v>
      </c>
      <c r="I48" s="13">
        <v>0</v>
      </c>
      <c r="J48" s="25"/>
    </row>
    <row r="49" spans="1:14" ht="15.75" hidden="1" customHeight="1">
      <c r="A49" s="41">
        <v>18</v>
      </c>
      <c r="B49" s="91" t="s">
        <v>33</v>
      </c>
      <c r="C49" s="92" t="s">
        <v>34</v>
      </c>
      <c r="D49" s="91" t="s">
        <v>42</v>
      </c>
      <c r="E49" s="93">
        <v>81.709999999999994</v>
      </c>
      <c r="F49" s="94">
        <f>SUM(E49*2/100)</f>
        <v>1.6341999999999999</v>
      </c>
      <c r="G49" s="13">
        <v>68.56</v>
      </c>
      <c r="H49" s="95">
        <f t="shared" si="5"/>
        <v>0.11204075199999999</v>
      </c>
      <c r="I49" s="13">
        <v>0</v>
      </c>
      <c r="J49" s="25"/>
    </row>
    <row r="50" spans="1:14" ht="15.75" hidden="1" customHeight="1">
      <c r="A50" s="41">
        <v>14</v>
      </c>
      <c r="B50" s="91" t="s">
        <v>56</v>
      </c>
      <c r="C50" s="92" t="s">
        <v>95</v>
      </c>
      <c r="D50" s="91" t="s">
        <v>130</v>
      </c>
      <c r="E50" s="93">
        <v>1711.8</v>
      </c>
      <c r="F50" s="94">
        <f>SUM(E50*5/1000)</f>
        <v>8.5589999999999993</v>
      </c>
      <c r="G50" s="13">
        <v>1213.55</v>
      </c>
      <c r="H50" s="95">
        <f t="shared" si="5"/>
        <v>10.386774449999999</v>
      </c>
      <c r="I50" s="13">
        <f>F50/5*G50</f>
        <v>2077.3548899999996</v>
      </c>
      <c r="J50" s="25"/>
    </row>
    <row r="51" spans="1:14" ht="31.5" hidden="1" customHeight="1">
      <c r="A51" s="41">
        <v>14</v>
      </c>
      <c r="B51" s="91" t="s">
        <v>102</v>
      </c>
      <c r="C51" s="92" t="s">
        <v>95</v>
      </c>
      <c r="D51" s="91" t="s">
        <v>42</v>
      </c>
      <c r="E51" s="93">
        <v>1711.8</v>
      </c>
      <c r="F51" s="94">
        <f>SUM(E51*2/1000)</f>
        <v>3.4236</v>
      </c>
      <c r="G51" s="13">
        <v>1213.55</v>
      </c>
      <c r="H51" s="95">
        <f t="shared" si="5"/>
        <v>4.1547097800000001</v>
      </c>
      <c r="I51" s="13">
        <f>F51/2*G51</f>
        <v>2077.3548900000001</v>
      </c>
      <c r="J51" s="25"/>
    </row>
    <row r="52" spans="1:14" ht="31.5" hidden="1" customHeight="1">
      <c r="A52" s="41">
        <v>15</v>
      </c>
      <c r="B52" s="91" t="s">
        <v>103</v>
      </c>
      <c r="C52" s="92" t="s">
        <v>38</v>
      </c>
      <c r="D52" s="91" t="s">
        <v>42</v>
      </c>
      <c r="E52" s="93">
        <v>15</v>
      </c>
      <c r="F52" s="94">
        <f>SUM(E52*2/100)</f>
        <v>0.3</v>
      </c>
      <c r="G52" s="13">
        <v>2730.49</v>
      </c>
      <c r="H52" s="95">
        <f t="shared" si="5"/>
        <v>0.81914699999999996</v>
      </c>
      <c r="I52" s="13">
        <f t="shared" ref="I52:I53" si="6">F52/2*G52</f>
        <v>409.57349999999997</v>
      </c>
      <c r="J52" s="25"/>
    </row>
    <row r="53" spans="1:14" ht="15.75" hidden="1" customHeight="1">
      <c r="A53" s="41">
        <v>16</v>
      </c>
      <c r="B53" s="91" t="s">
        <v>39</v>
      </c>
      <c r="C53" s="92" t="s">
        <v>40</v>
      </c>
      <c r="D53" s="91" t="s">
        <v>42</v>
      </c>
      <c r="E53" s="93">
        <v>1</v>
      </c>
      <c r="F53" s="94">
        <v>0.02</v>
      </c>
      <c r="G53" s="13">
        <v>5322.15</v>
      </c>
      <c r="H53" s="95">
        <f t="shared" si="5"/>
        <v>0.106443</v>
      </c>
      <c r="I53" s="13">
        <f t="shared" si="6"/>
        <v>53.221499999999999</v>
      </c>
      <c r="J53" s="25"/>
      <c r="L53" s="21"/>
      <c r="M53" s="22"/>
      <c r="N53" s="23"/>
    </row>
    <row r="54" spans="1:14" ht="15.75" hidden="1" customHeight="1">
      <c r="A54" s="41">
        <v>15</v>
      </c>
      <c r="B54" s="91" t="s">
        <v>41</v>
      </c>
      <c r="C54" s="92" t="s">
        <v>82</v>
      </c>
      <c r="D54" s="91" t="s">
        <v>71</v>
      </c>
      <c r="E54" s="93">
        <v>90</v>
      </c>
      <c r="F54" s="94">
        <f>SUM(E54)*3</f>
        <v>270</v>
      </c>
      <c r="G54" s="13">
        <v>65.67</v>
      </c>
      <c r="H54" s="95">
        <f t="shared" si="5"/>
        <v>17.730900000000002</v>
      </c>
      <c r="I54" s="13">
        <f>E54*G54</f>
        <v>5910.3</v>
      </c>
      <c r="J54" s="25"/>
      <c r="L54" s="21"/>
      <c r="M54" s="22"/>
      <c r="N54" s="23"/>
    </row>
    <row r="55" spans="1:14" ht="15.75" customHeight="1">
      <c r="A55" s="206" t="s">
        <v>137</v>
      </c>
      <c r="B55" s="207"/>
      <c r="C55" s="207"/>
      <c r="D55" s="207"/>
      <c r="E55" s="207"/>
      <c r="F55" s="207"/>
      <c r="G55" s="207"/>
      <c r="H55" s="207"/>
      <c r="I55" s="208"/>
      <c r="J55" s="25"/>
      <c r="L55" s="21"/>
      <c r="M55" s="22"/>
      <c r="N55" s="23"/>
    </row>
    <row r="56" spans="1:14" ht="15.75" customHeight="1">
      <c r="A56" s="53"/>
      <c r="B56" s="48" t="s">
        <v>43</v>
      </c>
      <c r="C56" s="17"/>
      <c r="D56" s="16"/>
      <c r="E56" s="16"/>
      <c r="F56" s="16"/>
      <c r="G56" s="31"/>
      <c r="H56" s="31"/>
      <c r="I56" s="19"/>
      <c r="J56" s="25"/>
      <c r="L56" s="21"/>
      <c r="M56" s="22"/>
      <c r="N56" s="23"/>
    </row>
    <row r="57" spans="1:14" ht="39" hidden="1" customHeight="1">
      <c r="A57" s="41">
        <v>12</v>
      </c>
      <c r="B57" s="91" t="s">
        <v>104</v>
      </c>
      <c r="C57" s="92" t="s">
        <v>85</v>
      </c>
      <c r="D57" s="91"/>
      <c r="E57" s="93">
        <v>96.58</v>
      </c>
      <c r="F57" s="94">
        <f>SUM(E57*6/100)</f>
        <v>5.7948000000000004</v>
      </c>
      <c r="G57" s="13">
        <v>1547.28</v>
      </c>
      <c r="H57" s="95">
        <f>SUM(F57*G57/1000)</f>
        <v>8.9661781440000006</v>
      </c>
      <c r="I57" s="13">
        <f>G57*0.312</f>
        <v>482.75135999999998</v>
      </c>
      <c r="J57" s="25"/>
      <c r="L57" s="21"/>
      <c r="M57" s="22"/>
      <c r="N57" s="23"/>
    </row>
    <row r="58" spans="1:14" ht="39" customHeight="1">
      <c r="A58" s="41">
        <v>11</v>
      </c>
      <c r="B58" s="34" t="s">
        <v>190</v>
      </c>
      <c r="C58" s="40" t="s">
        <v>85</v>
      </c>
      <c r="D58" s="34"/>
      <c r="E58" s="120">
        <v>50.2</v>
      </c>
      <c r="F58" s="121">
        <f>E58*12/100</f>
        <v>6.0240000000000009</v>
      </c>
      <c r="G58" s="68">
        <v>2306.83</v>
      </c>
      <c r="H58" s="84"/>
      <c r="I58" s="13">
        <f>G58*F58/6</f>
        <v>2316.0573200000003</v>
      </c>
      <c r="J58" s="25"/>
      <c r="L58" s="21"/>
      <c r="M58" s="22"/>
      <c r="N58" s="23"/>
    </row>
    <row r="59" spans="1:14" ht="18.75" customHeight="1">
      <c r="A59" s="41">
        <v>12</v>
      </c>
      <c r="B59" s="34" t="s">
        <v>134</v>
      </c>
      <c r="C59" s="40" t="s">
        <v>135</v>
      </c>
      <c r="D59" s="34" t="s">
        <v>214</v>
      </c>
      <c r="E59" s="120"/>
      <c r="F59" s="122">
        <v>10</v>
      </c>
      <c r="G59" s="37">
        <v>1800</v>
      </c>
      <c r="H59" s="84"/>
      <c r="I59" s="13">
        <f>G59*1</f>
        <v>1800</v>
      </c>
      <c r="J59" s="25"/>
      <c r="L59" s="21"/>
      <c r="M59" s="22"/>
      <c r="N59" s="23"/>
    </row>
    <row r="60" spans="1:14" ht="15.75" customHeight="1">
      <c r="A60" s="41"/>
      <c r="B60" s="67" t="s">
        <v>44</v>
      </c>
      <c r="C60" s="40"/>
      <c r="D60" s="34"/>
      <c r="E60" s="19"/>
      <c r="F60" s="85"/>
      <c r="G60" s="37"/>
      <c r="H60" s="68"/>
      <c r="I60" s="20"/>
      <c r="J60" s="25"/>
      <c r="L60" s="21"/>
      <c r="M60" s="22"/>
      <c r="N60" s="23"/>
    </row>
    <row r="61" spans="1:14" ht="15.75" hidden="1" customHeight="1">
      <c r="A61" s="41"/>
      <c r="B61" s="91" t="s">
        <v>45</v>
      </c>
      <c r="C61" s="92" t="s">
        <v>85</v>
      </c>
      <c r="D61" s="91" t="s">
        <v>54</v>
      </c>
      <c r="E61" s="93">
        <v>855.9</v>
      </c>
      <c r="F61" s="95">
        <v>8.6</v>
      </c>
      <c r="G61" s="13">
        <v>747.3</v>
      </c>
      <c r="H61" s="98">
        <v>6.4</v>
      </c>
      <c r="I61" s="13">
        <v>0</v>
      </c>
      <c r="J61" s="25"/>
      <c r="L61" s="21"/>
      <c r="M61" s="22"/>
      <c r="N61" s="23"/>
    </row>
    <row r="62" spans="1:14" ht="15.75" customHeight="1">
      <c r="A62" s="41">
        <v>13</v>
      </c>
      <c r="B62" s="91" t="s">
        <v>83</v>
      </c>
      <c r="C62" s="92" t="s">
        <v>25</v>
      </c>
      <c r="D62" s="91" t="s">
        <v>156</v>
      </c>
      <c r="E62" s="93">
        <v>256</v>
      </c>
      <c r="F62" s="95">
        <f>E62*12</f>
        <v>3072</v>
      </c>
      <c r="G62" s="13">
        <v>1.4</v>
      </c>
      <c r="H62" s="98">
        <f>F62*G62/1000</f>
        <v>4.3007999999999988</v>
      </c>
      <c r="I62" s="13">
        <f>1560/12*G62</f>
        <v>182</v>
      </c>
      <c r="J62" s="25"/>
      <c r="L62" s="21"/>
      <c r="M62" s="22"/>
      <c r="N62" s="23"/>
    </row>
    <row r="63" spans="1:14" ht="15.75" hidden="1" customHeight="1">
      <c r="A63" s="41"/>
      <c r="B63" s="67" t="s">
        <v>121</v>
      </c>
      <c r="C63" s="40"/>
      <c r="D63" s="34"/>
      <c r="E63" s="19"/>
      <c r="F63" s="85"/>
      <c r="G63" s="69"/>
      <c r="H63" s="68"/>
      <c r="I63" s="20"/>
      <c r="J63" s="25"/>
      <c r="L63" s="21"/>
      <c r="M63" s="22"/>
      <c r="N63" s="23"/>
    </row>
    <row r="64" spans="1:14" ht="15.75" hidden="1" customHeight="1">
      <c r="A64" s="41"/>
      <c r="B64" s="91" t="s">
        <v>122</v>
      </c>
      <c r="C64" s="92" t="s">
        <v>82</v>
      </c>
      <c r="D64" s="91" t="s">
        <v>65</v>
      </c>
      <c r="E64" s="93">
        <v>2</v>
      </c>
      <c r="F64" s="94">
        <f>SUM(E64)</f>
        <v>2</v>
      </c>
      <c r="G64" s="99">
        <v>237.75</v>
      </c>
      <c r="H64" s="95">
        <f t="shared" ref="H64" si="7">SUM(F64*G64/1000)</f>
        <v>0.47549999999999998</v>
      </c>
      <c r="I64" s="13">
        <v>0</v>
      </c>
      <c r="J64" s="25"/>
      <c r="L64" s="21"/>
      <c r="M64" s="22"/>
      <c r="N64" s="23"/>
    </row>
    <row r="65" spans="1:14" ht="15.75" hidden="1" customHeight="1">
      <c r="A65" s="41"/>
      <c r="B65" s="75" t="s">
        <v>46</v>
      </c>
      <c r="C65" s="17"/>
      <c r="D65" s="16"/>
      <c r="E65" s="16"/>
      <c r="F65" s="86"/>
      <c r="G65" s="65"/>
      <c r="H65" s="68"/>
      <c r="I65" s="19"/>
      <c r="J65" s="25"/>
      <c r="L65" s="21"/>
      <c r="M65" s="22"/>
      <c r="N65" s="23"/>
    </row>
    <row r="66" spans="1:14" ht="15.75" hidden="1" customHeight="1">
      <c r="A66" s="41">
        <v>23</v>
      </c>
      <c r="B66" s="15" t="s">
        <v>47</v>
      </c>
      <c r="C66" s="17" t="s">
        <v>82</v>
      </c>
      <c r="D66" s="91" t="s">
        <v>65</v>
      </c>
      <c r="E66" s="19">
        <v>10</v>
      </c>
      <c r="F66" s="94">
        <v>10</v>
      </c>
      <c r="G66" s="13">
        <v>222.4</v>
      </c>
      <c r="H66" s="100">
        <f t="shared" ref="H66:H73" si="8">SUM(F66*G66/1000)</f>
        <v>2.2240000000000002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29</v>
      </c>
      <c r="B67" s="15" t="s">
        <v>48</v>
      </c>
      <c r="C67" s="17" t="s">
        <v>82</v>
      </c>
      <c r="D67" s="91" t="s">
        <v>65</v>
      </c>
      <c r="E67" s="19">
        <v>5</v>
      </c>
      <c r="F67" s="94">
        <v>5</v>
      </c>
      <c r="G67" s="13">
        <v>75.25</v>
      </c>
      <c r="H67" s="100">
        <f t="shared" si="8"/>
        <v>0.37624999999999997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8</v>
      </c>
      <c r="B68" s="15" t="s">
        <v>49</v>
      </c>
      <c r="C68" s="17" t="s">
        <v>106</v>
      </c>
      <c r="D68" s="15" t="s">
        <v>54</v>
      </c>
      <c r="E68" s="93">
        <v>13018</v>
      </c>
      <c r="F68" s="13">
        <f>SUM(E68/100)</f>
        <v>130.18</v>
      </c>
      <c r="G68" s="13">
        <v>212.15</v>
      </c>
      <c r="H68" s="100">
        <f t="shared" si="8"/>
        <v>27.617687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9</v>
      </c>
      <c r="B69" s="15" t="s">
        <v>50</v>
      </c>
      <c r="C69" s="17" t="s">
        <v>107</v>
      </c>
      <c r="D69" s="15"/>
      <c r="E69" s="93">
        <v>13018</v>
      </c>
      <c r="F69" s="13">
        <f>SUM(E69/1000)</f>
        <v>13.018000000000001</v>
      </c>
      <c r="G69" s="13">
        <v>165.21</v>
      </c>
      <c r="H69" s="100">
        <f t="shared" si="8"/>
        <v>2.1507037800000002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10</v>
      </c>
      <c r="B70" s="15" t="s">
        <v>51</v>
      </c>
      <c r="C70" s="17" t="s">
        <v>76</v>
      </c>
      <c r="D70" s="15" t="s">
        <v>54</v>
      </c>
      <c r="E70" s="93">
        <v>1279</v>
      </c>
      <c r="F70" s="13">
        <f>SUM(E70/100)</f>
        <v>12.79</v>
      </c>
      <c r="G70" s="13">
        <v>2074.63</v>
      </c>
      <c r="H70" s="100">
        <f t="shared" si="8"/>
        <v>26.534517700000002</v>
      </c>
      <c r="I70" s="13">
        <v>0</v>
      </c>
      <c r="J70" s="25"/>
      <c r="L70" s="21"/>
      <c r="M70" s="22"/>
      <c r="N70" s="23"/>
    </row>
    <row r="71" spans="1:14" ht="15.75" hidden="1" customHeight="1">
      <c r="A71" s="31">
        <v>11</v>
      </c>
      <c r="B71" s="101" t="s">
        <v>108</v>
      </c>
      <c r="C71" s="17" t="s">
        <v>32</v>
      </c>
      <c r="D71" s="15"/>
      <c r="E71" s="93">
        <v>12</v>
      </c>
      <c r="F71" s="13">
        <f>SUM(E71)</f>
        <v>12</v>
      </c>
      <c r="G71" s="13">
        <v>45.32</v>
      </c>
      <c r="H71" s="100">
        <f t="shared" si="8"/>
        <v>0.54383999999999999</v>
      </c>
      <c r="I71" s="13">
        <v>0</v>
      </c>
      <c r="J71" s="25"/>
      <c r="L71" s="21"/>
      <c r="M71" s="22"/>
      <c r="N71" s="23"/>
    </row>
    <row r="72" spans="1:14" ht="15.75" hidden="1" customHeight="1">
      <c r="A72" s="31">
        <v>12</v>
      </c>
      <c r="B72" s="101" t="s">
        <v>109</v>
      </c>
      <c r="C72" s="17" t="s">
        <v>32</v>
      </c>
      <c r="D72" s="15"/>
      <c r="E72" s="93">
        <v>12</v>
      </c>
      <c r="F72" s="13">
        <f>SUM(E72)</f>
        <v>12</v>
      </c>
      <c r="G72" s="13">
        <v>42.28</v>
      </c>
      <c r="H72" s="100">
        <f t="shared" si="8"/>
        <v>0.50736000000000003</v>
      </c>
      <c r="I72" s="13">
        <v>0</v>
      </c>
      <c r="J72" s="25"/>
      <c r="L72" s="21"/>
      <c r="M72" s="22"/>
      <c r="N72" s="23"/>
    </row>
    <row r="73" spans="1:14" ht="15.75" hidden="1" customHeight="1">
      <c r="A73" s="31">
        <v>13</v>
      </c>
      <c r="B73" s="15" t="s">
        <v>57</v>
      </c>
      <c r="C73" s="17" t="s">
        <v>58</v>
      </c>
      <c r="D73" s="15" t="s">
        <v>54</v>
      </c>
      <c r="E73" s="19">
        <v>1</v>
      </c>
      <c r="F73" s="94">
        <f>SUM(E73)</f>
        <v>1</v>
      </c>
      <c r="G73" s="13">
        <v>49.88</v>
      </c>
      <c r="H73" s="100">
        <f t="shared" si="8"/>
        <v>4.9880000000000001E-2</v>
      </c>
      <c r="I73" s="13">
        <v>0</v>
      </c>
      <c r="J73" s="25"/>
      <c r="L73" s="21"/>
      <c r="M73" s="22"/>
      <c r="N73" s="23"/>
    </row>
    <row r="74" spans="1:14" ht="15.75" hidden="1" customHeight="1">
      <c r="A74" s="53"/>
      <c r="B74" s="75" t="s">
        <v>110</v>
      </c>
      <c r="C74" s="75"/>
      <c r="D74" s="75"/>
      <c r="E74" s="75"/>
      <c r="F74" s="75"/>
      <c r="G74" s="75"/>
      <c r="H74" s="75"/>
      <c r="I74" s="19"/>
      <c r="J74" s="25"/>
      <c r="L74" s="21"/>
      <c r="M74" s="22"/>
      <c r="N74" s="23"/>
    </row>
    <row r="75" spans="1:14" ht="15.75" hidden="1" customHeight="1">
      <c r="A75" s="31">
        <v>16</v>
      </c>
      <c r="B75" s="91" t="s">
        <v>111</v>
      </c>
      <c r="C75" s="17"/>
      <c r="D75" s="15"/>
      <c r="E75" s="85"/>
      <c r="F75" s="13">
        <v>1</v>
      </c>
      <c r="G75" s="13">
        <v>10041.700000000001</v>
      </c>
      <c r="H75" s="100">
        <f>G75*F75/1000</f>
        <v>10.041700000000001</v>
      </c>
      <c r="I75" s="13">
        <f>G75</f>
        <v>10041.700000000001</v>
      </c>
      <c r="J75" s="25"/>
      <c r="L75" s="21"/>
      <c r="M75" s="22"/>
      <c r="N75" s="23"/>
    </row>
    <row r="76" spans="1:14" ht="15.75" hidden="1" customHeight="1">
      <c r="A76" s="31"/>
      <c r="B76" s="49" t="s">
        <v>72</v>
      </c>
      <c r="C76" s="49"/>
      <c r="D76" s="49"/>
      <c r="E76" s="19"/>
      <c r="F76" s="19"/>
      <c r="G76" s="31"/>
      <c r="H76" s="31"/>
      <c r="I76" s="19"/>
      <c r="J76" s="25"/>
      <c r="L76" s="21"/>
      <c r="M76" s="22"/>
      <c r="N76" s="23"/>
    </row>
    <row r="77" spans="1:14" ht="15.75" hidden="1" customHeight="1">
      <c r="A77" s="31">
        <v>19</v>
      </c>
      <c r="B77" s="15" t="s">
        <v>73</v>
      </c>
      <c r="C77" s="17" t="s">
        <v>74</v>
      </c>
      <c r="D77" s="15" t="s">
        <v>65</v>
      </c>
      <c r="E77" s="19">
        <v>5</v>
      </c>
      <c r="F77" s="13">
        <v>0.5</v>
      </c>
      <c r="G77" s="13">
        <v>501.62</v>
      </c>
      <c r="H77" s="100">
        <f t="shared" ref="H77:H79" si="9">SUM(F77*G77/1000)</f>
        <v>0.25080999999999998</v>
      </c>
      <c r="I77" s="13">
        <f>G77*0.1</f>
        <v>50.162000000000006</v>
      </c>
      <c r="J77" s="25"/>
      <c r="L77" s="21"/>
      <c r="M77" s="22"/>
      <c r="N77" s="23"/>
    </row>
    <row r="78" spans="1:14" ht="15.75" hidden="1" customHeight="1">
      <c r="A78" s="31"/>
      <c r="B78" s="15" t="s">
        <v>123</v>
      </c>
      <c r="C78" s="17" t="s">
        <v>82</v>
      </c>
      <c r="D78" s="15"/>
      <c r="E78" s="19">
        <v>1</v>
      </c>
      <c r="F78" s="84">
        <f>E78</f>
        <v>1</v>
      </c>
      <c r="G78" s="13">
        <v>852.99</v>
      </c>
      <c r="H78" s="100">
        <f t="shared" si="9"/>
        <v>0.85299000000000003</v>
      </c>
      <c r="I78" s="13">
        <v>0</v>
      </c>
      <c r="J78" s="25"/>
      <c r="L78" s="21"/>
      <c r="M78" s="22"/>
      <c r="N78" s="23"/>
    </row>
    <row r="79" spans="1:14" ht="15.75" hidden="1" customHeight="1">
      <c r="A79" s="31"/>
      <c r="B79" s="15" t="s">
        <v>124</v>
      </c>
      <c r="C79" s="17" t="s">
        <v>82</v>
      </c>
      <c r="D79" s="15"/>
      <c r="E79" s="19">
        <v>1</v>
      </c>
      <c r="F79" s="94">
        <f>SUM(E79)</f>
        <v>1</v>
      </c>
      <c r="G79" s="13">
        <v>358.51</v>
      </c>
      <c r="H79" s="100">
        <f t="shared" si="9"/>
        <v>0.35851</v>
      </c>
      <c r="I79" s="13">
        <v>0</v>
      </c>
      <c r="J79" s="25"/>
      <c r="L79" s="21"/>
      <c r="M79" s="22"/>
      <c r="N79" s="23"/>
    </row>
    <row r="80" spans="1:14" ht="15.75" hidden="1" customHeight="1">
      <c r="A80" s="31"/>
      <c r="B80" s="50" t="s">
        <v>75</v>
      </c>
      <c r="C80" s="38"/>
      <c r="D80" s="31"/>
      <c r="E80" s="19"/>
      <c r="F80" s="19"/>
      <c r="G80" s="37" t="s">
        <v>112</v>
      </c>
      <c r="H80" s="37"/>
      <c r="I80" s="19"/>
      <c r="J80" s="25"/>
      <c r="L80" s="21"/>
      <c r="M80" s="22"/>
      <c r="N80" s="23"/>
    </row>
    <row r="81" spans="1:21" ht="15.75" hidden="1" customHeight="1">
      <c r="A81" s="31">
        <v>12</v>
      </c>
      <c r="B81" s="52" t="s">
        <v>113</v>
      </c>
      <c r="C81" s="17" t="s">
        <v>76</v>
      </c>
      <c r="D81" s="15"/>
      <c r="E81" s="19"/>
      <c r="F81" s="13">
        <v>0.3</v>
      </c>
      <c r="G81" s="13">
        <v>2759.44</v>
      </c>
      <c r="H81" s="100">
        <f t="shared" ref="H81" si="10">SUM(F81*G81/1000)</f>
        <v>0.82783200000000001</v>
      </c>
      <c r="I81" s="13">
        <v>0</v>
      </c>
      <c r="J81" s="25"/>
      <c r="L81" s="21"/>
      <c r="M81" s="22"/>
      <c r="N81" s="23"/>
    </row>
    <row r="82" spans="1:21" ht="15.75" hidden="1" customHeight="1">
      <c r="A82" s="31"/>
      <c r="B82" s="126" t="s">
        <v>46</v>
      </c>
      <c r="C82" s="124"/>
      <c r="D82" s="125"/>
      <c r="E82" s="19"/>
      <c r="F82" s="13"/>
      <c r="G82" s="13"/>
      <c r="H82" s="13"/>
      <c r="I82" s="13"/>
      <c r="J82" s="25"/>
      <c r="L82" s="21"/>
      <c r="M82" s="22"/>
      <c r="N82" s="23"/>
    </row>
    <row r="83" spans="1:21" ht="15.75" hidden="1" customHeight="1">
      <c r="A83" s="31">
        <v>14</v>
      </c>
      <c r="B83" s="127" t="s">
        <v>47</v>
      </c>
      <c r="C83" s="38" t="s">
        <v>82</v>
      </c>
      <c r="D83" s="119" t="s">
        <v>154</v>
      </c>
      <c r="E83" s="19"/>
      <c r="F83" s="13"/>
      <c r="G83" s="37">
        <v>222.4</v>
      </c>
      <c r="H83" s="13"/>
      <c r="I83" s="13">
        <f>G83*2</f>
        <v>444.8</v>
      </c>
      <c r="J83" s="25"/>
      <c r="L83" s="21"/>
      <c r="M83" s="22"/>
      <c r="N83" s="23"/>
    </row>
    <row r="84" spans="1:21" ht="15.75" customHeight="1">
      <c r="A84" s="132"/>
      <c r="B84" s="135" t="s">
        <v>162</v>
      </c>
      <c r="C84" s="38"/>
      <c r="D84" s="119"/>
      <c r="E84" s="18"/>
      <c r="F84" s="68"/>
      <c r="G84" s="37"/>
      <c r="H84" s="133"/>
      <c r="I84" s="134"/>
      <c r="J84" s="25"/>
      <c r="L84" s="21"/>
      <c r="M84" s="22"/>
      <c r="N84" s="23"/>
    </row>
    <row r="85" spans="1:21" ht="33.75" customHeight="1">
      <c r="A85" s="132">
        <v>14</v>
      </c>
      <c r="B85" s="119" t="s">
        <v>163</v>
      </c>
      <c r="C85" s="41" t="s">
        <v>164</v>
      </c>
      <c r="D85" s="119"/>
      <c r="E85" s="18">
        <v>2581.1999999999998</v>
      </c>
      <c r="F85" s="37">
        <f>E85*12</f>
        <v>30974.399999999998</v>
      </c>
      <c r="G85" s="37">
        <v>2.6</v>
      </c>
      <c r="H85" s="133"/>
      <c r="I85" s="134">
        <f>G85*F85/12</f>
        <v>6711.12</v>
      </c>
      <c r="J85" s="25"/>
      <c r="L85" s="21"/>
      <c r="M85" s="22"/>
      <c r="N85" s="23"/>
    </row>
    <row r="86" spans="1:21" ht="15.75" customHeight="1">
      <c r="A86" s="31">
        <v>15</v>
      </c>
      <c r="B86" s="119" t="s">
        <v>171</v>
      </c>
      <c r="C86" s="38" t="s">
        <v>82</v>
      </c>
      <c r="D86" s="119" t="s">
        <v>155</v>
      </c>
      <c r="E86" s="18">
        <v>2</v>
      </c>
      <c r="F86" s="68">
        <f>E86*12</f>
        <v>24</v>
      </c>
      <c r="G86" s="37">
        <v>420</v>
      </c>
      <c r="H86" s="100"/>
      <c r="I86" s="13">
        <f>G86*2</f>
        <v>840</v>
      </c>
      <c r="J86" s="25"/>
      <c r="L86" s="21"/>
      <c r="M86" s="22"/>
      <c r="N86" s="23"/>
    </row>
    <row r="87" spans="1:21" ht="15.75" customHeight="1">
      <c r="A87" s="210" t="s">
        <v>138</v>
      </c>
      <c r="B87" s="211"/>
      <c r="C87" s="211"/>
      <c r="D87" s="211"/>
      <c r="E87" s="211"/>
      <c r="F87" s="211"/>
      <c r="G87" s="211"/>
      <c r="H87" s="211"/>
      <c r="I87" s="212"/>
      <c r="J87" s="25"/>
      <c r="L87" s="21"/>
      <c r="M87" s="22"/>
      <c r="N87" s="23"/>
    </row>
    <row r="88" spans="1:21" ht="15.75" customHeight="1">
      <c r="A88" s="31">
        <v>16</v>
      </c>
      <c r="B88" s="119" t="s">
        <v>114</v>
      </c>
      <c r="C88" s="38" t="s">
        <v>55</v>
      </c>
      <c r="D88" s="160"/>
      <c r="E88" s="37">
        <v>2581.1999999999998</v>
      </c>
      <c r="F88" s="37">
        <f>SUM(E88*12)</f>
        <v>30974.399999999998</v>
      </c>
      <c r="G88" s="37">
        <v>3.5</v>
      </c>
      <c r="H88" s="155">
        <f>SUM(F88*G88/1000)</f>
        <v>108.4104</v>
      </c>
      <c r="I88" s="156">
        <f>F88/12*G88</f>
        <v>9034.1999999999989</v>
      </c>
      <c r="J88" s="25"/>
      <c r="L88" s="21"/>
    </row>
    <row r="89" spans="1:21" ht="31.5" customHeight="1">
      <c r="A89" s="31">
        <v>17</v>
      </c>
      <c r="B89" s="157" t="s">
        <v>172</v>
      </c>
      <c r="C89" s="150" t="s">
        <v>55</v>
      </c>
      <c r="D89" s="158"/>
      <c r="E89" s="159">
        <f>E88</f>
        <v>2581.1999999999998</v>
      </c>
      <c r="F89" s="152">
        <f>E89*12</f>
        <v>30974.399999999998</v>
      </c>
      <c r="G89" s="152">
        <v>3.2</v>
      </c>
      <c r="H89" s="100">
        <f>F89*G89/1000</f>
        <v>99.118080000000006</v>
      </c>
      <c r="I89" s="13">
        <f>F89/12*G89</f>
        <v>8259.84</v>
      </c>
    </row>
    <row r="90" spans="1:21" ht="15.75" customHeight="1">
      <c r="A90" s="53"/>
      <c r="B90" s="39" t="s">
        <v>78</v>
      </c>
      <c r="C90" s="41"/>
      <c r="D90" s="16"/>
      <c r="E90" s="16"/>
      <c r="F90" s="16"/>
      <c r="G90" s="19"/>
      <c r="H90" s="19"/>
      <c r="I90" s="33">
        <f>I89+I88+I86+I85+I62+I59+I58+I40+I43+I38+I37+I36+I21+I20+I18+I17+I16</f>
        <v>40006.919220166666</v>
      </c>
    </row>
    <row r="91" spans="1:21" ht="15.75" customHeight="1">
      <c r="A91" s="213" t="s">
        <v>60</v>
      </c>
      <c r="B91" s="214"/>
      <c r="C91" s="214"/>
      <c r="D91" s="214"/>
      <c r="E91" s="214"/>
      <c r="F91" s="214"/>
      <c r="G91" s="214"/>
      <c r="H91" s="214"/>
      <c r="I91" s="215"/>
    </row>
    <row r="92" spans="1:21" ht="15.75" customHeight="1">
      <c r="A92" s="42">
        <v>18</v>
      </c>
      <c r="B92" s="117" t="s">
        <v>205</v>
      </c>
      <c r="C92" s="118" t="s">
        <v>29</v>
      </c>
      <c r="D92" s="66" t="s">
        <v>156</v>
      </c>
      <c r="E92" s="37"/>
      <c r="F92" s="37">
        <v>0.2</v>
      </c>
      <c r="G92" s="37">
        <v>1255.53</v>
      </c>
      <c r="H92" s="42"/>
      <c r="I92" s="175">
        <v>0</v>
      </c>
    </row>
    <row r="93" spans="1:21" ht="15.75" customHeight="1">
      <c r="A93" s="42">
        <v>19</v>
      </c>
      <c r="B93" s="117" t="s">
        <v>211</v>
      </c>
      <c r="C93" s="118" t="s">
        <v>181</v>
      </c>
      <c r="D93" s="66"/>
      <c r="E93" s="37"/>
      <c r="F93" s="37">
        <v>0.5</v>
      </c>
      <c r="G93" s="37">
        <v>672.88</v>
      </c>
      <c r="H93" s="42"/>
      <c r="I93" s="175">
        <f>G93*0.5</f>
        <v>336.44</v>
      </c>
    </row>
    <row r="94" spans="1:21" ht="15.75" customHeight="1">
      <c r="A94" s="42">
        <v>20</v>
      </c>
      <c r="B94" s="117" t="s">
        <v>212</v>
      </c>
      <c r="C94" s="118" t="s">
        <v>186</v>
      </c>
      <c r="D94" s="66" t="s">
        <v>213</v>
      </c>
      <c r="E94" s="37"/>
      <c r="F94" s="37">
        <v>1</v>
      </c>
      <c r="G94" s="37">
        <v>231.54</v>
      </c>
      <c r="H94" s="42"/>
      <c r="I94" s="42">
        <f>G94*1</f>
        <v>231.54</v>
      </c>
    </row>
    <row r="95" spans="1:21" ht="15.75" customHeight="1">
      <c r="A95" s="42">
        <v>21</v>
      </c>
      <c r="B95" s="117" t="s">
        <v>187</v>
      </c>
      <c r="C95" s="118" t="s">
        <v>150</v>
      </c>
      <c r="D95" s="66" t="s">
        <v>217</v>
      </c>
      <c r="E95" s="37"/>
      <c r="F95" s="37">
        <v>22</v>
      </c>
      <c r="G95" s="37">
        <v>295.36</v>
      </c>
      <c r="H95" s="42"/>
      <c r="I95" s="174">
        <v>0</v>
      </c>
    </row>
    <row r="96" spans="1:21" ht="15.75" customHeight="1">
      <c r="A96" s="31"/>
      <c r="B96" s="46" t="s">
        <v>52</v>
      </c>
      <c r="C96" s="42"/>
      <c r="D96" s="54"/>
      <c r="E96" s="42">
        <v>1</v>
      </c>
      <c r="F96" s="42"/>
      <c r="G96" s="42"/>
      <c r="H96" s="42"/>
      <c r="I96" s="33">
        <f>SUM(I92:I94)</f>
        <v>567.98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9" ht="15.75" customHeight="1">
      <c r="A97" s="31"/>
      <c r="B97" s="52" t="s">
        <v>77</v>
      </c>
      <c r="C97" s="16"/>
      <c r="D97" s="16"/>
      <c r="E97" s="43"/>
      <c r="F97" s="43"/>
      <c r="G97" s="44"/>
      <c r="H97" s="44"/>
      <c r="I97" s="18">
        <v>0</v>
      </c>
    </row>
    <row r="98" spans="1:9" ht="15.75" customHeight="1">
      <c r="A98" s="55"/>
      <c r="B98" s="47" t="s">
        <v>131</v>
      </c>
      <c r="C98" s="36"/>
      <c r="D98" s="36"/>
      <c r="E98" s="36"/>
      <c r="F98" s="36"/>
      <c r="G98" s="36"/>
      <c r="H98" s="36"/>
      <c r="I98" s="45">
        <f>I90+I96</f>
        <v>40574.89922016667</v>
      </c>
    </row>
    <row r="99" spans="1:9" ht="15.75" customHeight="1">
      <c r="A99" s="209" t="s">
        <v>215</v>
      </c>
      <c r="B99" s="209"/>
      <c r="C99" s="209"/>
      <c r="D99" s="209"/>
      <c r="E99" s="209"/>
      <c r="F99" s="209"/>
      <c r="G99" s="209"/>
      <c r="H99" s="209"/>
      <c r="I99" s="209"/>
    </row>
    <row r="100" spans="1:9" ht="15.75" customHeight="1">
      <c r="A100" s="77"/>
      <c r="B100" s="190" t="s">
        <v>216</v>
      </c>
      <c r="C100" s="190"/>
      <c r="D100" s="190"/>
      <c r="E100" s="190"/>
      <c r="F100" s="190"/>
      <c r="G100" s="190"/>
      <c r="H100" s="89"/>
      <c r="I100" s="3"/>
    </row>
    <row r="101" spans="1:9" ht="15.75" customHeight="1">
      <c r="A101" s="70"/>
      <c r="B101" s="191" t="s">
        <v>6</v>
      </c>
      <c r="C101" s="191"/>
      <c r="D101" s="191"/>
      <c r="E101" s="191"/>
      <c r="F101" s="191"/>
      <c r="G101" s="191"/>
      <c r="H101" s="26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92" t="s">
        <v>7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5.75" customHeight="1">
      <c r="A104" s="192" t="s">
        <v>8</v>
      </c>
      <c r="B104" s="192"/>
      <c r="C104" s="192"/>
      <c r="D104" s="192"/>
      <c r="E104" s="192"/>
      <c r="F104" s="192"/>
      <c r="G104" s="192"/>
      <c r="H104" s="192"/>
      <c r="I104" s="192"/>
    </row>
    <row r="105" spans="1:9" ht="15.75" customHeight="1">
      <c r="A105" s="195" t="s">
        <v>61</v>
      </c>
      <c r="B105" s="195"/>
      <c r="C105" s="195"/>
      <c r="D105" s="195"/>
      <c r="E105" s="195"/>
      <c r="F105" s="195"/>
      <c r="G105" s="195"/>
      <c r="H105" s="195"/>
      <c r="I105" s="195"/>
    </row>
    <row r="106" spans="1:9" ht="15.75" customHeight="1">
      <c r="A106" s="11"/>
    </row>
    <row r="107" spans="1:9" ht="15.75" customHeight="1">
      <c r="A107" s="196" t="s">
        <v>9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15.75" customHeight="1">
      <c r="A108" s="4"/>
    </row>
    <row r="109" spans="1:9" ht="15.75" customHeight="1">
      <c r="B109" s="73" t="s">
        <v>10</v>
      </c>
      <c r="C109" s="197" t="s">
        <v>182</v>
      </c>
      <c r="D109" s="197"/>
      <c r="E109" s="197"/>
      <c r="F109" s="87"/>
      <c r="I109" s="72"/>
    </row>
    <row r="110" spans="1:9" ht="15.75" customHeight="1">
      <c r="A110" s="70"/>
      <c r="C110" s="191" t="s">
        <v>11</v>
      </c>
      <c r="D110" s="191"/>
      <c r="E110" s="191"/>
      <c r="F110" s="26"/>
      <c r="I110" s="71" t="s">
        <v>12</v>
      </c>
    </row>
    <row r="111" spans="1:9" ht="15.75" customHeight="1">
      <c r="A111" s="27"/>
      <c r="C111" s="12"/>
      <c r="D111" s="12"/>
      <c r="G111" s="12"/>
      <c r="H111" s="12"/>
    </row>
    <row r="112" spans="1:9" ht="15.75" customHeight="1">
      <c r="B112" s="73" t="s">
        <v>13</v>
      </c>
      <c r="C112" s="198"/>
      <c r="D112" s="198"/>
      <c r="E112" s="198"/>
      <c r="F112" s="88"/>
      <c r="I112" s="72"/>
    </row>
    <row r="113" spans="1:9" ht="15.75" customHeight="1">
      <c r="A113" s="70"/>
      <c r="C113" s="194" t="s">
        <v>11</v>
      </c>
      <c r="D113" s="194"/>
      <c r="E113" s="194"/>
      <c r="F113" s="70"/>
      <c r="I113" s="71" t="s">
        <v>12</v>
      </c>
    </row>
    <row r="114" spans="1:9" ht="15.75" customHeight="1">
      <c r="A114" s="4" t="s">
        <v>14</v>
      </c>
    </row>
    <row r="115" spans="1:9">
      <c r="A115" s="193" t="s">
        <v>15</v>
      </c>
      <c r="B115" s="193"/>
      <c r="C115" s="193"/>
      <c r="D115" s="193"/>
      <c r="E115" s="193"/>
      <c r="F115" s="193"/>
      <c r="G115" s="193"/>
      <c r="H115" s="193"/>
      <c r="I115" s="193"/>
    </row>
    <row r="116" spans="1:9" ht="45" customHeight="1">
      <c r="A116" s="189" t="s">
        <v>16</v>
      </c>
      <c r="B116" s="189"/>
      <c r="C116" s="189"/>
      <c r="D116" s="189"/>
      <c r="E116" s="189"/>
      <c r="F116" s="189"/>
      <c r="G116" s="189"/>
      <c r="H116" s="189"/>
      <c r="I116" s="189"/>
    </row>
    <row r="117" spans="1:9" ht="30" customHeight="1">
      <c r="A117" s="189" t="s">
        <v>17</v>
      </c>
      <c r="B117" s="189"/>
      <c r="C117" s="189"/>
      <c r="D117" s="189"/>
      <c r="E117" s="189"/>
      <c r="F117" s="189"/>
      <c r="G117" s="189"/>
      <c r="H117" s="189"/>
      <c r="I117" s="189"/>
    </row>
    <row r="118" spans="1:9" ht="30" customHeight="1">
      <c r="A118" s="189" t="s">
        <v>21</v>
      </c>
      <c r="B118" s="189"/>
      <c r="C118" s="189"/>
      <c r="D118" s="189"/>
      <c r="E118" s="189"/>
      <c r="F118" s="189"/>
      <c r="G118" s="189"/>
      <c r="H118" s="189"/>
      <c r="I118" s="189"/>
    </row>
    <row r="119" spans="1:9" ht="15" customHeight="1">
      <c r="A119" s="189" t="s">
        <v>20</v>
      </c>
      <c r="B119" s="189"/>
      <c r="C119" s="189"/>
      <c r="D119" s="189"/>
      <c r="E119" s="189"/>
      <c r="F119" s="189"/>
      <c r="G119" s="189"/>
      <c r="H119" s="189"/>
      <c r="I119" s="189"/>
    </row>
  </sheetData>
  <autoFilter ref="I12:I90"/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8:I28"/>
    <mergeCell ref="A44:I44"/>
    <mergeCell ref="A55:I55"/>
    <mergeCell ref="A87:I87"/>
    <mergeCell ref="A91:I91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111"/>
  <sheetViews>
    <sheetView topLeftCell="A57" workbookViewId="0">
      <selection activeCell="B87" sqref="B87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139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218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44347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27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154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F18/18*G18*2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118</v>
      </c>
      <c r="E19" s="120">
        <v>18.48</v>
      </c>
      <c r="F19" s="121">
        <f>SUM(E19/10)</f>
        <v>1.8480000000000001</v>
      </c>
      <c r="G19" s="121">
        <v>253.7</v>
      </c>
      <c r="H19" s="95">
        <f t="shared" si="0"/>
        <v>0.46883760000000002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118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0"/>
        <v>1.0748556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118</v>
      </c>
      <c r="E23" s="145">
        <v>36</v>
      </c>
      <c r="F23" s="121">
        <f>SUM(E23/100)</f>
        <v>0.36</v>
      </c>
      <c r="G23" s="121">
        <v>66.03</v>
      </c>
      <c r="H23" s="95">
        <f t="shared" si="0"/>
        <v>2.3770800000000002E-2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119</v>
      </c>
      <c r="E24" s="120">
        <v>15</v>
      </c>
      <c r="F24" s="121">
        <f>E24/100</f>
        <v>0.15</v>
      </c>
      <c r="G24" s="121">
        <v>581.02</v>
      </c>
      <c r="H24" s="95">
        <f t="shared" si="0"/>
        <v>8.7152999999999994E-2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54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118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0"/>
        <v>4.9538147999999997E-2</v>
      </c>
      <c r="I26" s="13">
        <v>0</v>
      </c>
      <c r="J26" s="8"/>
      <c r="K26" s="8"/>
      <c r="L26" s="8"/>
      <c r="M26" s="8"/>
    </row>
    <row r="27" spans="1:13" ht="15.75" hidden="1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6</v>
      </c>
      <c r="B30" s="34" t="s">
        <v>94</v>
      </c>
      <c r="C30" s="40" t="s">
        <v>95</v>
      </c>
      <c r="D30" s="34" t="s">
        <v>175</v>
      </c>
      <c r="E30" s="121">
        <v>313</v>
      </c>
      <c r="F30" s="121">
        <f>SUM(E30*24/1000)</f>
        <v>7.5119999999999996</v>
      </c>
      <c r="G30" s="121">
        <v>232.4</v>
      </c>
      <c r="H30" s="95">
        <f t="shared" ref="H30:H32" si="1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7</v>
      </c>
      <c r="B31" s="34" t="s">
        <v>129</v>
      </c>
      <c r="C31" s="40" t="s">
        <v>95</v>
      </c>
      <c r="D31" s="34" t="s">
        <v>152</v>
      </c>
      <c r="E31" s="121">
        <v>26.33</v>
      </c>
      <c r="F31" s="121">
        <f>SUM(E31*78/1000)</f>
        <v>2.0537399999999999</v>
      </c>
      <c r="G31" s="121">
        <v>385.6</v>
      </c>
      <c r="H31" s="95">
        <f t="shared" si="1"/>
        <v>0.79192214400000005</v>
      </c>
      <c r="I31" s="13">
        <f t="shared" ref="I31" si="2">F31/6*G31</f>
        <v>131.98702399999999</v>
      </c>
      <c r="J31" s="24"/>
      <c r="K31" s="8"/>
      <c r="L31" s="8"/>
      <c r="M31" s="8"/>
    </row>
    <row r="32" spans="1:13" ht="15.75" customHeight="1">
      <c r="A32" s="41">
        <v>8</v>
      </c>
      <c r="B32" s="34" t="s">
        <v>27</v>
      </c>
      <c r="C32" s="40" t="s">
        <v>95</v>
      </c>
      <c r="D32" s="34" t="s">
        <v>156</v>
      </c>
      <c r="E32" s="121">
        <v>313</v>
      </c>
      <c r="F32" s="121">
        <f>SUM(E32/1000)</f>
        <v>0.313</v>
      </c>
      <c r="G32" s="121">
        <v>4502.97</v>
      </c>
      <c r="H32" s="95">
        <f t="shared" si="1"/>
        <v>1.4094296100000001</v>
      </c>
      <c r="I32" s="13">
        <f>F32*G32</f>
        <v>1409.4296100000001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3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4">SUM(F35*G35/1000)</f>
        <v>9.1632000000000016</v>
      </c>
      <c r="I35" s="13">
        <f t="shared" ref="I35:I40" si="5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120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4"/>
        <v>68.13378809999999</v>
      </c>
      <c r="I36" s="13">
        <f t="shared" si="5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99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4"/>
        <v>2.4464812499999997</v>
      </c>
      <c r="I37" s="13">
        <f t="shared" si="5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79</v>
      </c>
      <c r="C38" s="92" t="s">
        <v>95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4"/>
        <v>18.280331999999998</v>
      </c>
      <c r="I38" s="13">
        <f t="shared" si="5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100</v>
      </c>
      <c r="C39" s="92" t="s">
        <v>95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4"/>
        <v>0.86811749999999999</v>
      </c>
      <c r="I39" s="13">
        <f t="shared" si="5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4"/>
        <v>0.47879999999999995</v>
      </c>
      <c r="I40" s="13">
        <f t="shared" si="5"/>
        <v>79.8</v>
      </c>
      <c r="J40" s="24"/>
      <c r="K40" s="8"/>
      <c r="L40" s="8"/>
      <c r="M40" s="8"/>
    </row>
    <row r="41" spans="1:13" ht="15.75" customHeight="1">
      <c r="A41" s="206" t="s">
        <v>126</v>
      </c>
      <c r="B41" s="207"/>
      <c r="C41" s="207"/>
      <c r="D41" s="207"/>
      <c r="E41" s="207"/>
      <c r="F41" s="207"/>
      <c r="G41" s="207"/>
      <c r="H41" s="207"/>
      <c r="I41" s="208"/>
      <c r="J41" s="24"/>
      <c r="K41" s="8"/>
      <c r="L41" s="8"/>
      <c r="M41" s="8"/>
    </row>
    <row r="42" spans="1:13" ht="15.75" customHeight="1">
      <c r="A42" s="41">
        <v>9</v>
      </c>
      <c r="B42" s="34" t="s">
        <v>101</v>
      </c>
      <c r="C42" s="40" t="s">
        <v>95</v>
      </c>
      <c r="D42" s="34" t="s">
        <v>156</v>
      </c>
      <c r="E42" s="120">
        <v>965.8</v>
      </c>
      <c r="F42" s="121">
        <f>SUM(E42*2/1000)</f>
        <v>1.9316</v>
      </c>
      <c r="G42" s="37">
        <v>1207.24</v>
      </c>
      <c r="H42" s="95">
        <f t="shared" ref="H42:H51" si="6">SUM(F42*G42/1000)</f>
        <v>2.3319047839999998</v>
      </c>
      <c r="I42" s="13">
        <f t="shared" ref="I42:I45" si="7">F42/2*G42</f>
        <v>1165.9523919999999</v>
      </c>
      <c r="J42" s="24"/>
      <c r="K42" s="8"/>
    </row>
    <row r="43" spans="1:13" ht="15.75" customHeight="1">
      <c r="A43" s="41">
        <v>10</v>
      </c>
      <c r="B43" s="34" t="s">
        <v>35</v>
      </c>
      <c r="C43" s="40" t="s">
        <v>95</v>
      </c>
      <c r="D43" s="34" t="s">
        <v>176</v>
      </c>
      <c r="E43" s="120">
        <v>36</v>
      </c>
      <c r="F43" s="121">
        <f>SUM(E43*2/1000)</f>
        <v>7.1999999999999995E-2</v>
      </c>
      <c r="G43" s="37">
        <v>863.92</v>
      </c>
      <c r="H43" s="95">
        <f t="shared" si="6"/>
        <v>6.2202239999999992E-2</v>
      </c>
      <c r="I43" s="13">
        <f t="shared" si="7"/>
        <v>31.101119999999995</v>
      </c>
      <c r="J43" s="25"/>
    </row>
    <row r="44" spans="1:13" ht="15.75" customHeight="1">
      <c r="A44" s="41">
        <v>11</v>
      </c>
      <c r="B44" s="34" t="s">
        <v>36</v>
      </c>
      <c r="C44" s="40" t="s">
        <v>95</v>
      </c>
      <c r="D44" s="34" t="s">
        <v>156</v>
      </c>
      <c r="E44" s="120">
        <v>1197.7</v>
      </c>
      <c r="F44" s="121">
        <f>SUM(E44*2/1000)</f>
        <v>2.3954</v>
      </c>
      <c r="G44" s="37">
        <v>863.92</v>
      </c>
      <c r="H44" s="95">
        <f t="shared" si="6"/>
        <v>2.0694339679999998</v>
      </c>
      <c r="I44" s="13">
        <f t="shared" si="7"/>
        <v>1034.7169839999999</v>
      </c>
      <c r="J44" s="25"/>
    </row>
    <row r="45" spans="1:13" ht="15.75" customHeight="1">
      <c r="A45" s="41">
        <v>12</v>
      </c>
      <c r="B45" s="34" t="s">
        <v>37</v>
      </c>
      <c r="C45" s="40" t="s">
        <v>95</v>
      </c>
      <c r="D45" s="34" t="s">
        <v>156</v>
      </c>
      <c r="E45" s="120">
        <v>2275.92</v>
      </c>
      <c r="F45" s="121">
        <f>SUM(E45*2/1000)</f>
        <v>4.5518400000000003</v>
      </c>
      <c r="G45" s="37">
        <v>904.65</v>
      </c>
      <c r="H45" s="95">
        <f t="shared" si="6"/>
        <v>4.1178220559999996</v>
      </c>
      <c r="I45" s="13">
        <f t="shared" si="7"/>
        <v>2058.911028</v>
      </c>
      <c r="J45" s="25"/>
    </row>
    <row r="46" spans="1:13" ht="15.75" customHeight="1">
      <c r="A46" s="41">
        <v>13</v>
      </c>
      <c r="B46" s="34" t="s">
        <v>33</v>
      </c>
      <c r="C46" s="40" t="s">
        <v>34</v>
      </c>
      <c r="D46" s="34" t="s">
        <v>156</v>
      </c>
      <c r="E46" s="120">
        <v>81.709999999999994</v>
      </c>
      <c r="F46" s="121">
        <f>SUM(E46*2/100)</f>
        <v>1.6341999999999999</v>
      </c>
      <c r="G46" s="37">
        <v>108.55</v>
      </c>
      <c r="H46" s="95">
        <f t="shared" si="6"/>
        <v>0.17739240999999997</v>
      </c>
      <c r="I46" s="13">
        <f>F46/2*G46</f>
        <v>88.696204999999992</v>
      </c>
      <c r="J46" s="25"/>
    </row>
    <row r="47" spans="1:13" ht="15.75" customHeight="1">
      <c r="A47" s="41">
        <v>14</v>
      </c>
      <c r="B47" s="34" t="s">
        <v>56</v>
      </c>
      <c r="C47" s="40" t="s">
        <v>95</v>
      </c>
      <c r="D47" s="34" t="s">
        <v>156</v>
      </c>
      <c r="E47" s="120">
        <v>1711.8</v>
      </c>
      <c r="F47" s="121">
        <f>SUM(E47*5/1000)</f>
        <v>8.5589999999999993</v>
      </c>
      <c r="G47" s="37">
        <v>1809.27</v>
      </c>
      <c r="H47" s="95">
        <f t="shared" si="6"/>
        <v>15.48554193</v>
      </c>
      <c r="I47" s="13">
        <f>F47/5*G47</f>
        <v>3097.1083859999994</v>
      </c>
      <c r="J47" s="25"/>
    </row>
    <row r="48" spans="1:13" ht="33" customHeight="1">
      <c r="A48" s="41">
        <v>15</v>
      </c>
      <c r="B48" s="34" t="s">
        <v>102</v>
      </c>
      <c r="C48" s="40" t="s">
        <v>95</v>
      </c>
      <c r="D48" s="34" t="s">
        <v>156</v>
      </c>
      <c r="E48" s="120">
        <v>1711.8</v>
      </c>
      <c r="F48" s="121">
        <f>SUM(E48*2/1000)</f>
        <v>3.4236</v>
      </c>
      <c r="G48" s="37">
        <v>1809.27</v>
      </c>
      <c r="H48" s="95">
        <f t="shared" si="6"/>
        <v>6.1942167719999999</v>
      </c>
      <c r="I48" s="13">
        <f>F48/2*G48</f>
        <v>3097.1083859999999</v>
      </c>
      <c r="J48" s="25"/>
    </row>
    <row r="49" spans="1:14" ht="30" customHeight="1">
      <c r="A49" s="41">
        <v>16</v>
      </c>
      <c r="B49" s="34" t="s">
        <v>103</v>
      </c>
      <c r="C49" s="40" t="s">
        <v>38</v>
      </c>
      <c r="D49" s="34" t="s">
        <v>156</v>
      </c>
      <c r="E49" s="120">
        <v>15</v>
      </c>
      <c r="F49" s="121">
        <f>SUM(E49*2/100)</f>
        <v>0.3</v>
      </c>
      <c r="G49" s="37">
        <v>4070.89</v>
      </c>
      <c r="H49" s="95">
        <f t="shared" si="6"/>
        <v>1.2212669999999999</v>
      </c>
      <c r="I49" s="13">
        <f t="shared" ref="I49:I50" si="8">F49/2*G49</f>
        <v>610.63349999999991</v>
      </c>
      <c r="J49" s="25"/>
    </row>
    <row r="50" spans="1:14" ht="23.25" customHeight="1">
      <c r="A50" s="41">
        <v>17</v>
      </c>
      <c r="B50" s="34" t="s">
        <v>39</v>
      </c>
      <c r="C50" s="40" t="s">
        <v>40</v>
      </c>
      <c r="D50" s="34" t="s">
        <v>156</v>
      </c>
      <c r="E50" s="120">
        <v>1</v>
      </c>
      <c r="F50" s="121">
        <v>0.02</v>
      </c>
      <c r="G50" s="37">
        <v>8426.7199999999993</v>
      </c>
      <c r="H50" s="95">
        <f t="shared" si="6"/>
        <v>0.16853439999999997</v>
      </c>
      <c r="I50" s="13">
        <f t="shared" si="8"/>
        <v>84.267199999999988</v>
      </c>
      <c r="J50" s="25"/>
      <c r="L50" s="21"/>
      <c r="M50" s="22"/>
      <c r="N50" s="23"/>
    </row>
    <row r="51" spans="1:14" ht="17.25" hidden="1" customHeight="1">
      <c r="A51" s="41">
        <v>19</v>
      </c>
      <c r="B51" s="34" t="s">
        <v>41</v>
      </c>
      <c r="C51" s="40" t="s">
        <v>82</v>
      </c>
      <c r="D51" s="162">
        <v>43957</v>
      </c>
      <c r="E51" s="120">
        <v>90</v>
      </c>
      <c r="F51" s="121">
        <f>E51*3</f>
        <v>270</v>
      </c>
      <c r="G51" s="161">
        <v>97.93</v>
      </c>
      <c r="H51" s="95">
        <f t="shared" si="6"/>
        <v>26.441100000000002</v>
      </c>
      <c r="I51" s="13">
        <f>G51*F51/3</f>
        <v>8813.7000000000007</v>
      </c>
      <c r="J51" s="25"/>
      <c r="L51" s="21"/>
      <c r="M51" s="22"/>
      <c r="N51" s="23"/>
    </row>
    <row r="52" spans="1:14" ht="15.75" customHeight="1">
      <c r="A52" s="206" t="s">
        <v>127</v>
      </c>
      <c r="B52" s="207"/>
      <c r="C52" s="207"/>
      <c r="D52" s="207"/>
      <c r="E52" s="207"/>
      <c r="F52" s="207"/>
      <c r="G52" s="207"/>
      <c r="H52" s="207"/>
      <c r="I52" s="208"/>
      <c r="J52" s="25"/>
      <c r="L52" s="21"/>
      <c r="M52" s="22"/>
      <c r="N52" s="23"/>
    </row>
    <row r="53" spans="1:14" ht="15.75" hidden="1" customHeight="1">
      <c r="A53" s="53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104</v>
      </c>
      <c r="C54" s="92" t="s">
        <v>85</v>
      </c>
      <c r="D54" s="91" t="s">
        <v>105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85</v>
      </c>
      <c r="D56" s="91" t="s">
        <v>54</v>
      </c>
      <c r="E56" s="93">
        <v>855.9</v>
      </c>
      <c r="F56" s="95">
        <v>8.6</v>
      </c>
      <c r="G56" s="13">
        <v>747.3</v>
      </c>
      <c r="H56" s="98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18</v>
      </c>
      <c r="B57" s="91" t="s">
        <v>83</v>
      </c>
      <c r="C57" s="92" t="s">
        <v>25</v>
      </c>
      <c r="D57" s="91" t="s">
        <v>156</v>
      </c>
      <c r="E57" s="93">
        <v>256</v>
      </c>
      <c r="F57" s="95">
        <f>E57*12</f>
        <v>3072</v>
      </c>
      <c r="G57" s="13">
        <v>1.4</v>
      </c>
      <c r="H57" s="98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121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122</v>
      </c>
      <c r="C59" s="92" t="s">
        <v>82</v>
      </c>
      <c r="D59" s="91" t="s">
        <v>65</v>
      </c>
      <c r="E59" s="93">
        <v>2</v>
      </c>
      <c r="F59" s="94">
        <f>SUM(E59)</f>
        <v>2</v>
      </c>
      <c r="G59" s="99">
        <v>237.75</v>
      </c>
      <c r="H59" s="95">
        <f t="shared" ref="H59" si="9">SUM(F59*G59/1000)</f>
        <v>0.47549999999999998</v>
      </c>
      <c r="I59" s="13">
        <v>0</v>
      </c>
      <c r="J59" s="25"/>
      <c r="L59" s="21"/>
      <c r="M59" s="22"/>
      <c r="N59" s="23"/>
    </row>
    <row r="60" spans="1:14" ht="15.75" hidden="1" customHeight="1">
      <c r="A60" s="41"/>
      <c r="B60" s="75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15" hidden="1" customHeight="1">
      <c r="A61" s="41">
        <v>27</v>
      </c>
      <c r="B61" s="15" t="s">
        <v>47</v>
      </c>
      <c r="C61" s="17" t="s">
        <v>82</v>
      </c>
      <c r="D61" s="91" t="s">
        <v>161</v>
      </c>
      <c r="E61" s="19">
        <v>10</v>
      </c>
      <c r="F61" s="94">
        <v>10</v>
      </c>
      <c r="G61" s="13">
        <v>222.4</v>
      </c>
      <c r="H61" s="100">
        <f t="shared" ref="H61:H68" si="10">SUM(F61*G61/1000)</f>
        <v>2.2240000000000002</v>
      </c>
      <c r="I61" s="13">
        <f>G61*3</f>
        <v>667.2</v>
      </c>
      <c r="J61" s="25"/>
      <c r="L61" s="21"/>
      <c r="M61" s="22"/>
      <c r="N61" s="23"/>
    </row>
    <row r="62" spans="1:14" ht="17.25" hidden="1" customHeight="1">
      <c r="A62" s="31">
        <v>29</v>
      </c>
      <c r="B62" s="15" t="s">
        <v>48</v>
      </c>
      <c r="C62" s="17" t="s">
        <v>82</v>
      </c>
      <c r="D62" s="91" t="s">
        <v>65</v>
      </c>
      <c r="E62" s="19">
        <v>5</v>
      </c>
      <c r="F62" s="94">
        <v>5</v>
      </c>
      <c r="G62" s="13">
        <v>75.25</v>
      </c>
      <c r="H62" s="100">
        <f t="shared" si="10"/>
        <v>0.37624999999999997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49</v>
      </c>
      <c r="C63" s="17" t="s">
        <v>106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0">
        <f t="shared" si="10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30</v>
      </c>
      <c r="B64" s="15" t="s">
        <v>50</v>
      </c>
      <c r="C64" s="17" t="s">
        <v>107</v>
      </c>
      <c r="D64" s="15"/>
      <c r="E64" s="93">
        <v>13018</v>
      </c>
      <c r="F64" s="13">
        <f>SUM(E64/1000)</f>
        <v>13.018000000000001</v>
      </c>
      <c r="G64" s="13">
        <v>165.21</v>
      </c>
      <c r="H64" s="100">
        <f t="shared" si="10"/>
        <v>2.1507037800000002</v>
      </c>
      <c r="I64" s="13">
        <f t="shared" ref="I64:I68" si="11">F64*G64</f>
        <v>2150.7037800000003</v>
      </c>
      <c r="J64" s="25"/>
      <c r="L64" s="21"/>
      <c r="M64" s="22"/>
      <c r="N64" s="23"/>
    </row>
    <row r="65" spans="1:14" ht="15.75" hidden="1" customHeight="1">
      <c r="A65" s="31">
        <v>31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0">
        <f t="shared" si="10"/>
        <v>26.534517700000002</v>
      </c>
      <c r="I65" s="13">
        <f t="shared" si="11"/>
        <v>26534.5177</v>
      </c>
      <c r="J65" s="25"/>
      <c r="L65" s="21"/>
      <c r="M65" s="22"/>
      <c r="N65" s="23"/>
    </row>
    <row r="66" spans="1:14" ht="15.75" hidden="1" customHeight="1">
      <c r="A66" s="31">
        <v>32</v>
      </c>
      <c r="B66" s="101" t="s">
        <v>108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0">
        <f t="shared" si="10"/>
        <v>0.54383999999999999</v>
      </c>
      <c r="I66" s="13">
        <f t="shared" si="11"/>
        <v>543.84</v>
      </c>
      <c r="J66" s="25"/>
      <c r="L66" s="21"/>
      <c r="M66" s="22"/>
      <c r="N66" s="23"/>
    </row>
    <row r="67" spans="1:14" ht="15.75" hidden="1" customHeight="1">
      <c r="A67" s="31">
        <v>33</v>
      </c>
      <c r="B67" s="101" t="s">
        <v>109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0">
        <f t="shared" si="10"/>
        <v>0.50736000000000003</v>
      </c>
      <c r="I67" s="13">
        <f t="shared" si="11"/>
        <v>507.36</v>
      </c>
      <c r="J67" s="25"/>
      <c r="L67" s="21"/>
      <c r="M67" s="22"/>
      <c r="N67" s="23"/>
    </row>
    <row r="68" spans="1:14" ht="15.75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4">
        <f>SUM(E68)</f>
        <v>1</v>
      </c>
      <c r="G68" s="13">
        <v>49.88</v>
      </c>
      <c r="H68" s="100">
        <f t="shared" si="10"/>
        <v>4.9880000000000001E-2</v>
      </c>
      <c r="I68" s="13">
        <f t="shared" si="11"/>
        <v>49.88</v>
      </c>
      <c r="J68" s="25"/>
      <c r="L68" s="21"/>
      <c r="M68" s="22"/>
      <c r="N68" s="23"/>
    </row>
    <row r="69" spans="1:14" ht="15.75" hidden="1" customHeight="1">
      <c r="A69" s="53"/>
      <c r="B69" s="75" t="s">
        <v>110</v>
      </c>
      <c r="C69" s="75"/>
      <c r="D69" s="75"/>
      <c r="E69" s="75"/>
      <c r="F69" s="75"/>
      <c r="G69" s="75"/>
      <c r="H69" s="75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91" t="s">
        <v>111</v>
      </c>
      <c r="C70" s="17"/>
      <c r="D70" s="15"/>
      <c r="E70" s="85"/>
      <c r="F70" s="13">
        <v>1</v>
      </c>
      <c r="G70" s="13">
        <v>10041.700000000001</v>
      </c>
      <c r="H70" s="100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5.75" hidden="1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5.75" hidden="1" customHeight="1">
      <c r="A72" s="31">
        <v>30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0">
        <f t="shared" ref="H72:H74" si="12">SUM(F72*G72/1000)</f>
        <v>0.25080999999999998</v>
      </c>
      <c r="I72" s="13">
        <f>G72*1.1</f>
        <v>551.78200000000004</v>
      </c>
      <c r="J72" s="25"/>
      <c r="L72" s="21"/>
      <c r="M72" s="22"/>
      <c r="N72" s="23"/>
    </row>
    <row r="73" spans="1:14" ht="15.75" hidden="1" customHeight="1">
      <c r="A73" s="31"/>
      <c r="B73" s="15" t="s">
        <v>123</v>
      </c>
      <c r="C73" s="17" t="s">
        <v>82</v>
      </c>
      <c r="D73" s="15"/>
      <c r="E73" s="19">
        <v>1</v>
      </c>
      <c r="F73" s="84">
        <f>E73</f>
        <v>1</v>
      </c>
      <c r="G73" s="13">
        <v>852.99</v>
      </c>
      <c r="H73" s="100">
        <f t="shared" si="12"/>
        <v>0.85299000000000003</v>
      </c>
      <c r="I73" s="13">
        <v>0</v>
      </c>
      <c r="J73" s="25"/>
      <c r="L73" s="21"/>
      <c r="M73" s="22"/>
      <c r="N73" s="23"/>
    </row>
    <row r="74" spans="1:14" ht="15.75" hidden="1" customHeight="1">
      <c r="A74" s="31"/>
      <c r="B74" s="15" t="s">
        <v>124</v>
      </c>
      <c r="C74" s="17" t="s">
        <v>82</v>
      </c>
      <c r="D74" s="15"/>
      <c r="E74" s="19">
        <v>1</v>
      </c>
      <c r="F74" s="94">
        <f>SUM(E74)</f>
        <v>1</v>
      </c>
      <c r="G74" s="13">
        <v>358.51</v>
      </c>
      <c r="H74" s="100">
        <f t="shared" si="12"/>
        <v>0.35851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50" t="s">
        <v>75</v>
      </c>
      <c r="C75" s="38"/>
      <c r="D75" s="31"/>
      <c r="E75" s="19"/>
      <c r="F75" s="19"/>
      <c r="G75" s="37" t="s">
        <v>112</v>
      </c>
      <c r="H75" s="37"/>
      <c r="I75" s="19"/>
      <c r="J75" s="25"/>
      <c r="L75" s="21"/>
      <c r="M75" s="22"/>
      <c r="N75" s="23"/>
    </row>
    <row r="76" spans="1:14" ht="15.75" hidden="1" customHeight="1">
      <c r="A76" s="31">
        <v>12</v>
      </c>
      <c r="B76" s="52" t="s">
        <v>113</v>
      </c>
      <c r="C76" s="17" t="s">
        <v>76</v>
      </c>
      <c r="D76" s="15"/>
      <c r="E76" s="19"/>
      <c r="F76" s="13">
        <v>0.3</v>
      </c>
      <c r="G76" s="13">
        <v>2759.44</v>
      </c>
      <c r="H76" s="100">
        <f t="shared" ref="H76" si="13">SUM(F76*G76/1000)</f>
        <v>0.82783200000000001</v>
      </c>
      <c r="I76" s="13">
        <v>0</v>
      </c>
      <c r="J76" s="25"/>
      <c r="L76" s="21"/>
      <c r="M76" s="22"/>
      <c r="N76" s="23"/>
    </row>
    <row r="77" spans="1:14" ht="15.75" customHeight="1">
      <c r="A77" s="132"/>
      <c r="B77" s="135" t="s">
        <v>162</v>
      </c>
      <c r="C77" s="38"/>
      <c r="D77" s="119"/>
      <c r="E77" s="18"/>
      <c r="F77" s="68"/>
      <c r="G77" s="37"/>
      <c r="H77" s="133"/>
      <c r="I77" s="134"/>
      <c r="J77" s="25"/>
      <c r="L77" s="21"/>
      <c r="M77" s="22"/>
      <c r="N77" s="23"/>
    </row>
    <row r="78" spans="1:14" ht="33.75" customHeight="1">
      <c r="A78" s="132">
        <v>19</v>
      </c>
      <c r="B78" s="119" t="s">
        <v>163</v>
      </c>
      <c r="C78" s="41" t="s">
        <v>164</v>
      </c>
      <c r="D78" s="119"/>
      <c r="E78" s="18">
        <v>2581.1999999999998</v>
      </c>
      <c r="F78" s="37">
        <f>E78*12</f>
        <v>30974.399999999998</v>
      </c>
      <c r="G78" s="37">
        <v>2.6</v>
      </c>
      <c r="H78" s="133"/>
      <c r="I78" s="134">
        <f>G78*F78/12</f>
        <v>6711.12</v>
      </c>
      <c r="J78" s="25"/>
      <c r="L78" s="21"/>
      <c r="M78" s="22"/>
      <c r="N78" s="23"/>
    </row>
    <row r="79" spans="1:14" ht="15.75" customHeight="1">
      <c r="A79" s="132"/>
      <c r="B79" s="119" t="s">
        <v>171</v>
      </c>
      <c r="C79" s="38" t="s">
        <v>82</v>
      </c>
      <c r="D79" s="119" t="s">
        <v>155</v>
      </c>
      <c r="E79" s="18">
        <v>2</v>
      </c>
      <c r="F79" s="68">
        <f>E79*12</f>
        <v>24</v>
      </c>
      <c r="G79" s="37">
        <v>420</v>
      </c>
      <c r="H79" s="100"/>
      <c r="I79" s="13">
        <f>G79*2</f>
        <v>840</v>
      </c>
      <c r="J79" s="25"/>
      <c r="L79" s="21"/>
      <c r="M79" s="22"/>
      <c r="N79" s="23"/>
    </row>
    <row r="80" spans="1:14" ht="15.75" customHeight="1">
      <c r="A80" s="210" t="s">
        <v>128</v>
      </c>
      <c r="B80" s="211"/>
      <c r="C80" s="211"/>
      <c r="D80" s="211"/>
      <c r="E80" s="211"/>
      <c r="F80" s="211"/>
      <c r="G80" s="211"/>
      <c r="H80" s="211"/>
      <c r="I80" s="212"/>
      <c r="J80" s="25"/>
      <c r="L80" s="21"/>
      <c r="M80" s="22"/>
      <c r="N80" s="23"/>
    </row>
    <row r="81" spans="1:21" ht="15.75" customHeight="1">
      <c r="A81" s="31">
        <v>20</v>
      </c>
      <c r="B81" s="119" t="s">
        <v>114</v>
      </c>
      <c r="C81" s="38" t="s">
        <v>55</v>
      </c>
      <c r="D81" s="160"/>
      <c r="E81" s="37">
        <v>2581.1999999999998</v>
      </c>
      <c r="F81" s="37">
        <f>SUM(E81*12)</f>
        <v>30974.399999999998</v>
      </c>
      <c r="G81" s="37">
        <v>3.5</v>
      </c>
      <c r="H81" s="155">
        <f>SUM(F81*G81/1000)</f>
        <v>108.4104</v>
      </c>
      <c r="I81" s="13">
        <f>F81/12*G81</f>
        <v>9034.1999999999989</v>
      </c>
      <c r="J81" s="25"/>
      <c r="L81" s="21"/>
    </row>
    <row r="82" spans="1:21" ht="31.5" customHeight="1">
      <c r="A82" s="31">
        <v>21</v>
      </c>
      <c r="B82" s="157" t="s">
        <v>172</v>
      </c>
      <c r="C82" s="150" t="s">
        <v>55</v>
      </c>
      <c r="D82" s="158"/>
      <c r="E82" s="159">
        <f>E81</f>
        <v>2581.1999999999998</v>
      </c>
      <c r="F82" s="152">
        <f>E82*12</f>
        <v>30974.399999999998</v>
      </c>
      <c r="G82" s="152">
        <v>3.2</v>
      </c>
      <c r="H82" s="100">
        <f>F82*G82/1000</f>
        <v>99.118080000000006</v>
      </c>
      <c r="I82" s="13">
        <f>F82/12*G82</f>
        <v>8259.84</v>
      </c>
    </row>
    <row r="83" spans="1:21" ht="15.75" customHeight="1">
      <c r="A83" s="53"/>
      <c r="B83" s="39" t="s">
        <v>78</v>
      </c>
      <c r="C83" s="41"/>
      <c r="D83" s="16"/>
      <c r="E83" s="16"/>
      <c r="F83" s="16"/>
      <c r="G83" s="19"/>
      <c r="H83" s="19"/>
      <c r="I83" s="33">
        <f>I82+I81+I79+I78+I57+I50+I49+I48+I47+I46+I45+I44+I43+I42+I31+I30++++I32+I21+I20+I18+I17+I16</f>
        <v>47667.265065000007</v>
      </c>
    </row>
    <row r="84" spans="1:21" ht="15.75" customHeight="1">
      <c r="A84" s="213" t="s">
        <v>60</v>
      </c>
      <c r="B84" s="214"/>
      <c r="C84" s="214"/>
      <c r="D84" s="214"/>
      <c r="E84" s="214"/>
      <c r="F84" s="214"/>
      <c r="G84" s="214"/>
      <c r="H84" s="214"/>
      <c r="I84" s="215"/>
    </row>
    <row r="85" spans="1:21" ht="15.75" customHeight="1">
      <c r="A85" s="179">
        <v>22</v>
      </c>
      <c r="B85" s="166" t="s">
        <v>219</v>
      </c>
      <c r="C85" s="118" t="s">
        <v>55</v>
      </c>
      <c r="D85" s="66" t="s">
        <v>224</v>
      </c>
      <c r="E85" s="37"/>
      <c r="F85" s="37">
        <v>0.3</v>
      </c>
      <c r="G85" s="37">
        <v>904.19</v>
      </c>
      <c r="H85" s="176"/>
      <c r="I85" s="178">
        <f>G85*0.3</f>
        <v>271.25700000000001</v>
      </c>
    </row>
    <row r="86" spans="1:21" ht="15.75" customHeight="1">
      <c r="A86" s="179">
        <v>23</v>
      </c>
      <c r="B86" s="166" t="s">
        <v>220</v>
      </c>
      <c r="C86" s="167" t="s">
        <v>221</v>
      </c>
      <c r="D86" s="66" t="s">
        <v>223</v>
      </c>
      <c r="E86" s="37"/>
      <c r="F86" s="37">
        <v>0.1</v>
      </c>
      <c r="G86" s="37">
        <v>16727.16</v>
      </c>
      <c r="H86" s="176"/>
      <c r="I86" s="178">
        <f>G86*0.1</f>
        <v>1672.7160000000001</v>
      </c>
    </row>
    <row r="87" spans="1:21" ht="15.75" customHeight="1">
      <c r="A87" s="179">
        <v>24</v>
      </c>
      <c r="B87" s="117" t="s">
        <v>222</v>
      </c>
      <c r="C87" s="118" t="s">
        <v>29</v>
      </c>
      <c r="D87" s="66"/>
      <c r="E87" s="37"/>
      <c r="F87" s="37">
        <v>1.7024999999999999</v>
      </c>
      <c r="G87" s="37">
        <v>241.69</v>
      </c>
      <c r="H87" s="176"/>
      <c r="I87" s="178">
        <f>G87*1.7025</f>
        <v>411.47722499999998</v>
      </c>
    </row>
    <row r="88" spans="1:21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33">
        <f>SUM(I85:I87)</f>
        <v>2355.450225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ht="15.75" customHeight="1">
      <c r="A89" s="31"/>
      <c r="B89" s="52" t="s">
        <v>77</v>
      </c>
      <c r="C89" s="16"/>
      <c r="D89" s="16"/>
      <c r="E89" s="43"/>
      <c r="F89" s="43"/>
      <c r="G89" s="44"/>
      <c r="H89" s="44"/>
      <c r="I89" s="18">
        <v>0</v>
      </c>
    </row>
    <row r="90" spans="1:21" ht="15.75" customHeight="1">
      <c r="A90" s="55"/>
      <c r="B90" s="47" t="s">
        <v>131</v>
      </c>
      <c r="C90" s="36"/>
      <c r="D90" s="36"/>
      <c r="E90" s="36"/>
      <c r="F90" s="36"/>
      <c r="G90" s="36"/>
      <c r="H90" s="36"/>
      <c r="I90" s="45">
        <f>I83+I88</f>
        <v>50022.715290000007</v>
      </c>
    </row>
    <row r="91" spans="1:21" ht="15.75" customHeight="1">
      <c r="A91" s="209" t="s">
        <v>225</v>
      </c>
      <c r="B91" s="209"/>
      <c r="C91" s="209"/>
      <c r="D91" s="209"/>
      <c r="E91" s="209"/>
      <c r="F91" s="209"/>
      <c r="G91" s="209"/>
      <c r="H91" s="209"/>
      <c r="I91" s="209"/>
    </row>
    <row r="92" spans="1:21" ht="15.75" customHeight="1">
      <c r="A92" s="77"/>
      <c r="B92" s="190" t="s">
        <v>226</v>
      </c>
      <c r="C92" s="190"/>
      <c r="D92" s="190"/>
      <c r="E92" s="190"/>
      <c r="F92" s="190"/>
      <c r="G92" s="190"/>
      <c r="H92" s="89"/>
      <c r="I92" s="3"/>
    </row>
    <row r="93" spans="1:21" ht="15.75" customHeight="1">
      <c r="A93" s="70"/>
      <c r="B93" s="191" t="s">
        <v>6</v>
      </c>
      <c r="C93" s="191"/>
      <c r="D93" s="191"/>
      <c r="E93" s="191"/>
      <c r="F93" s="191"/>
      <c r="G93" s="191"/>
      <c r="H93" s="26"/>
      <c r="I93" s="5"/>
    </row>
    <row r="94" spans="1:21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1" ht="15.75" customHeight="1">
      <c r="A95" s="192" t="s">
        <v>7</v>
      </c>
      <c r="B95" s="192"/>
      <c r="C95" s="192"/>
      <c r="D95" s="192"/>
      <c r="E95" s="192"/>
      <c r="F95" s="192"/>
      <c r="G95" s="192"/>
      <c r="H95" s="192"/>
      <c r="I95" s="192"/>
    </row>
    <row r="96" spans="1:21" ht="15.75" customHeight="1">
      <c r="A96" s="192" t="s">
        <v>8</v>
      </c>
      <c r="B96" s="192"/>
      <c r="C96" s="192"/>
      <c r="D96" s="192"/>
      <c r="E96" s="192"/>
      <c r="F96" s="192"/>
      <c r="G96" s="192"/>
      <c r="H96" s="192"/>
      <c r="I96" s="192"/>
    </row>
    <row r="97" spans="1:9" ht="15.75" customHeight="1">
      <c r="A97" s="195" t="s">
        <v>61</v>
      </c>
      <c r="B97" s="195"/>
      <c r="C97" s="195"/>
      <c r="D97" s="195"/>
      <c r="E97" s="195"/>
      <c r="F97" s="195"/>
      <c r="G97" s="195"/>
      <c r="H97" s="195"/>
      <c r="I97" s="195"/>
    </row>
    <row r="98" spans="1:9" ht="15.75" customHeight="1">
      <c r="A98" s="11"/>
    </row>
    <row r="99" spans="1:9" ht="15.75" customHeight="1">
      <c r="A99" s="196" t="s">
        <v>9</v>
      </c>
      <c r="B99" s="196"/>
      <c r="C99" s="196"/>
      <c r="D99" s="196"/>
      <c r="E99" s="196"/>
      <c r="F99" s="196"/>
      <c r="G99" s="196"/>
      <c r="H99" s="196"/>
      <c r="I99" s="196"/>
    </row>
    <row r="100" spans="1:9" ht="15.75" customHeight="1">
      <c r="A100" s="4"/>
    </row>
    <row r="101" spans="1:9" ht="15.75" customHeight="1">
      <c r="B101" s="73" t="s">
        <v>10</v>
      </c>
      <c r="C101" s="197" t="s">
        <v>182</v>
      </c>
      <c r="D101" s="197"/>
      <c r="E101" s="197"/>
      <c r="F101" s="87"/>
      <c r="I101" s="72"/>
    </row>
    <row r="102" spans="1:9" ht="15.75" customHeight="1">
      <c r="A102" s="70"/>
      <c r="C102" s="191" t="s">
        <v>11</v>
      </c>
      <c r="D102" s="191"/>
      <c r="E102" s="191"/>
      <c r="F102" s="26"/>
      <c r="I102" s="71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73" t="s">
        <v>13</v>
      </c>
      <c r="C104" s="198"/>
      <c r="D104" s="198"/>
      <c r="E104" s="198"/>
      <c r="F104" s="88"/>
      <c r="I104" s="72"/>
    </row>
    <row r="105" spans="1:9" ht="15.75" customHeight="1">
      <c r="A105" s="70"/>
      <c r="C105" s="194" t="s">
        <v>11</v>
      </c>
      <c r="D105" s="194"/>
      <c r="E105" s="194"/>
      <c r="F105" s="70"/>
      <c r="I105" s="71" t="s">
        <v>12</v>
      </c>
    </row>
    <row r="106" spans="1:9" ht="15.75" customHeight="1">
      <c r="A106" s="4" t="s">
        <v>14</v>
      </c>
    </row>
    <row r="107" spans="1:9">
      <c r="A107" s="193" t="s">
        <v>15</v>
      </c>
      <c r="B107" s="193"/>
      <c r="C107" s="193"/>
      <c r="D107" s="193"/>
      <c r="E107" s="193"/>
      <c r="F107" s="193"/>
      <c r="G107" s="193"/>
      <c r="H107" s="193"/>
      <c r="I107" s="193"/>
    </row>
    <row r="108" spans="1:9" ht="45" customHeight="1">
      <c r="A108" s="189" t="s">
        <v>16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30" customHeight="1">
      <c r="A109" s="189" t="s">
        <v>17</v>
      </c>
      <c r="B109" s="189"/>
      <c r="C109" s="189"/>
      <c r="D109" s="189"/>
      <c r="E109" s="189"/>
      <c r="F109" s="189"/>
      <c r="G109" s="189"/>
      <c r="H109" s="189"/>
      <c r="I109" s="189"/>
    </row>
    <row r="110" spans="1:9" ht="30" customHeight="1">
      <c r="A110" s="189" t="s">
        <v>21</v>
      </c>
      <c r="B110" s="189"/>
      <c r="C110" s="189"/>
      <c r="D110" s="189"/>
      <c r="E110" s="189"/>
      <c r="F110" s="189"/>
      <c r="G110" s="189"/>
      <c r="H110" s="189"/>
      <c r="I110" s="189"/>
    </row>
    <row r="111" spans="1:9" ht="15" customHeight="1">
      <c r="A111" s="189" t="s">
        <v>20</v>
      </c>
      <c r="B111" s="189"/>
      <c r="C111" s="189"/>
      <c r="D111" s="189"/>
      <c r="E111" s="189"/>
      <c r="F111" s="189"/>
      <c r="G111" s="189"/>
      <c r="H111" s="189"/>
      <c r="I111" s="189"/>
    </row>
  </sheetData>
  <autoFilter ref="I12:I83"/>
  <mergeCells count="28">
    <mergeCell ref="A14:I14"/>
    <mergeCell ref="A3:I3"/>
    <mergeCell ref="A4:I4"/>
    <mergeCell ref="A5:I5"/>
    <mergeCell ref="A8:I8"/>
    <mergeCell ref="A10:I10"/>
    <mergeCell ref="A97:I97"/>
    <mergeCell ref="A15:I15"/>
    <mergeCell ref="A28:I28"/>
    <mergeCell ref="A41:I41"/>
    <mergeCell ref="A52:I52"/>
    <mergeCell ref="A80:I80"/>
    <mergeCell ref="A84:I84"/>
    <mergeCell ref="A91:I91"/>
    <mergeCell ref="B92:G92"/>
    <mergeCell ref="B93:G93"/>
    <mergeCell ref="A95:I95"/>
    <mergeCell ref="A96:I96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9"/>
  <sheetViews>
    <sheetView topLeftCell="A77" workbookViewId="0">
      <selection activeCell="I96" sqref="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140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227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44377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27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154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si="0"/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5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6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0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0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0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0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hidden="1" customHeight="1">
      <c r="A27" s="31">
        <v>12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34" t="s">
        <v>94</v>
      </c>
      <c r="C30" s="40" t="s">
        <v>95</v>
      </c>
      <c r="D30" s="34" t="s">
        <v>175</v>
      </c>
      <c r="E30" s="121">
        <v>313</v>
      </c>
      <c r="F30" s="121">
        <f>SUM(E30*24/1000)</f>
        <v>7.5119999999999996</v>
      </c>
      <c r="G30" s="121">
        <v>232.4</v>
      </c>
      <c r="H30" s="95">
        <f t="shared" ref="H30:H31" si="1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8</v>
      </c>
      <c r="B31" s="34" t="s">
        <v>129</v>
      </c>
      <c r="C31" s="40" t="s">
        <v>95</v>
      </c>
      <c r="D31" s="34" t="s">
        <v>152</v>
      </c>
      <c r="E31" s="121">
        <v>26.33</v>
      </c>
      <c r="F31" s="121">
        <f>SUM(E31*78/1000)</f>
        <v>2.0537399999999999</v>
      </c>
      <c r="G31" s="121">
        <v>385.6</v>
      </c>
      <c r="H31" s="95">
        <f t="shared" si="1"/>
        <v>0.79192214400000005</v>
      </c>
      <c r="I31" s="13">
        <f t="shared" ref="I31" si="2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3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4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5">SUM(F35*G35/1000)</f>
        <v>9.1632000000000016</v>
      </c>
      <c r="I35" s="13">
        <f t="shared" ref="I35:I40" si="6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120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5"/>
        <v>68.13378809999999</v>
      </c>
      <c r="I36" s="13">
        <f t="shared" si="6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99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5"/>
        <v>2.4464812499999997</v>
      </c>
      <c r="I37" s="13">
        <f t="shared" si="6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79</v>
      </c>
      <c r="C38" s="92" t="s">
        <v>95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5"/>
        <v>18.280331999999998</v>
      </c>
      <c r="I38" s="13">
        <f t="shared" si="6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100</v>
      </c>
      <c r="C39" s="92" t="s">
        <v>95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5"/>
        <v>0.86811749999999999</v>
      </c>
      <c r="I39" s="13">
        <f t="shared" si="6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5"/>
        <v>0.47879999999999995</v>
      </c>
      <c r="I40" s="13">
        <f t="shared" si="6"/>
        <v>79.8</v>
      </c>
      <c r="J40" s="24"/>
      <c r="K40" s="8"/>
      <c r="L40" s="8"/>
      <c r="M40" s="8"/>
    </row>
    <row r="41" spans="1:13" ht="15.75" customHeight="1">
      <c r="A41" s="206" t="s">
        <v>126</v>
      </c>
      <c r="B41" s="207"/>
      <c r="C41" s="207"/>
      <c r="D41" s="207"/>
      <c r="E41" s="207"/>
      <c r="F41" s="207"/>
      <c r="G41" s="207"/>
      <c r="H41" s="207"/>
      <c r="I41" s="208"/>
      <c r="J41" s="24"/>
      <c r="K41" s="8"/>
      <c r="L41" s="8"/>
      <c r="M41" s="8"/>
    </row>
    <row r="42" spans="1:13" ht="15.75" hidden="1" customHeight="1">
      <c r="A42" s="41">
        <v>18</v>
      </c>
      <c r="B42" s="91" t="s">
        <v>101</v>
      </c>
      <c r="C42" s="92" t="s">
        <v>95</v>
      </c>
      <c r="D42" s="91" t="s">
        <v>42</v>
      </c>
      <c r="E42" s="93">
        <v>965.8</v>
      </c>
      <c r="F42" s="94">
        <f>SUM(E42*2/1000)</f>
        <v>1.9316</v>
      </c>
      <c r="G42" s="13">
        <v>849.49</v>
      </c>
      <c r="H42" s="95">
        <f t="shared" ref="H42:H51" si="7">SUM(F42*G42/1000)</f>
        <v>1.640874884</v>
      </c>
      <c r="I42" s="13">
        <f t="shared" ref="I42:I45" si="8">F42/2*G42</f>
        <v>820.43744200000003</v>
      </c>
      <c r="J42" s="24"/>
      <c r="K42" s="8"/>
    </row>
    <row r="43" spans="1:13" ht="15.75" hidden="1" customHeight="1">
      <c r="A43" s="41">
        <v>19</v>
      </c>
      <c r="B43" s="91" t="s">
        <v>35</v>
      </c>
      <c r="C43" s="92" t="s">
        <v>95</v>
      </c>
      <c r="D43" s="91" t="s">
        <v>42</v>
      </c>
      <c r="E43" s="93">
        <v>36</v>
      </c>
      <c r="F43" s="94">
        <f>SUM(E43*2/1000)</f>
        <v>7.1999999999999995E-2</v>
      </c>
      <c r="G43" s="13">
        <v>579.48</v>
      </c>
      <c r="H43" s="95">
        <f t="shared" si="7"/>
        <v>4.1722559999999999E-2</v>
      </c>
      <c r="I43" s="13">
        <f t="shared" si="8"/>
        <v>20.861280000000001</v>
      </c>
      <c r="J43" s="25"/>
    </row>
    <row r="44" spans="1:13" ht="15.75" hidden="1" customHeight="1">
      <c r="A44" s="41">
        <v>20</v>
      </c>
      <c r="B44" s="91" t="s">
        <v>36</v>
      </c>
      <c r="C44" s="92" t="s">
        <v>95</v>
      </c>
      <c r="D44" s="91" t="s">
        <v>42</v>
      </c>
      <c r="E44" s="93">
        <v>1197.7</v>
      </c>
      <c r="F44" s="94">
        <f>SUM(E44*2/1000)</f>
        <v>2.3954</v>
      </c>
      <c r="G44" s="13">
        <v>579.48</v>
      </c>
      <c r="H44" s="95">
        <f t="shared" si="7"/>
        <v>1.3880863919999999</v>
      </c>
      <c r="I44" s="13">
        <f t="shared" si="8"/>
        <v>694.04319599999997</v>
      </c>
      <c r="J44" s="25"/>
    </row>
    <row r="45" spans="1:13" ht="15.75" hidden="1" customHeight="1">
      <c r="A45" s="41">
        <v>21</v>
      </c>
      <c r="B45" s="91" t="s">
        <v>37</v>
      </c>
      <c r="C45" s="92" t="s">
        <v>95</v>
      </c>
      <c r="D45" s="91" t="s">
        <v>42</v>
      </c>
      <c r="E45" s="93">
        <v>2275.92</v>
      </c>
      <c r="F45" s="94">
        <f>SUM(E45*2/1000)</f>
        <v>4.5518400000000003</v>
      </c>
      <c r="G45" s="13">
        <v>606.77</v>
      </c>
      <c r="H45" s="95">
        <f t="shared" si="7"/>
        <v>2.7619199567999999</v>
      </c>
      <c r="I45" s="13">
        <f t="shared" si="8"/>
        <v>1380.9599784</v>
      </c>
      <c r="J45" s="25"/>
    </row>
    <row r="46" spans="1:13" ht="15.75" hidden="1" customHeight="1">
      <c r="A46" s="41">
        <v>22</v>
      </c>
      <c r="B46" s="91" t="s">
        <v>33</v>
      </c>
      <c r="C46" s="92" t="s">
        <v>34</v>
      </c>
      <c r="D46" s="91" t="s">
        <v>42</v>
      </c>
      <c r="E46" s="93">
        <v>81.709999999999994</v>
      </c>
      <c r="F46" s="94">
        <f>SUM(E46*2/100)</f>
        <v>1.6341999999999999</v>
      </c>
      <c r="G46" s="13">
        <v>68.56</v>
      </c>
      <c r="H46" s="95">
        <f t="shared" si="7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1" t="s">
        <v>56</v>
      </c>
      <c r="C47" s="92" t="s">
        <v>95</v>
      </c>
      <c r="D47" s="91" t="s">
        <v>130</v>
      </c>
      <c r="E47" s="93">
        <v>1711.8</v>
      </c>
      <c r="F47" s="94">
        <f>SUM(E47*5/1000)</f>
        <v>8.5589999999999993</v>
      </c>
      <c r="G47" s="13">
        <v>1213.55</v>
      </c>
      <c r="H47" s="95">
        <f t="shared" si="7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1" t="s">
        <v>102</v>
      </c>
      <c r="C48" s="92" t="s">
        <v>95</v>
      </c>
      <c r="D48" s="91" t="s">
        <v>42</v>
      </c>
      <c r="E48" s="93">
        <v>1711.8</v>
      </c>
      <c r="F48" s="94">
        <f>SUM(E48*2/1000)</f>
        <v>3.4236</v>
      </c>
      <c r="G48" s="13">
        <v>1213.55</v>
      </c>
      <c r="H48" s="95">
        <f t="shared" si="7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1" t="s">
        <v>103</v>
      </c>
      <c r="C49" s="92" t="s">
        <v>38</v>
      </c>
      <c r="D49" s="91" t="s">
        <v>42</v>
      </c>
      <c r="E49" s="93">
        <v>15</v>
      </c>
      <c r="F49" s="94">
        <f>SUM(E49*2/100)</f>
        <v>0.3</v>
      </c>
      <c r="G49" s="13">
        <v>2730.49</v>
      </c>
      <c r="H49" s="95">
        <f t="shared" si="7"/>
        <v>0.81914699999999996</v>
      </c>
      <c r="I49" s="13">
        <f t="shared" ref="I49:I50" si="9">F49/2*G49</f>
        <v>409.57349999999997</v>
      </c>
      <c r="J49" s="25"/>
    </row>
    <row r="50" spans="1:14" ht="15.75" hidden="1" customHeight="1">
      <c r="A50" s="41">
        <v>16</v>
      </c>
      <c r="B50" s="91" t="s">
        <v>39</v>
      </c>
      <c r="C50" s="92" t="s">
        <v>40</v>
      </c>
      <c r="D50" s="91" t="s">
        <v>42</v>
      </c>
      <c r="E50" s="93">
        <v>1</v>
      </c>
      <c r="F50" s="94">
        <v>0.02</v>
      </c>
      <c r="G50" s="13">
        <v>5322.15</v>
      </c>
      <c r="H50" s="95">
        <f t="shared" si="7"/>
        <v>0.106443</v>
      </c>
      <c r="I50" s="13">
        <f t="shared" si="9"/>
        <v>53.221499999999999</v>
      </c>
      <c r="J50" s="25"/>
      <c r="L50" s="21"/>
      <c r="M50" s="22"/>
      <c r="N50" s="23"/>
    </row>
    <row r="51" spans="1:14" ht="15.75" customHeight="1">
      <c r="A51" s="41">
        <v>9</v>
      </c>
      <c r="B51" s="91" t="s">
        <v>41</v>
      </c>
      <c r="C51" s="92" t="s">
        <v>82</v>
      </c>
      <c r="D51" s="130">
        <v>44349</v>
      </c>
      <c r="E51" s="93">
        <v>90</v>
      </c>
      <c r="F51" s="94">
        <f>SUM(E51)*3</f>
        <v>270</v>
      </c>
      <c r="G51" s="161">
        <v>97.93</v>
      </c>
      <c r="H51" s="95">
        <f t="shared" si="7"/>
        <v>26.441100000000002</v>
      </c>
      <c r="I51" s="13">
        <f>E51*G51</f>
        <v>8813.7000000000007</v>
      </c>
      <c r="J51" s="25"/>
      <c r="L51" s="21"/>
      <c r="M51" s="22"/>
      <c r="N51" s="23"/>
    </row>
    <row r="52" spans="1:14" ht="15.75" customHeight="1">
      <c r="A52" s="206" t="s">
        <v>127</v>
      </c>
      <c r="B52" s="207"/>
      <c r="C52" s="207"/>
      <c r="D52" s="207"/>
      <c r="E52" s="207"/>
      <c r="F52" s="207"/>
      <c r="G52" s="207"/>
      <c r="H52" s="207"/>
      <c r="I52" s="208"/>
      <c r="J52" s="25"/>
      <c r="L52" s="21"/>
      <c r="M52" s="22"/>
      <c r="N52" s="23"/>
    </row>
    <row r="53" spans="1:14" ht="15.75" hidden="1" customHeight="1">
      <c r="A53" s="53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104</v>
      </c>
      <c r="C54" s="92" t="s">
        <v>85</v>
      </c>
      <c r="D54" s="91" t="s">
        <v>105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85</v>
      </c>
      <c r="D56" s="91" t="s">
        <v>54</v>
      </c>
      <c r="E56" s="93">
        <v>855.9</v>
      </c>
      <c r="F56" s="95">
        <v>8.6</v>
      </c>
      <c r="G56" s="13">
        <v>747.3</v>
      </c>
      <c r="H56" s="98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10</v>
      </c>
      <c r="B57" s="91" t="s">
        <v>83</v>
      </c>
      <c r="C57" s="92" t="s">
        <v>25</v>
      </c>
      <c r="D57" s="91" t="s">
        <v>156</v>
      </c>
      <c r="E57" s="93">
        <v>256</v>
      </c>
      <c r="F57" s="95">
        <f>E57*12</f>
        <v>3072</v>
      </c>
      <c r="G57" s="13">
        <v>1.4</v>
      </c>
      <c r="H57" s="98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customHeight="1">
      <c r="A58" s="41"/>
      <c r="B58" s="75" t="s">
        <v>46</v>
      </c>
      <c r="C58" s="17"/>
      <c r="D58" s="16"/>
      <c r="E58" s="16"/>
      <c r="F58" s="86"/>
      <c r="G58" s="65"/>
      <c r="H58" s="68"/>
      <c r="I58" s="19"/>
      <c r="J58" s="25"/>
      <c r="L58" s="21"/>
      <c r="M58" s="22"/>
      <c r="N58" s="23"/>
    </row>
    <row r="59" spans="1:14" ht="15.75" hidden="1" customHeight="1">
      <c r="A59" s="41">
        <v>16</v>
      </c>
      <c r="B59" s="15" t="s">
        <v>47</v>
      </c>
      <c r="C59" s="17" t="s">
        <v>82</v>
      </c>
      <c r="D59" s="91" t="s">
        <v>156</v>
      </c>
      <c r="E59" s="19">
        <v>10</v>
      </c>
      <c r="F59" s="94">
        <v>10</v>
      </c>
      <c r="G59" s="131">
        <v>331.57</v>
      </c>
      <c r="H59" s="100">
        <f t="shared" ref="H59:H66" si="10">SUM(F59*G59/1000)</f>
        <v>3.3156999999999996</v>
      </c>
      <c r="I59" s="13">
        <f>G59*1</f>
        <v>331.57</v>
      </c>
      <c r="J59" s="25"/>
      <c r="L59" s="21"/>
      <c r="M59" s="22"/>
      <c r="N59" s="23"/>
    </row>
    <row r="60" spans="1:14" ht="15.75" hidden="1" customHeight="1">
      <c r="A60" s="31">
        <v>29</v>
      </c>
      <c r="B60" s="15" t="s">
        <v>48</v>
      </c>
      <c r="C60" s="17" t="s">
        <v>82</v>
      </c>
      <c r="D60" s="91" t="s">
        <v>65</v>
      </c>
      <c r="E60" s="19">
        <v>5</v>
      </c>
      <c r="F60" s="94">
        <v>5</v>
      </c>
      <c r="G60" s="13">
        <v>75.25</v>
      </c>
      <c r="H60" s="100">
        <f t="shared" si="10"/>
        <v>0.37624999999999997</v>
      </c>
      <c r="I60" s="13">
        <v>0</v>
      </c>
      <c r="J60" s="25"/>
      <c r="L60" s="21"/>
      <c r="M60" s="22"/>
      <c r="N60" s="23"/>
    </row>
    <row r="61" spans="1:14" ht="15.75" customHeight="1">
      <c r="A61" s="31">
        <v>11</v>
      </c>
      <c r="B61" s="127" t="s">
        <v>49</v>
      </c>
      <c r="C61" s="163" t="s">
        <v>106</v>
      </c>
      <c r="D61" s="119"/>
      <c r="E61" s="120">
        <v>13018</v>
      </c>
      <c r="F61" s="164">
        <f>SUM(E61/100)</f>
        <v>130.18</v>
      </c>
      <c r="G61" s="37">
        <v>316.3</v>
      </c>
      <c r="H61" s="100">
        <f t="shared" si="10"/>
        <v>41.175933999999998</v>
      </c>
      <c r="I61" s="13">
        <f>F61*G61</f>
        <v>41175.934000000001</v>
      </c>
      <c r="J61" s="25"/>
      <c r="L61" s="21"/>
      <c r="M61" s="22"/>
      <c r="N61" s="23"/>
    </row>
    <row r="62" spans="1:14" ht="15.75" customHeight="1">
      <c r="A62" s="31">
        <v>12</v>
      </c>
      <c r="B62" s="127" t="s">
        <v>50</v>
      </c>
      <c r="C62" s="38" t="s">
        <v>107</v>
      </c>
      <c r="D62" s="119"/>
      <c r="E62" s="120">
        <v>13018</v>
      </c>
      <c r="F62" s="37">
        <f>SUM(E62/1000)</f>
        <v>13.018000000000001</v>
      </c>
      <c r="G62" s="37">
        <v>246.31</v>
      </c>
      <c r="H62" s="100">
        <f t="shared" si="10"/>
        <v>3.2064635800000003</v>
      </c>
      <c r="I62" s="13">
        <f t="shared" ref="I62:I66" si="11">F62*G62</f>
        <v>3206.4635800000001</v>
      </c>
      <c r="J62" s="25"/>
      <c r="L62" s="21"/>
      <c r="M62" s="22"/>
      <c r="N62" s="23"/>
    </row>
    <row r="63" spans="1:14" ht="15.75" customHeight="1">
      <c r="A63" s="31">
        <v>13</v>
      </c>
      <c r="B63" s="127" t="s">
        <v>51</v>
      </c>
      <c r="C63" s="38" t="s">
        <v>76</v>
      </c>
      <c r="D63" s="119"/>
      <c r="E63" s="120">
        <v>1279</v>
      </c>
      <c r="F63" s="37">
        <f>SUM(E63/100)</f>
        <v>12.79</v>
      </c>
      <c r="G63" s="37">
        <v>3093.06</v>
      </c>
      <c r="H63" s="100">
        <f t="shared" si="10"/>
        <v>39.560237399999998</v>
      </c>
      <c r="I63" s="13">
        <f t="shared" si="11"/>
        <v>39560.237399999998</v>
      </c>
      <c r="J63" s="25"/>
      <c r="L63" s="21"/>
      <c r="M63" s="22"/>
      <c r="N63" s="23"/>
    </row>
    <row r="64" spans="1:14" ht="15.75" customHeight="1">
      <c r="A64" s="31">
        <v>14</v>
      </c>
      <c r="B64" s="165" t="s">
        <v>108</v>
      </c>
      <c r="C64" s="38" t="s">
        <v>32</v>
      </c>
      <c r="D64" s="119"/>
      <c r="E64" s="120">
        <v>7.5</v>
      </c>
      <c r="F64" s="37">
        <f>SUM(E64)</f>
        <v>7.5</v>
      </c>
      <c r="G64" s="37">
        <v>49.36</v>
      </c>
      <c r="H64" s="100">
        <f t="shared" si="10"/>
        <v>0.37019999999999997</v>
      </c>
      <c r="I64" s="13">
        <f t="shared" si="11"/>
        <v>370.2</v>
      </c>
      <c r="J64" s="25"/>
      <c r="L64" s="21"/>
      <c r="M64" s="22"/>
      <c r="N64" s="23"/>
    </row>
    <row r="65" spans="1:14" ht="15.75" customHeight="1">
      <c r="A65" s="31">
        <v>15</v>
      </c>
      <c r="B65" s="165" t="s">
        <v>109</v>
      </c>
      <c r="C65" s="38" t="s">
        <v>32</v>
      </c>
      <c r="D65" s="119"/>
      <c r="E65" s="120">
        <v>7.5</v>
      </c>
      <c r="F65" s="37">
        <f>SUM(E65)</f>
        <v>7.5</v>
      </c>
      <c r="G65" s="37">
        <v>56.66</v>
      </c>
      <c r="H65" s="100">
        <f t="shared" si="10"/>
        <v>0.42494999999999999</v>
      </c>
      <c r="I65" s="13">
        <f t="shared" si="11"/>
        <v>424.95</v>
      </c>
      <c r="J65" s="25"/>
      <c r="L65" s="21"/>
      <c r="M65" s="22"/>
      <c r="N65" s="23"/>
    </row>
    <row r="66" spans="1:14" ht="15.75" hidden="1" customHeight="1">
      <c r="A66" s="31">
        <v>13</v>
      </c>
      <c r="B66" s="15" t="s">
        <v>57</v>
      </c>
      <c r="C66" s="17" t="s">
        <v>58</v>
      </c>
      <c r="D66" s="15" t="s">
        <v>54</v>
      </c>
      <c r="E66" s="19">
        <v>1</v>
      </c>
      <c r="F66" s="94">
        <f>SUM(E66)</f>
        <v>1</v>
      </c>
      <c r="G66" s="13">
        <v>49.88</v>
      </c>
      <c r="H66" s="100">
        <f t="shared" si="10"/>
        <v>4.9880000000000001E-2</v>
      </c>
      <c r="I66" s="13">
        <f t="shared" si="11"/>
        <v>49.88</v>
      </c>
      <c r="J66" s="25"/>
      <c r="L66" s="21"/>
      <c r="M66" s="22"/>
      <c r="N66" s="23"/>
    </row>
    <row r="67" spans="1:14" ht="15.75" hidden="1" customHeight="1">
      <c r="A67" s="53"/>
      <c r="B67" s="75" t="s">
        <v>110</v>
      </c>
      <c r="C67" s="75"/>
      <c r="D67" s="75"/>
      <c r="E67" s="75"/>
      <c r="F67" s="75"/>
      <c r="G67" s="75"/>
      <c r="H67" s="75"/>
      <c r="I67" s="19"/>
      <c r="J67" s="25"/>
      <c r="L67" s="21"/>
      <c r="M67" s="22"/>
      <c r="N67" s="23"/>
    </row>
    <row r="68" spans="1:14" ht="15.75" hidden="1" customHeight="1">
      <c r="A68" s="31">
        <v>16</v>
      </c>
      <c r="B68" s="136" t="s">
        <v>111</v>
      </c>
      <c r="C68" s="17"/>
      <c r="D68" s="15"/>
      <c r="E68" s="85"/>
      <c r="F68" s="13">
        <v>1</v>
      </c>
      <c r="G68" s="13">
        <v>10041.700000000001</v>
      </c>
      <c r="H68" s="100">
        <f>G68*F68/1000</f>
        <v>10.041700000000001</v>
      </c>
      <c r="I68" s="13">
        <f>G68</f>
        <v>10041.700000000001</v>
      </c>
      <c r="J68" s="25"/>
      <c r="L68" s="21"/>
      <c r="M68" s="22"/>
      <c r="N68" s="23"/>
    </row>
    <row r="69" spans="1:14" ht="15.75" customHeight="1">
      <c r="A69" s="31"/>
      <c r="B69" s="135" t="s">
        <v>162</v>
      </c>
      <c r="C69" s="38"/>
      <c r="D69" s="119"/>
      <c r="E69" s="18"/>
      <c r="F69" s="68"/>
      <c r="G69" s="37"/>
      <c r="H69" s="133"/>
      <c r="I69" s="134"/>
      <c r="J69" s="25"/>
      <c r="L69" s="21"/>
      <c r="M69" s="22"/>
      <c r="N69" s="23"/>
    </row>
    <row r="70" spans="1:14" ht="30.75" customHeight="1">
      <c r="A70" s="31">
        <v>16</v>
      </c>
      <c r="B70" s="119" t="s">
        <v>163</v>
      </c>
      <c r="C70" s="41" t="s">
        <v>164</v>
      </c>
      <c r="D70" s="119"/>
      <c r="E70" s="18">
        <v>2581.1999999999998</v>
      </c>
      <c r="F70" s="37">
        <f>E70*12</f>
        <v>30974.399999999998</v>
      </c>
      <c r="G70" s="37">
        <v>2.6</v>
      </c>
      <c r="H70" s="133"/>
      <c r="I70" s="134">
        <f>G70*F70/12</f>
        <v>6711.12</v>
      </c>
      <c r="J70" s="25"/>
      <c r="L70" s="21"/>
      <c r="M70" s="22"/>
      <c r="N70" s="23"/>
    </row>
    <row r="71" spans="1:14" ht="15.75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4.25" hidden="1" customHeight="1">
      <c r="A72" s="31">
        <v>23</v>
      </c>
      <c r="B72" s="15" t="s">
        <v>73</v>
      </c>
      <c r="C72" s="17" t="s">
        <v>74</v>
      </c>
      <c r="D72" s="15" t="s">
        <v>179</v>
      </c>
      <c r="E72" s="19">
        <v>5</v>
      </c>
      <c r="F72" s="13">
        <v>0.5</v>
      </c>
      <c r="G72" s="131">
        <v>747.85</v>
      </c>
      <c r="H72" s="100">
        <f t="shared" ref="H72:H73" si="12">SUM(F72*G72/1000)</f>
        <v>0.37392500000000001</v>
      </c>
      <c r="I72" s="13">
        <f>G72*0.1</f>
        <v>74.785000000000011</v>
      </c>
      <c r="J72" s="25"/>
      <c r="L72" s="21"/>
      <c r="M72" s="22"/>
      <c r="N72" s="23"/>
    </row>
    <row r="73" spans="1:14" ht="15.75" hidden="1" customHeight="1">
      <c r="A73" s="31"/>
      <c r="B73" s="15" t="s">
        <v>123</v>
      </c>
      <c r="C73" s="17" t="s">
        <v>82</v>
      </c>
      <c r="D73" s="15"/>
      <c r="E73" s="19">
        <v>1</v>
      </c>
      <c r="F73" s="84">
        <f>E73</f>
        <v>1</v>
      </c>
      <c r="G73" s="13">
        <v>852.99</v>
      </c>
      <c r="H73" s="100">
        <f t="shared" si="12"/>
        <v>0.85299000000000003</v>
      </c>
      <c r="I73" s="13">
        <v>0</v>
      </c>
      <c r="J73" s="25"/>
      <c r="L73" s="21"/>
      <c r="M73" s="22"/>
      <c r="N73" s="23"/>
    </row>
    <row r="74" spans="1:14" ht="15.75" customHeight="1">
      <c r="A74" s="31">
        <v>17</v>
      </c>
      <c r="B74" s="119" t="s">
        <v>171</v>
      </c>
      <c r="C74" s="38" t="s">
        <v>82</v>
      </c>
      <c r="D74" s="119" t="s">
        <v>155</v>
      </c>
      <c r="E74" s="18">
        <v>2</v>
      </c>
      <c r="F74" s="68">
        <f>E74*12</f>
        <v>24</v>
      </c>
      <c r="G74" s="37">
        <v>420</v>
      </c>
      <c r="H74" s="100"/>
      <c r="I74" s="13">
        <f>G74*2</f>
        <v>840</v>
      </c>
      <c r="J74" s="25"/>
      <c r="L74" s="21"/>
      <c r="M74" s="22"/>
      <c r="N74" s="23"/>
    </row>
    <row r="75" spans="1:14" ht="15.75" hidden="1" customHeight="1">
      <c r="A75" s="31"/>
      <c r="B75" s="50" t="s">
        <v>75</v>
      </c>
      <c r="C75" s="38"/>
      <c r="D75" s="31"/>
      <c r="E75" s="19"/>
      <c r="F75" s="19"/>
      <c r="G75" s="37" t="s">
        <v>112</v>
      </c>
      <c r="H75" s="37"/>
      <c r="I75" s="19"/>
      <c r="J75" s="25"/>
      <c r="L75" s="21"/>
      <c r="M75" s="22"/>
      <c r="N75" s="23"/>
    </row>
    <row r="76" spans="1:14" ht="15.75" hidden="1" customHeight="1">
      <c r="A76" s="31">
        <v>12</v>
      </c>
      <c r="B76" s="52" t="s">
        <v>113</v>
      </c>
      <c r="C76" s="17" t="s">
        <v>76</v>
      </c>
      <c r="D76" s="15"/>
      <c r="E76" s="19"/>
      <c r="F76" s="13">
        <v>0.3</v>
      </c>
      <c r="G76" s="13">
        <v>2759.44</v>
      </c>
      <c r="H76" s="100">
        <f t="shared" ref="H76" si="13">SUM(F76*G76/1000)</f>
        <v>0.82783200000000001</v>
      </c>
      <c r="I76" s="13">
        <v>0</v>
      </c>
      <c r="J76" s="25"/>
      <c r="L76" s="21"/>
      <c r="M76" s="22"/>
      <c r="N76" s="23"/>
    </row>
    <row r="77" spans="1:14" ht="15.75" customHeight="1">
      <c r="A77" s="210" t="s">
        <v>128</v>
      </c>
      <c r="B77" s="211"/>
      <c r="C77" s="211"/>
      <c r="D77" s="211"/>
      <c r="E77" s="211"/>
      <c r="F77" s="211"/>
      <c r="G77" s="211"/>
      <c r="H77" s="211"/>
      <c r="I77" s="212"/>
      <c r="J77" s="25"/>
      <c r="L77" s="21"/>
      <c r="M77" s="22"/>
      <c r="N77" s="23"/>
    </row>
    <row r="78" spans="1:14" ht="15.75" customHeight="1">
      <c r="A78" s="31">
        <v>18</v>
      </c>
      <c r="B78" s="119" t="s">
        <v>114</v>
      </c>
      <c r="C78" s="38" t="s">
        <v>55</v>
      </c>
      <c r="D78" s="160"/>
      <c r="E78" s="37">
        <v>2581.1999999999998</v>
      </c>
      <c r="F78" s="37">
        <f>SUM(E78*12)</f>
        <v>30974.399999999998</v>
      </c>
      <c r="G78" s="37">
        <v>3.5</v>
      </c>
      <c r="H78" s="155">
        <f>SUM(F78*G78/1000)</f>
        <v>108.4104</v>
      </c>
      <c r="I78" s="13">
        <f>F78/12*G78</f>
        <v>9034.1999999999989</v>
      </c>
      <c r="J78" s="25"/>
      <c r="L78" s="21"/>
    </row>
    <row r="79" spans="1:14" ht="31.5" customHeight="1">
      <c r="A79" s="31">
        <v>19</v>
      </c>
      <c r="B79" s="157" t="s">
        <v>172</v>
      </c>
      <c r="C79" s="150" t="s">
        <v>55</v>
      </c>
      <c r="D79" s="158"/>
      <c r="E79" s="159">
        <f>E78</f>
        <v>2581.1999999999998</v>
      </c>
      <c r="F79" s="152">
        <f>E79*12</f>
        <v>30974.399999999998</v>
      </c>
      <c r="G79" s="152">
        <v>3.2</v>
      </c>
      <c r="H79" s="100">
        <f>F79*G79/1000</f>
        <v>99.118080000000006</v>
      </c>
      <c r="I79" s="13">
        <f>F79/12*G79</f>
        <v>8259.84</v>
      </c>
    </row>
    <row r="80" spans="1:14" ht="15.75" customHeight="1">
      <c r="A80" s="53"/>
      <c r="B80" s="39" t="s">
        <v>78</v>
      </c>
      <c r="C80" s="41"/>
      <c r="D80" s="16"/>
      <c r="E80" s="16"/>
      <c r="F80" s="16"/>
      <c r="G80" s="19"/>
      <c r="H80" s="19"/>
      <c r="I80" s="33">
        <f>I79+I78+I74+I70+I65+I64+I63+I62+I61+I57+I31+I30+I21+I20+I19+I18+I17+I16+I51</f>
        <v>129009.662834</v>
      </c>
    </row>
    <row r="81" spans="1:22" ht="15.75" customHeight="1">
      <c r="A81" s="213" t="s">
        <v>60</v>
      </c>
      <c r="B81" s="214"/>
      <c r="C81" s="214"/>
      <c r="D81" s="214"/>
      <c r="E81" s="214"/>
      <c r="F81" s="214"/>
      <c r="G81" s="214"/>
      <c r="H81" s="214"/>
      <c r="I81" s="215"/>
    </row>
    <row r="82" spans="1:22" ht="15.75" customHeight="1">
      <c r="A82" s="31">
        <v>20</v>
      </c>
      <c r="B82" s="117" t="s">
        <v>222</v>
      </c>
      <c r="C82" s="118" t="s">
        <v>29</v>
      </c>
      <c r="D82" s="66"/>
      <c r="E82" s="37"/>
      <c r="F82" s="37">
        <v>1.7024999999999999</v>
      </c>
      <c r="G82" s="37">
        <v>241.69</v>
      </c>
      <c r="H82" s="177"/>
      <c r="I82" s="178">
        <f>G82*1.7025</f>
        <v>411.47722499999998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9"/>
    </row>
    <row r="83" spans="1:22" ht="18.75" customHeight="1">
      <c r="A83" s="31">
        <v>21</v>
      </c>
      <c r="B83" s="180" t="s">
        <v>228</v>
      </c>
      <c r="C83" s="41" t="s">
        <v>117</v>
      </c>
      <c r="D83" s="66"/>
      <c r="E83" s="37"/>
      <c r="F83" s="37">
        <v>0.06</v>
      </c>
      <c r="G83" s="37">
        <v>2787.6</v>
      </c>
      <c r="H83" s="100"/>
      <c r="I83" s="13">
        <f>G83*0.06</f>
        <v>167.256</v>
      </c>
      <c r="J83" s="27"/>
      <c r="K83" s="27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2" ht="15.75" customHeight="1">
      <c r="A84" s="31">
        <v>22</v>
      </c>
      <c r="B84" s="117" t="s">
        <v>229</v>
      </c>
      <c r="C84" s="118" t="s">
        <v>29</v>
      </c>
      <c r="D84" s="66"/>
      <c r="E84" s="37"/>
      <c r="F84" s="37">
        <v>0.18379999999999999</v>
      </c>
      <c r="G84" s="37">
        <v>4683.09</v>
      </c>
      <c r="H84" s="100"/>
      <c r="I84" s="13">
        <f>G84*0.1838</f>
        <v>860.75194199999999</v>
      </c>
      <c r="J84" s="27"/>
      <c r="K84" s="27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2" ht="15.75" customHeight="1">
      <c r="A85" s="31">
        <v>23</v>
      </c>
      <c r="B85" s="117" t="s">
        <v>205</v>
      </c>
      <c r="C85" s="118" t="s">
        <v>29</v>
      </c>
      <c r="D85" s="66" t="s">
        <v>156</v>
      </c>
      <c r="E85" s="37"/>
      <c r="F85" s="37">
        <v>0.3</v>
      </c>
      <c r="G85" s="37">
        <v>1255.53</v>
      </c>
      <c r="H85" s="100"/>
      <c r="I85" s="13">
        <v>0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 customHeight="1">
      <c r="A86" s="31"/>
      <c r="B86" s="46" t="s">
        <v>52</v>
      </c>
      <c r="C86" s="42"/>
      <c r="D86" s="54"/>
      <c r="E86" s="42">
        <v>1</v>
      </c>
      <c r="F86" s="42"/>
      <c r="G86" s="42"/>
      <c r="H86" s="42"/>
      <c r="I86" s="33">
        <f>SUM(I82:I85)</f>
        <v>1439.4851669999998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2" ht="15.75" customHeight="1">
      <c r="A87" s="31"/>
      <c r="B87" s="52" t="s">
        <v>77</v>
      </c>
      <c r="C87" s="16"/>
      <c r="D87" s="16"/>
      <c r="E87" s="43"/>
      <c r="F87" s="43"/>
      <c r="G87" s="44"/>
      <c r="H87" s="44"/>
      <c r="I87" s="18">
        <v>0</v>
      </c>
    </row>
    <row r="88" spans="1:22" ht="15.75" customHeight="1">
      <c r="A88" s="55"/>
      <c r="B88" s="47" t="s">
        <v>131</v>
      </c>
      <c r="C88" s="36"/>
      <c r="D88" s="36"/>
      <c r="E88" s="36"/>
      <c r="F88" s="36"/>
      <c r="G88" s="36"/>
      <c r="H88" s="36"/>
      <c r="I88" s="45">
        <f>I80+I86</f>
        <v>130449.14800100001</v>
      </c>
    </row>
    <row r="89" spans="1:22" ht="15.75" customHeight="1">
      <c r="A89" s="209" t="s">
        <v>230</v>
      </c>
      <c r="B89" s="209"/>
      <c r="C89" s="209"/>
      <c r="D89" s="209"/>
      <c r="E89" s="209"/>
      <c r="F89" s="209"/>
      <c r="G89" s="209"/>
      <c r="H89" s="209"/>
      <c r="I89" s="209"/>
    </row>
    <row r="90" spans="1:22" ht="15.75" customHeight="1">
      <c r="A90" s="77"/>
      <c r="B90" s="190" t="s">
        <v>231</v>
      </c>
      <c r="C90" s="190"/>
      <c r="D90" s="190"/>
      <c r="E90" s="190"/>
      <c r="F90" s="190"/>
      <c r="G90" s="190"/>
      <c r="H90" s="89"/>
      <c r="I90" s="3"/>
    </row>
    <row r="91" spans="1:22" ht="15.75" customHeight="1">
      <c r="A91" s="70"/>
      <c r="B91" s="191" t="s">
        <v>6</v>
      </c>
      <c r="C91" s="191"/>
      <c r="D91" s="191"/>
      <c r="E91" s="191"/>
      <c r="F91" s="191"/>
      <c r="G91" s="191"/>
      <c r="H91" s="26"/>
      <c r="I91" s="5"/>
    </row>
    <row r="92" spans="1:22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22" ht="15.75" customHeight="1">
      <c r="A93" s="192" t="s">
        <v>7</v>
      </c>
      <c r="B93" s="192"/>
      <c r="C93" s="192"/>
      <c r="D93" s="192"/>
      <c r="E93" s="192"/>
      <c r="F93" s="192"/>
      <c r="G93" s="192"/>
      <c r="H93" s="192"/>
      <c r="I93" s="192"/>
    </row>
    <row r="94" spans="1:22" ht="15.75" customHeight="1">
      <c r="A94" s="192" t="s">
        <v>8</v>
      </c>
      <c r="B94" s="192"/>
      <c r="C94" s="192"/>
      <c r="D94" s="192"/>
      <c r="E94" s="192"/>
      <c r="F94" s="192"/>
      <c r="G94" s="192"/>
      <c r="H94" s="192"/>
      <c r="I94" s="192"/>
    </row>
    <row r="95" spans="1:22" ht="15.75" customHeight="1">
      <c r="A95" s="195" t="s">
        <v>61</v>
      </c>
      <c r="B95" s="195"/>
      <c r="C95" s="195"/>
      <c r="D95" s="195"/>
      <c r="E95" s="195"/>
      <c r="F95" s="195"/>
      <c r="G95" s="195"/>
      <c r="H95" s="195"/>
      <c r="I95" s="195"/>
    </row>
    <row r="96" spans="1:22" ht="15.75" customHeight="1">
      <c r="A96" s="11"/>
    </row>
    <row r="97" spans="1:9" ht="15.75" customHeight="1">
      <c r="A97" s="196" t="s">
        <v>9</v>
      </c>
      <c r="B97" s="196"/>
      <c r="C97" s="196"/>
      <c r="D97" s="196"/>
      <c r="E97" s="196"/>
      <c r="F97" s="196"/>
      <c r="G97" s="196"/>
      <c r="H97" s="196"/>
      <c r="I97" s="196"/>
    </row>
    <row r="98" spans="1:9" ht="15.75" customHeight="1">
      <c r="A98" s="4"/>
    </row>
    <row r="99" spans="1:9" ht="15.75" customHeight="1">
      <c r="B99" s="73" t="s">
        <v>10</v>
      </c>
      <c r="C99" s="197" t="s">
        <v>182</v>
      </c>
      <c r="D99" s="197"/>
      <c r="E99" s="197"/>
      <c r="F99" s="87"/>
      <c r="I99" s="72"/>
    </row>
    <row r="100" spans="1:9" ht="15.75" customHeight="1">
      <c r="A100" s="70"/>
      <c r="C100" s="191" t="s">
        <v>11</v>
      </c>
      <c r="D100" s="191"/>
      <c r="E100" s="191"/>
      <c r="F100" s="26"/>
      <c r="I100" s="71" t="s">
        <v>12</v>
      </c>
    </row>
    <row r="101" spans="1:9" ht="15.75" customHeight="1">
      <c r="A101" s="27"/>
      <c r="C101" s="12"/>
      <c r="D101" s="12"/>
      <c r="G101" s="12"/>
      <c r="H101" s="12"/>
    </row>
    <row r="102" spans="1:9" ht="15.75" customHeight="1">
      <c r="B102" s="73" t="s">
        <v>13</v>
      </c>
      <c r="C102" s="198"/>
      <c r="D102" s="198"/>
      <c r="E102" s="198"/>
      <c r="F102" s="88"/>
      <c r="I102" s="72"/>
    </row>
    <row r="103" spans="1:9" ht="15.75" customHeight="1">
      <c r="A103" s="70"/>
      <c r="C103" s="194" t="s">
        <v>11</v>
      </c>
      <c r="D103" s="194"/>
      <c r="E103" s="194"/>
      <c r="F103" s="70"/>
      <c r="I103" s="71" t="s">
        <v>12</v>
      </c>
    </row>
    <row r="104" spans="1:9" ht="15.75" customHeight="1">
      <c r="A104" s="4" t="s">
        <v>14</v>
      </c>
    </row>
    <row r="105" spans="1:9">
      <c r="A105" s="193" t="s">
        <v>15</v>
      </c>
      <c r="B105" s="193"/>
      <c r="C105" s="193"/>
      <c r="D105" s="193"/>
      <c r="E105" s="193"/>
      <c r="F105" s="193"/>
      <c r="G105" s="193"/>
      <c r="H105" s="193"/>
      <c r="I105" s="193"/>
    </row>
    <row r="106" spans="1:9" ht="45" customHeight="1">
      <c r="A106" s="189" t="s">
        <v>16</v>
      </c>
      <c r="B106" s="189"/>
      <c r="C106" s="189"/>
      <c r="D106" s="189"/>
      <c r="E106" s="189"/>
      <c r="F106" s="189"/>
      <c r="G106" s="189"/>
      <c r="H106" s="189"/>
      <c r="I106" s="189"/>
    </row>
    <row r="107" spans="1:9" ht="30" customHeight="1">
      <c r="A107" s="189" t="s">
        <v>17</v>
      </c>
      <c r="B107" s="189"/>
      <c r="C107" s="189"/>
      <c r="D107" s="189"/>
      <c r="E107" s="189"/>
      <c r="F107" s="189"/>
      <c r="G107" s="189"/>
      <c r="H107" s="189"/>
      <c r="I107" s="189"/>
    </row>
    <row r="108" spans="1:9" ht="30" customHeight="1">
      <c r="A108" s="189" t="s">
        <v>21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15" customHeight="1">
      <c r="A109" s="189" t="s">
        <v>20</v>
      </c>
      <c r="B109" s="189"/>
      <c r="C109" s="189"/>
      <c r="D109" s="189"/>
      <c r="E109" s="189"/>
      <c r="F109" s="189"/>
      <c r="G109" s="189"/>
      <c r="H109" s="189"/>
      <c r="I109" s="189"/>
    </row>
  </sheetData>
  <autoFilter ref="I12:I80"/>
  <mergeCells count="28">
    <mergeCell ref="A14:I14"/>
    <mergeCell ref="A3:I3"/>
    <mergeCell ref="A4:I4"/>
    <mergeCell ref="A5:I5"/>
    <mergeCell ref="A8:I8"/>
    <mergeCell ref="A10:I10"/>
    <mergeCell ref="A95:I95"/>
    <mergeCell ref="A15:I15"/>
    <mergeCell ref="A28:I28"/>
    <mergeCell ref="A41:I41"/>
    <mergeCell ref="A52:I52"/>
    <mergeCell ref="A77:I77"/>
    <mergeCell ref="A81:I81"/>
    <mergeCell ref="A89:I89"/>
    <mergeCell ref="B90:G90"/>
    <mergeCell ref="B91:G91"/>
    <mergeCell ref="A93:I93"/>
    <mergeCell ref="A94:I94"/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91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0"/>
  <sheetViews>
    <sheetView topLeftCell="A71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141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232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2">
        <v>44408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180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27" si="0">SUM(F16*G16/1000)</f>
        <v>19.381602239999999</v>
      </c>
      <c r="I16" s="13">
        <f>F16/156*10*G16</f>
        <v>1242.4104000000002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F17/104*6*G17</f>
        <v>2981.78496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154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si="0"/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customHeight="1">
      <c r="A22" s="31">
        <v>6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0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customHeight="1">
      <c r="A23" s="31">
        <v>7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0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customHeight="1">
      <c r="A24" s="31">
        <v>8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0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customHeight="1">
      <c r="A25" s="31">
        <v>9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customHeight="1">
      <c r="A26" s="31">
        <v>10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0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hidden="1" customHeight="1">
      <c r="A27" s="31">
        <v>4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11</v>
      </c>
      <c r="B30" s="34" t="s">
        <v>94</v>
      </c>
      <c r="C30" s="40" t="s">
        <v>95</v>
      </c>
      <c r="D30" s="34" t="s">
        <v>175</v>
      </c>
      <c r="E30" s="121">
        <v>313</v>
      </c>
      <c r="F30" s="121">
        <f>SUM(E30*24/1000)</f>
        <v>7.5119999999999996</v>
      </c>
      <c r="G30" s="121">
        <v>232.4</v>
      </c>
      <c r="H30" s="95">
        <f t="shared" ref="H30:H31" si="1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12</v>
      </c>
      <c r="B31" s="34" t="s">
        <v>129</v>
      </c>
      <c r="C31" s="40" t="s">
        <v>95</v>
      </c>
      <c r="D31" s="34" t="s">
        <v>152</v>
      </c>
      <c r="E31" s="121">
        <v>26.33</v>
      </c>
      <c r="F31" s="121">
        <f>SUM(E31*78/1000)</f>
        <v>2.0537399999999999</v>
      </c>
      <c r="G31" s="121">
        <v>385.6</v>
      </c>
      <c r="H31" s="95">
        <f t="shared" si="1"/>
        <v>0.79192214400000005</v>
      </c>
      <c r="I31" s="13">
        <f t="shared" ref="I31" si="2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3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4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5">SUM(F35*G35/1000)</f>
        <v>9.1632000000000016</v>
      </c>
      <c r="I35" s="13">
        <f t="shared" ref="I35:I40" si="6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120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5"/>
        <v>68.13378809999999</v>
      </c>
      <c r="I36" s="13">
        <f t="shared" si="6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99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5"/>
        <v>2.4464812499999997</v>
      </c>
      <c r="I37" s="13">
        <f t="shared" si="6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79</v>
      </c>
      <c r="C38" s="92" t="s">
        <v>95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5"/>
        <v>18.280331999999998</v>
      </c>
      <c r="I38" s="13">
        <f t="shared" si="6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100</v>
      </c>
      <c r="C39" s="92" t="s">
        <v>95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5"/>
        <v>0.86811749999999999</v>
      </c>
      <c r="I39" s="13">
        <f t="shared" si="6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5"/>
        <v>0.47879999999999995</v>
      </c>
      <c r="I40" s="13">
        <f t="shared" si="6"/>
        <v>79.8</v>
      </c>
      <c r="J40" s="24"/>
      <c r="K40" s="8"/>
      <c r="L40" s="8"/>
      <c r="M40" s="8"/>
    </row>
    <row r="41" spans="1:13" ht="15.75" hidden="1" customHeight="1">
      <c r="A41" s="206" t="s">
        <v>126</v>
      </c>
      <c r="B41" s="207"/>
      <c r="C41" s="207"/>
      <c r="D41" s="207"/>
      <c r="E41" s="207"/>
      <c r="F41" s="207"/>
      <c r="G41" s="207"/>
      <c r="H41" s="207"/>
      <c r="I41" s="208"/>
      <c r="J41" s="24"/>
      <c r="K41" s="8"/>
      <c r="L41" s="8"/>
      <c r="M41" s="8"/>
    </row>
    <row r="42" spans="1:13" ht="15.75" hidden="1" customHeight="1">
      <c r="A42" s="41">
        <v>18</v>
      </c>
      <c r="B42" s="91" t="s">
        <v>101</v>
      </c>
      <c r="C42" s="92" t="s">
        <v>95</v>
      </c>
      <c r="D42" s="91" t="s">
        <v>42</v>
      </c>
      <c r="E42" s="93">
        <v>965.8</v>
      </c>
      <c r="F42" s="94">
        <f>SUM(E42*2/1000)</f>
        <v>1.9316</v>
      </c>
      <c r="G42" s="13">
        <v>849.49</v>
      </c>
      <c r="H42" s="95">
        <f t="shared" ref="H42:H51" si="7">SUM(F42*G42/1000)</f>
        <v>1.640874884</v>
      </c>
      <c r="I42" s="13">
        <f t="shared" ref="I42:I45" si="8">F42/2*G42</f>
        <v>820.43744200000003</v>
      </c>
      <c r="J42" s="24"/>
      <c r="K42" s="8"/>
    </row>
    <row r="43" spans="1:13" ht="15.75" hidden="1" customHeight="1">
      <c r="A43" s="41">
        <v>19</v>
      </c>
      <c r="B43" s="91" t="s">
        <v>35</v>
      </c>
      <c r="C43" s="92" t="s">
        <v>95</v>
      </c>
      <c r="D43" s="91" t="s">
        <v>42</v>
      </c>
      <c r="E43" s="93">
        <v>36</v>
      </c>
      <c r="F43" s="94">
        <f>SUM(E43*2/1000)</f>
        <v>7.1999999999999995E-2</v>
      </c>
      <c r="G43" s="13">
        <v>579.48</v>
      </c>
      <c r="H43" s="95">
        <f t="shared" si="7"/>
        <v>4.1722559999999999E-2</v>
      </c>
      <c r="I43" s="13">
        <f t="shared" si="8"/>
        <v>20.861280000000001</v>
      </c>
      <c r="J43" s="25"/>
    </row>
    <row r="44" spans="1:13" ht="15.75" hidden="1" customHeight="1">
      <c r="A44" s="41">
        <v>20</v>
      </c>
      <c r="B44" s="91" t="s">
        <v>36</v>
      </c>
      <c r="C44" s="92" t="s">
        <v>95</v>
      </c>
      <c r="D44" s="91" t="s">
        <v>42</v>
      </c>
      <c r="E44" s="93">
        <v>1197.7</v>
      </c>
      <c r="F44" s="94">
        <f>SUM(E44*2/1000)</f>
        <v>2.3954</v>
      </c>
      <c r="G44" s="13">
        <v>579.48</v>
      </c>
      <c r="H44" s="95">
        <f t="shared" si="7"/>
        <v>1.3880863919999999</v>
      </c>
      <c r="I44" s="13">
        <f t="shared" si="8"/>
        <v>694.04319599999997</v>
      </c>
      <c r="J44" s="25"/>
    </row>
    <row r="45" spans="1:13" ht="15.75" hidden="1" customHeight="1">
      <c r="A45" s="41">
        <v>21</v>
      </c>
      <c r="B45" s="91" t="s">
        <v>37</v>
      </c>
      <c r="C45" s="92" t="s">
        <v>95</v>
      </c>
      <c r="D45" s="91" t="s">
        <v>42</v>
      </c>
      <c r="E45" s="93">
        <v>2275.92</v>
      </c>
      <c r="F45" s="94">
        <f>SUM(E45*2/1000)</f>
        <v>4.5518400000000003</v>
      </c>
      <c r="G45" s="13">
        <v>606.77</v>
      </c>
      <c r="H45" s="95">
        <f t="shared" si="7"/>
        <v>2.7619199567999999</v>
      </c>
      <c r="I45" s="13">
        <f t="shared" si="8"/>
        <v>1380.9599784</v>
      </c>
      <c r="J45" s="25"/>
    </row>
    <row r="46" spans="1:13" ht="15.75" hidden="1" customHeight="1">
      <c r="A46" s="41">
        <v>22</v>
      </c>
      <c r="B46" s="91" t="s">
        <v>33</v>
      </c>
      <c r="C46" s="92" t="s">
        <v>34</v>
      </c>
      <c r="D46" s="91" t="s">
        <v>42</v>
      </c>
      <c r="E46" s="93">
        <v>81.709999999999994</v>
      </c>
      <c r="F46" s="94">
        <f>SUM(E46*2/100)</f>
        <v>1.6341999999999999</v>
      </c>
      <c r="G46" s="13">
        <v>68.56</v>
      </c>
      <c r="H46" s="95">
        <f t="shared" si="7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1" t="s">
        <v>56</v>
      </c>
      <c r="C47" s="92" t="s">
        <v>95</v>
      </c>
      <c r="D47" s="91" t="s">
        <v>130</v>
      </c>
      <c r="E47" s="93">
        <v>1711.8</v>
      </c>
      <c r="F47" s="94">
        <f>SUM(E47*5/1000)</f>
        <v>8.5589999999999993</v>
      </c>
      <c r="G47" s="13">
        <v>1213.55</v>
      </c>
      <c r="H47" s="95">
        <f t="shared" si="7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1" t="s">
        <v>102</v>
      </c>
      <c r="C48" s="92" t="s">
        <v>95</v>
      </c>
      <c r="D48" s="91" t="s">
        <v>42</v>
      </c>
      <c r="E48" s="93">
        <v>1711.8</v>
      </c>
      <c r="F48" s="94">
        <f>SUM(E48*2/1000)</f>
        <v>3.4236</v>
      </c>
      <c r="G48" s="13">
        <v>1213.55</v>
      </c>
      <c r="H48" s="95">
        <f t="shared" si="7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1" t="s">
        <v>103</v>
      </c>
      <c r="C49" s="92" t="s">
        <v>38</v>
      </c>
      <c r="D49" s="91" t="s">
        <v>42</v>
      </c>
      <c r="E49" s="93">
        <v>15</v>
      </c>
      <c r="F49" s="94">
        <f>SUM(E49*2/100)</f>
        <v>0.3</v>
      </c>
      <c r="G49" s="13">
        <v>2730.49</v>
      </c>
      <c r="H49" s="95">
        <f t="shared" si="7"/>
        <v>0.81914699999999996</v>
      </c>
      <c r="I49" s="13">
        <f t="shared" ref="I49:I50" si="9">F49/2*G49</f>
        <v>409.57349999999997</v>
      </c>
      <c r="J49" s="25"/>
    </row>
    <row r="50" spans="1:14" ht="15.75" hidden="1" customHeight="1">
      <c r="A50" s="41">
        <v>16</v>
      </c>
      <c r="B50" s="91" t="s">
        <v>39</v>
      </c>
      <c r="C50" s="92" t="s">
        <v>40</v>
      </c>
      <c r="D50" s="91" t="s">
        <v>42</v>
      </c>
      <c r="E50" s="93">
        <v>1</v>
      </c>
      <c r="F50" s="94">
        <v>0.02</v>
      </c>
      <c r="G50" s="13">
        <v>5322.15</v>
      </c>
      <c r="H50" s="95">
        <f t="shared" si="7"/>
        <v>0.106443</v>
      </c>
      <c r="I50" s="13">
        <f t="shared" si="9"/>
        <v>53.221499999999999</v>
      </c>
      <c r="J50" s="25"/>
      <c r="L50" s="21"/>
      <c r="M50" s="22"/>
      <c r="N50" s="23"/>
    </row>
    <row r="51" spans="1:14" ht="15.75" hidden="1" customHeight="1">
      <c r="A51" s="41">
        <v>11</v>
      </c>
      <c r="B51" s="91" t="s">
        <v>41</v>
      </c>
      <c r="C51" s="92" t="s">
        <v>82</v>
      </c>
      <c r="D51" s="91" t="s">
        <v>71</v>
      </c>
      <c r="E51" s="93">
        <v>90</v>
      </c>
      <c r="F51" s="94">
        <f>SUM(E51)*3</f>
        <v>270</v>
      </c>
      <c r="G51" s="13">
        <v>65.67</v>
      </c>
      <c r="H51" s="95">
        <f t="shared" si="7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206" t="s">
        <v>137</v>
      </c>
      <c r="B52" s="207"/>
      <c r="C52" s="207"/>
      <c r="D52" s="207"/>
      <c r="E52" s="207"/>
      <c r="F52" s="207"/>
      <c r="G52" s="207"/>
      <c r="H52" s="207"/>
      <c r="I52" s="208"/>
      <c r="J52" s="25"/>
      <c r="L52" s="21"/>
      <c r="M52" s="22"/>
      <c r="N52" s="23"/>
    </row>
    <row r="53" spans="1:14" ht="15.75" hidden="1" customHeight="1">
      <c r="A53" s="90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104</v>
      </c>
      <c r="C54" s="92" t="s">
        <v>85</v>
      </c>
      <c r="D54" s="91" t="s">
        <v>105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85</v>
      </c>
      <c r="D56" s="91" t="s">
        <v>54</v>
      </c>
      <c r="E56" s="93">
        <v>855.9</v>
      </c>
      <c r="F56" s="95">
        <v>8.6</v>
      </c>
      <c r="G56" s="13">
        <v>747.3</v>
      </c>
      <c r="H56" s="98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13</v>
      </c>
      <c r="B57" s="91" t="s">
        <v>83</v>
      </c>
      <c r="C57" s="92" t="s">
        <v>25</v>
      </c>
      <c r="D57" s="91" t="s">
        <v>156</v>
      </c>
      <c r="E57" s="93">
        <v>256</v>
      </c>
      <c r="F57" s="95">
        <f>E57*12</f>
        <v>3072</v>
      </c>
      <c r="G57" s="13">
        <v>1.4</v>
      </c>
      <c r="H57" s="98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121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122</v>
      </c>
      <c r="C59" s="92" t="s">
        <v>82</v>
      </c>
      <c r="D59" s="91" t="s">
        <v>65</v>
      </c>
      <c r="E59" s="93">
        <v>2</v>
      </c>
      <c r="F59" s="94">
        <f>SUM(E59)</f>
        <v>2</v>
      </c>
      <c r="G59" s="99">
        <v>237.75</v>
      </c>
      <c r="H59" s="95">
        <f t="shared" ref="H59" si="10">SUM(F59*G59/1000)</f>
        <v>0.47549999999999998</v>
      </c>
      <c r="I59" s="13">
        <v>0</v>
      </c>
      <c r="J59" s="25"/>
      <c r="L59" s="21"/>
      <c r="M59" s="22"/>
      <c r="N59" s="23"/>
    </row>
    <row r="60" spans="1:14" ht="13.5" hidden="1" customHeight="1">
      <c r="A60" s="41"/>
      <c r="B60" s="81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22.5" hidden="1" customHeight="1">
      <c r="A61" s="41">
        <v>8</v>
      </c>
      <c r="B61" s="15" t="s">
        <v>47</v>
      </c>
      <c r="C61" s="17" t="s">
        <v>82</v>
      </c>
      <c r="D61" s="91" t="s">
        <v>156</v>
      </c>
      <c r="E61" s="19">
        <v>10</v>
      </c>
      <c r="F61" s="94">
        <v>10</v>
      </c>
      <c r="G61" s="131">
        <v>331.57</v>
      </c>
      <c r="H61" s="100">
        <f t="shared" ref="H61:H68" si="11">SUM(F61*G61/1000)</f>
        <v>3.3156999999999996</v>
      </c>
      <c r="I61" s="13">
        <f>G61*1</f>
        <v>331.57</v>
      </c>
      <c r="J61" s="25"/>
      <c r="L61" s="21"/>
      <c r="M61" s="22"/>
      <c r="N61" s="23"/>
    </row>
    <row r="62" spans="1:14" ht="24.75" hidden="1" customHeight="1">
      <c r="A62" s="31">
        <v>29</v>
      </c>
      <c r="B62" s="15" t="s">
        <v>48</v>
      </c>
      <c r="C62" s="17" t="s">
        <v>82</v>
      </c>
      <c r="D62" s="91" t="s">
        <v>65</v>
      </c>
      <c r="E62" s="19">
        <v>5</v>
      </c>
      <c r="F62" s="94">
        <v>5</v>
      </c>
      <c r="G62" s="13">
        <v>75.25</v>
      </c>
      <c r="H62" s="100">
        <f t="shared" si="11"/>
        <v>0.37624999999999997</v>
      </c>
      <c r="I62" s="13">
        <v>0</v>
      </c>
      <c r="J62" s="25"/>
      <c r="L62" s="21"/>
      <c r="M62" s="22"/>
      <c r="N62" s="23"/>
    </row>
    <row r="63" spans="1:14" ht="19.5" hidden="1" customHeight="1">
      <c r="A63" s="31">
        <v>25</v>
      </c>
      <c r="B63" s="15" t="s">
        <v>49</v>
      </c>
      <c r="C63" s="17" t="s">
        <v>106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0">
        <f t="shared" si="11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24" hidden="1" customHeight="1">
      <c r="A64" s="31">
        <v>26</v>
      </c>
      <c r="B64" s="15" t="s">
        <v>50</v>
      </c>
      <c r="C64" s="17" t="s">
        <v>107</v>
      </c>
      <c r="D64" s="15"/>
      <c r="E64" s="93">
        <v>13018</v>
      </c>
      <c r="F64" s="13">
        <f>SUM(E64/1000)</f>
        <v>13.018000000000001</v>
      </c>
      <c r="G64" s="13">
        <v>165.21</v>
      </c>
      <c r="H64" s="100">
        <f t="shared" si="11"/>
        <v>2.1507037800000002</v>
      </c>
      <c r="I64" s="13">
        <f t="shared" ref="I64:I68" si="12">F64*G64</f>
        <v>2150.7037800000003</v>
      </c>
      <c r="J64" s="25"/>
      <c r="L64" s="21"/>
      <c r="M64" s="22"/>
      <c r="N64" s="23"/>
    </row>
    <row r="65" spans="1:14" ht="22.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0">
        <f t="shared" si="11"/>
        <v>26.534517700000002</v>
      </c>
      <c r="I65" s="13">
        <f t="shared" si="12"/>
        <v>26534.5177</v>
      </c>
      <c r="J65" s="25"/>
      <c r="L65" s="21"/>
      <c r="M65" s="22"/>
      <c r="N65" s="23"/>
    </row>
    <row r="66" spans="1:14" ht="22.5" hidden="1" customHeight="1">
      <c r="A66" s="31">
        <v>28</v>
      </c>
      <c r="B66" s="101" t="s">
        <v>108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0">
        <f t="shared" si="11"/>
        <v>0.54383999999999999</v>
      </c>
      <c r="I66" s="13">
        <f t="shared" si="12"/>
        <v>543.84</v>
      </c>
      <c r="J66" s="25"/>
      <c r="L66" s="21"/>
      <c r="M66" s="22"/>
      <c r="N66" s="23"/>
    </row>
    <row r="67" spans="1:14" ht="23.25" hidden="1" customHeight="1">
      <c r="A67" s="31">
        <v>29</v>
      </c>
      <c r="B67" s="101" t="s">
        <v>109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0">
        <f t="shared" si="11"/>
        <v>0.50736000000000003</v>
      </c>
      <c r="I67" s="13">
        <f t="shared" si="12"/>
        <v>507.36</v>
      </c>
      <c r="J67" s="25"/>
      <c r="L67" s="21"/>
      <c r="M67" s="22"/>
      <c r="N67" s="23"/>
    </row>
    <row r="68" spans="1:14" ht="24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4">
        <f>SUM(E68)</f>
        <v>1</v>
      </c>
      <c r="G68" s="13">
        <v>49.88</v>
      </c>
      <c r="H68" s="100">
        <f t="shared" si="11"/>
        <v>4.9880000000000001E-2</v>
      </c>
      <c r="I68" s="13">
        <f t="shared" si="12"/>
        <v>49.88</v>
      </c>
      <c r="J68" s="25"/>
      <c r="L68" s="21"/>
      <c r="M68" s="22"/>
      <c r="N68" s="23"/>
    </row>
    <row r="69" spans="1:14" ht="21.75" hidden="1" customHeight="1">
      <c r="A69" s="90"/>
      <c r="B69" s="81" t="s">
        <v>110</v>
      </c>
      <c r="C69" s="81"/>
      <c r="D69" s="81"/>
      <c r="E69" s="81"/>
      <c r="F69" s="81"/>
      <c r="G69" s="81"/>
      <c r="H69" s="81"/>
      <c r="I69" s="19"/>
      <c r="J69" s="25"/>
      <c r="L69" s="21"/>
      <c r="M69" s="22"/>
      <c r="N69" s="23"/>
    </row>
    <row r="70" spans="1:14" ht="19.5" hidden="1" customHeight="1">
      <c r="A70" s="31">
        <v>16</v>
      </c>
      <c r="B70" s="91" t="s">
        <v>111</v>
      </c>
      <c r="C70" s="17"/>
      <c r="D70" s="15"/>
      <c r="E70" s="85"/>
      <c r="F70" s="13">
        <v>1</v>
      </c>
      <c r="G70" s="13">
        <v>10041.700000000001</v>
      </c>
      <c r="H70" s="100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8.75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6.5" hidden="1" customHeight="1">
      <c r="A72" s="31">
        <v>12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0">
        <f t="shared" ref="H72:H74" si="13">SUM(F72*G72/1000)</f>
        <v>0.25080999999999998</v>
      </c>
      <c r="I72" s="13">
        <f>G72*0.1</f>
        <v>50.162000000000006</v>
      </c>
      <c r="J72" s="25"/>
      <c r="L72" s="21"/>
      <c r="M72" s="22"/>
      <c r="N72" s="23"/>
    </row>
    <row r="73" spans="1:14" ht="16.5" hidden="1" customHeight="1">
      <c r="A73" s="31"/>
      <c r="B73" s="15" t="s">
        <v>123</v>
      </c>
      <c r="C73" s="17" t="s">
        <v>82</v>
      </c>
      <c r="D73" s="15"/>
      <c r="E73" s="19">
        <v>1</v>
      </c>
      <c r="F73" s="84">
        <f>E73</f>
        <v>1</v>
      </c>
      <c r="G73" s="13">
        <v>852.99</v>
      </c>
      <c r="H73" s="100">
        <f t="shared" si="13"/>
        <v>0.85299000000000003</v>
      </c>
      <c r="I73" s="13">
        <v>0</v>
      </c>
      <c r="J73" s="25"/>
      <c r="L73" s="21"/>
      <c r="M73" s="22"/>
      <c r="N73" s="23"/>
    </row>
    <row r="74" spans="1:14" ht="15" hidden="1" customHeight="1">
      <c r="A74" s="31"/>
      <c r="B74" s="15" t="s">
        <v>124</v>
      </c>
      <c r="C74" s="17" t="s">
        <v>82</v>
      </c>
      <c r="D74" s="15"/>
      <c r="E74" s="19">
        <v>1</v>
      </c>
      <c r="F74" s="94">
        <f>SUM(E74)</f>
        <v>1</v>
      </c>
      <c r="G74" s="13">
        <v>358.51</v>
      </c>
      <c r="H74" s="100">
        <f t="shared" si="13"/>
        <v>0.35851</v>
      </c>
      <c r="I74" s="13">
        <v>0</v>
      </c>
      <c r="J74" s="25"/>
      <c r="L74" s="21"/>
      <c r="M74" s="22"/>
      <c r="N74" s="23"/>
    </row>
    <row r="75" spans="1:14" ht="15" customHeight="1">
      <c r="A75" s="31">
        <v>14</v>
      </c>
      <c r="B75" s="119" t="s">
        <v>171</v>
      </c>
      <c r="C75" s="38" t="s">
        <v>82</v>
      </c>
      <c r="D75" s="119" t="s">
        <v>155</v>
      </c>
      <c r="E75" s="18">
        <v>2</v>
      </c>
      <c r="F75" s="68">
        <f>E75*12</f>
        <v>24</v>
      </c>
      <c r="G75" s="37">
        <v>420</v>
      </c>
      <c r="H75" s="100"/>
      <c r="I75" s="13">
        <f>G75*2</f>
        <v>840</v>
      </c>
      <c r="J75" s="25"/>
      <c r="L75" s="21"/>
      <c r="M75" s="22"/>
      <c r="N75" s="23"/>
    </row>
    <row r="76" spans="1:14" ht="17.25" hidden="1" customHeight="1">
      <c r="A76" s="31"/>
      <c r="B76" s="50" t="s">
        <v>75</v>
      </c>
      <c r="C76" s="38"/>
      <c r="D76" s="31"/>
      <c r="E76" s="19"/>
      <c r="F76" s="19"/>
      <c r="G76" s="37" t="s">
        <v>112</v>
      </c>
      <c r="H76" s="37"/>
      <c r="I76" s="19"/>
      <c r="J76" s="25"/>
      <c r="L76" s="21"/>
      <c r="M76" s="22"/>
      <c r="N76" s="23"/>
    </row>
    <row r="77" spans="1:14" ht="18" hidden="1" customHeight="1">
      <c r="A77" s="31">
        <v>12</v>
      </c>
      <c r="B77" s="52" t="s">
        <v>113</v>
      </c>
      <c r="C77" s="17" t="s">
        <v>76</v>
      </c>
      <c r="D77" s="15"/>
      <c r="E77" s="19"/>
      <c r="F77" s="13">
        <v>0.3</v>
      </c>
      <c r="G77" s="13">
        <v>2759.44</v>
      </c>
      <c r="H77" s="100">
        <f t="shared" ref="H77" si="14">SUM(F77*G77/1000)</f>
        <v>0.82783200000000001</v>
      </c>
      <c r="I77" s="13">
        <v>0</v>
      </c>
      <c r="J77" s="25"/>
      <c r="L77" s="21"/>
      <c r="M77" s="22"/>
      <c r="N77" s="23"/>
    </row>
    <row r="78" spans="1:14" ht="18" customHeight="1">
      <c r="A78" s="132"/>
      <c r="B78" s="135" t="s">
        <v>162</v>
      </c>
      <c r="C78" s="38"/>
      <c r="D78" s="119"/>
      <c r="E78" s="18"/>
      <c r="F78" s="68"/>
      <c r="G78" s="37"/>
      <c r="H78" s="133"/>
      <c r="I78" s="134"/>
      <c r="J78" s="25"/>
      <c r="L78" s="21"/>
      <c r="M78" s="22"/>
      <c r="N78" s="23"/>
    </row>
    <row r="79" spans="1:14" ht="33" customHeight="1">
      <c r="A79" s="132">
        <v>15</v>
      </c>
      <c r="B79" s="119" t="s">
        <v>163</v>
      </c>
      <c r="C79" s="41" t="s">
        <v>164</v>
      </c>
      <c r="D79" s="119"/>
      <c r="E79" s="18">
        <v>2581.1999999999998</v>
      </c>
      <c r="F79" s="37">
        <f>E79*12</f>
        <v>30974.399999999998</v>
      </c>
      <c r="G79" s="37">
        <v>2.6</v>
      </c>
      <c r="H79" s="133"/>
      <c r="I79" s="134">
        <f>G79*F79/12</f>
        <v>6711.12</v>
      </c>
      <c r="J79" s="25"/>
      <c r="L79" s="21"/>
      <c r="M79" s="22"/>
      <c r="N79" s="23"/>
    </row>
    <row r="80" spans="1:14" ht="15.75" customHeight="1">
      <c r="A80" s="210" t="s">
        <v>138</v>
      </c>
      <c r="B80" s="211"/>
      <c r="C80" s="211"/>
      <c r="D80" s="211"/>
      <c r="E80" s="211"/>
      <c r="F80" s="211"/>
      <c r="G80" s="211"/>
      <c r="H80" s="211"/>
      <c r="I80" s="212"/>
      <c r="J80" s="25"/>
      <c r="L80" s="21"/>
      <c r="M80" s="22"/>
      <c r="N80" s="23"/>
    </row>
    <row r="81" spans="1:22" ht="15.75" customHeight="1">
      <c r="A81" s="31">
        <v>16</v>
      </c>
      <c r="B81" s="119" t="s">
        <v>114</v>
      </c>
      <c r="C81" s="38" t="s">
        <v>55</v>
      </c>
      <c r="D81" s="160"/>
      <c r="E81" s="37">
        <v>2581.1999999999998</v>
      </c>
      <c r="F81" s="37">
        <f>SUM(E81*12)</f>
        <v>30974.399999999998</v>
      </c>
      <c r="G81" s="37">
        <v>3.5</v>
      </c>
      <c r="H81" s="155">
        <f>SUM(F81*G81/1000)</f>
        <v>108.4104</v>
      </c>
      <c r="I81" s="13">
        <f>F81/12*G81</f>
        <v>9034.1999999999989</v>
      </c>
      <c r="J81" s="25"/>
      <c r="L81" s="21"/>
    </row>
    <row r="82" spans="1:22" ht="31.5" customHeight="1">
      <c r="A82" s="31">
        <v>17</v>
      </c>
      <c r="B82" s="157" t="s">
        <v>172</v>
      </c>
      <c r="C82" s="150" t="s">
        <v>55</v>
      </c>
      <c r="D82" s="158"/>
      <c r="E82" s="159">
        <f>E81</f>
        <v>2581.1999999999998</v>
      </c>
      <c r="F82" s="152">
        <f>E82*12</f>
        <v>30974.399999999998</v>
      </c>
      <c r="G82" s="152">
        <v>3.2</v>
      </c>
      <c r="H82" s="100">
        <f>F82*G82/1000</f>
        <v>99.118080000000006</v>
      </c>
      <c r="I82" s="13">
        <f>F82/12*G82</f>
        <v>8259.84</v>
      </c>
    </row>
    <row r="83" spans="1:22" ht="15.75" customHeight="1">
      <c r="A83" s="90"/>
      <c r="B83" s="39" t="s">
        <v>78</v>
      </c>
      <c r="C83" s="41"/>
      <c r="D83" s="16"/>
      <c r="E83" s="16"/>
      <c r="F83" s="16"/>
      <c r="G83" s="19"/>
      <c r="H83" s="19"/>
      <c r="I83" s="33">
        <f>I82+I81+I79+I75+I57+I31+I30+I26+I25+I24+I23+I22+I21+I20+I18+I17+I16</f>
        <v>34558.917921999993</v>
      </c>
    </row>
    <row r="84" spans="1:22" ht="15.75" customHeight="1">
      <c r="A84" s="213" t="s">
        <v>60</v>
      </c>
      <c r="B84" s="214"/>
      <c r="C84" s="214"/>
      <c r="D84" s="214"/>
      <c r="E84" s="214"/>
      <c r="F84" s="214"/>
      <c r="G84" s="214"/>
      <c r="H84" s="214"/>
      <c r="I84" s="215"/>
    </row>
    <row r="85" spans="1:22" ht="15.75" customHeight="1">
      <c r="A85" s="31">
        <v>18</v>
      </c>
      <c r="B85" s="166" t="s">
        <v>233</v>
      </c>
      <c r="C85" s="118" t="s">
        <v>184</v>
      </c>
      <c r="D85" s="66"/>
      <c r="E85" s="37"/>
      <c r="F85" s="37">
        <v>0.2</v>
      </c>
      <c r="G85" s="37">
        <v>13968.96</v>
      </c>
      <c r="H85" s="100"/>
      <c r="I85" s="13">
        <f>G85*0.2</f>
        <v>2793.7919999999999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.75" customHeight="1">
      <c r="A86" s="31">
        <v>19</v>
      </c>
      <c r="B86" s="180" t="s">
        <v>234</v>
      </c>
      <c r="C86" s="41" t="s">
        <v>74</v>
      </c>
      <c r="D86" s="66"/>
      <c r="E86" s="37"/>
      <c r="F86" s="37">
        <v>0.3</v>
      </c>
      <c r="G86" s="37">
        <v>1294.0899999999999</v>
      </c>
      <c r="H86" s="100"/>
      <c r="I86" s="13">
        <f>G86*0.3</f>
        <v>388.22699999999998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5.75" customHeight="1">
      <c r="A87" s="31"/>
      <c r="B87" s="46" t="s">
        <v>52</v>
      </c>
      <c r="C87" s="42"/>
      <c r="D87" s="54"/>
      <c r="E87" s="42">
        <v>1</v>
      </c>
      <c r="F87" s="42"/>
      <c r="G87" s="42"/>
      <c r="H87" s="42"/>
      <c r="I87" s="33">
        <f>SUM(I85:I86)</f>
        <v>3182.0189999999998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2" ht="15.75" customHeight="1">
      <c r="A88" s="31"/>
      <c r="B88" s="52" t="s">
        <v>77</v>
      </c>
      <c r="C88" s="16"/>
      <c r="D88" s="16"/>
      <c r="E88" s="43"/>
      <c r="F88" s="43"/>
      <c r="G88" s="44"/>
      <c r="H88" s="44"/>
      <c r="I88" s="18">
        <v>0</v>
      </c>
    </row>
    <row r="89" spans="1:22" ht="15.75" customHeight="1">
      <c r="A89" s="55"/>
      <c r="B89" s="47" t="s">
        <v>131</v>
      </c>
      <c r="C89" s="36"/>
      <c r="D89" s="36"/>
      <c r="E89" s="36"/>
      <c r="F89" s="36"/>
      <c r="G89" s="36"/>
      <c r="H89" s="36"/>
      <c r="I89" s="45">
        <f>I83+I87</f>
        <v>37740.936921999994</v>
      </c>
    </row>
    <row r="90" spans="1:22" ht="15.75" customHeight="1">
      <c r="A90" s="209" t="s">
        <v>235</v>
      </c>
      <c r="B90" s="209"/>
      <c r="C90" s="209"/>
      <c r="D90" s="209"/>
      <c r="E90" s="209"/>
      <c r="F90" s="209"/>
      <c r="G90" s="209"/>
      <c r="H90" s="209"/>
      <c r="I90" s="209"/>
    </row>
    <row r="91" spans="1:22" ht="15.75" customHeight="1">
      <c r="A91" s="77"/>
      <c r="B91" s="190" t="s">
        <v>236</v>
      </c>
      <c r="C91" s="190"/>
      <c r="D91" s="190"/>
      <c r="E91" s="190"/>
      <c r="F91" s="190"/>
      <c r="G91" s="190"/>
      <c r="H91" s="89"/>
      <c r="I91" s="3"/>
    </row>
    <row r="92" spans="1:22" ht="15.75" customHeight="1">
      <c r="A92" s="80"/>
      <c r="B92" s="191" t="s">
        <v>6</v>
      </c>
      <c r="C92" s="191"/>
      <c r="D92" s="191"/>
      <c r="E92" s="191"/>
      <c r="F92" s="191"/>
      <c r="G92" s="191"/>
      <c r="H92" s="26"/>
      <c r="I92" s="5"/>
    </row>
    <row r="93" spans="1:22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22" ht="15.75" customHeight="1">
      <c r="A94" s="192" t="s">
        <v>7</v>
      </c>
      <c r="B94" s="192"/>
      <c r="C94" s="192"/>
      <c r="D94" s="192"/>
      <c r="E94" s="192"/>
      <c r="F94" s="192"/>
      <c r="G94" s="192"/>
      <c r="H94" s="192"/>
      <c r="I94" s="192"/>
    </row>
    <row r="95" spans="1:22" ht="15.75" customHeight="1">
      <c r="A95" s="192" t="s">
        <v>8</v>
      </c>
      <c r="B95" s="192"/>
      <c r="C95" s="192"/>
      <c r="D95" s="192"/>
      <c r="E95" s="192"/>
      <c r="F95" s="192"/>
      <c r="G95" s="192"/>
      <c r="H95" s="192"/>
      <c r="I95" s="192"/>
    </row>
    <row r="96" spans="1:22" ht="15.75" customHeight="1">
      <c r="A96" s="195" t="s">
        <v>61</v>
      </c>
      <c r="B96" s="195"/>
      <c r="C96" s="195"/>
      <c r="D96" s="195"/>
      <c r="E96" s="195"/>
      <c r="F96" s="195"/>
      <c r="G96" s="195"/>
      <c r="H96" s="195"/>
      <c r="I96" s="195"/>
    </row>
    <row r="97" spans="1:9" ht="15.75" customHeight="1">
      <c r="A97" s="11"/>
    </row>
    <row r="98" spans="1:9" ht="15.75" customHeight="1">
      <c r="A98" s="196" t="s">
        <v>9</v>
      </c>
      <c r="B98" s="196"/>
      <c r="C98" s="196"/>
      <c r="D98" s="196"/>
      <c r="E98" s="196"/>
      <c r="F98" s="196"/>
      <c r="G98" s="196"/>
      <c r="H98" s="196"/>
      <c r="I98" s="196"/>
    </row>
    <row r="99" spans="1:9" ht="15.75" customHeight="1">
      <c r="A99" s="4"/>
    </row>
    <row r="100" spans="1:9" ht="15.75" customHeight="1">
      <c r="B100" s="83" t="s">
        <v>10</v>
      </c>
      <c r="C100" s="197" t="s">
        <v>182</v>
      </c>
      <c r="D100" s="197"/>
      <c r="E100" s="197"/>
      <c r="F100" s="87"/>
      <c r="I100" s="79"/>
    </row>
    <row r="101" spans="1:9" ht="15.75" customHeight="1">
      <c r="A101" s="80"/>
      <c r="C101" s="191" t="s">
        <v>11</v>
      </c>
      <c r="D101" s="191"/>
      <c r="E101" s="191"/>
      <c r="F101" s="26"/>
      <c r="I101" s="78" t="s">
        <v>12</v>
      </c>
    </row>
    <row r="102" spans="1:9" ht="15.75" customHeight="1">
      <c r="A102" s="27"/>
      <c r="C102" s="12"/>
      <c r="D102" s="12"/>
      <c r="G102" s="12"/>
      <c r="H102" s="12"/>
    </row>
    <row r="103" spans="1:9" ht="15.75" customHeight="1">
      <c r="B103" s="83" t="s">
        <v>13</v>
      </c>
      <c r="C103" s="198"/>
      <c r="D103" s="198"/>
      <c r="E103" s="198"/>
      <c r="F103" s="88"/>
      <c r="I103" s="79"/>
    </row>
    <row r="104" spans="1:9" ht="15.75" customHeight="1">
      <c r="A104" s="80"/>
      <c r="C104" s="194" t="s">
        <v>11</v>
      </c>
      <c r="D104" s="194"/>
      <c r="E104" s="194"/>
      <c r="F104" s="80"/>
      <c r="I104" s="78" t="s">
        <v>12</v>
      </c>
    </row>
    <row r="105" spans="1:9" ht="15.75" customHeight="1">
      <c r="A105" s="4" t="s">
        <v>14</v>
      </c>
    </row>
    <row r="106" spans="1:9">
      <c r="A106" s="193" t="s">
        <v>15</v>
      </c>
      <c r="B106" s="193"/>
      <c r="C106" s="193"/>
      <c r="D106" s="193"/>
      <c r="E106" s="193"/>
      <c r="F106" s="193"/>
      <c r="G106" s="193"/>
      <c r="H106" s="193"/>
      <c r="I106" s="193"/>
    </row>
    <row r="107" spans="1:9" ht="45" customHeight="1">
      <c r="A107" s="189" t="s">
        <v>16</v>
      </c>
      <c r="B107" s="189"/>
      <c r="C107" s="189"/>
      <c r="D107" s="189"/>
      <c r="E107" s="189"/>
      <c r="F107" s="189"/>
      <c r="G107" s="189"/>
      <c r="H107" s="189"/>
      <c r="I107" s="189"/>
    </row>
    <row r="108" spans="1:9" ht="30" customHeight="1">
      <c r="A108" s="189" t="s">
        <v>17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30" customHeight="1">
      <c r="A109" s="189" t="s">
        <v>21</v>
      </c>
      <c r="B109" s="189"/>
      <c r="C109" s="189"/>
      <c r="D109" s="189"/>
      <c r="E109" s="189"/>
      <c r="F109" s="189"/>
      <c r="G109" s="189"/>
      <c r="H109" s="189"/>
      <c r="I109" s="189"/>
    </row>
    <row r="110" spans="1:9" ht="15" customHeight="1">
      <c r="A110" s="189" t="s">
        <v>20</v>
      </c>
      <c r="B110" s="189"/>
      <c r="C110" s="189"/>
      <c r="D110" s="189"/>
      <c r="E110" s="189"/>
      <c r="F110" s="189"/>
      <c r="G110" s="189"/>
      <c r="H110" s="189"/>
      <c r="I110" s="189"/>
    </row>
  </sheetData>
  <autoFilter ref="I12:I83"/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8:I28"/>
    <mergeCell ref="A41:I41"/>
    <mergeCell ref="A52:I52"/>
    <mergeCell ref="A80:I80"/>
    <mergeCell ref="A84:I84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topLeftCell="A3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142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237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2">
        <v>44439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154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hidden="1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6</v>
      </c>
      <c r="B30" s="34" t="s">
        <v>94</v>
      </c>
      <c r="C30" s="40" t="s">
        <v>95</v>
      </c>
      <c r="D30" s="34" t="s">
        <v>175</v>
      </c>
      <c r="E30" s="121">
        <v>313</v>
      </c>
      <c r="F30" s="121">
        <f>SUM(E30*24/1000)</f>
        <v>7.5119999999999996</v>
      </c>
      <c r="G30" s="121">
        <v>232.4</v>
      </c>
      <c r="H30" s="95">
        <f t="shared" ref="H30:H31" si="2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7</v>
      </c>
      <c r="B31" s="34" t="s">
        <v>129</v>
      </c>
      <c r="C31" s="40" t="s">
        <v>95</v>
      </c>
      <c r="D31" s="34" t="s">
        <v>152</v>
      </c>
      <c r="E31" s="121">
        <v>26.33</v>
      </c>
      <c r="F31" s="121">
        <f>SUM(E31*78/1000)</f>
        <v>2.0537399999999999</v>
      </c>
      <c r="G31" s="121">
        <v>385.6</v>
      </c>
      <c r="H31" s="95">
        <f t="shared" si="2"/>
        <v>0.79192214400000005</v>
      </c>
      <c r="I31" s="13">
        <f t="shared" ref="I31" si="3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4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5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6">SUM(F35*G35/1000)</f>
        <v>9.1632000000000016</v>
      </c>
      <c r="I35" s="13">
        <f t="shared" ref="I35:I40" si="7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120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6"/>
        <v>68.13378809999999</v>
      </c>
      <c r="I36" s="13">
        <f t="shared" si="7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99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6"/>
        <v>2.4464812499999997</v>
      </c>
      <c r="I37" s="13">
        <f t="shared" si="7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79</v>
      </c>
      <c r="C38" s="92" t="s">
        <v>95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6"/>
        <v>18.280331999999998</v>
      </c>
      <c r="I38" s="13">
        <f t="shared" si="7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100</v>
      </c>
      <c r="C39" s="92" t="s">
        <v>95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6"/>
        <v>0.86811749999999999</v>
      </c>
      <c r="I39" s="13">
        <f t="shared" si="7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6"/>
        <v>0.47879999999999995</v>
      </c>
      <c r="I40" s="13">
        <f t="shared" si="7"/>
        <v>79.8</v>
      </c>
      <c r="J40" s="24"/>
      <c r="K40" s="8"/>
      <c r="L40" s="8"/>
      <c r="M40" s="8"/>
    </row>
    <row r="41" spans="1:13" ht="15.75" hidden="1" customHeight="1">
      <c r="A41" s="206" t="s">
        <v>126</v>
      </c>
      <c r="B41" s="207"/>
      <c r="C41" s="207"/>
      <c r="D41" s="207"/>
      <c r="E41" s="207"/>
      <c r="F41" s="207"/>
      <c r="G41" s="207"/>
      <c r="H41" s="207"/>
      <c r="I41" s="208"/>
      <c r="J41" s="24"/>
      <c r="K41" s="8"/>
      <c r="L41" s="8"/>
      <c r="M41" s="8"/>
    </row>
    <row r="42" spans="1:13" ht="15.75" hidden="1" customHeight="1">
      <c r="A42" s="41">
        <v>18</v>
      </c>
      <c r="B42" s="91" t="s">
        <v>101</v>
      </c>
      <c r="C42" s="92" t="s">
        <v>95</v>
      </c>
      <c r="D42" s="91" t="s">
        <v>42</v>
      </c>
      <c r="E42" s="93">
        <v>965.8</v>
      </c>
      <c r="F42" s="94">
        <f>SUM(E42*2/1000)</f>
        <v>1.9316</v>
      </c>
      <c r="G42" s="13">
        <v>849.49</v>
      </c>
      <c r="H42" s="95">
        <f t="shared" ref="H42:H51" si="8">SUM(F42*G42/1000)</f>
        <v>1.640874884</v>
      </c>
      <c r="I42" s="13">
        <f t="shared" ref="I42:I45" si="9">F42/2*G42</f>
        <v>820.43744200000003</v>
      </c>
      <c r="J42" s="24"/>
      <c r="K42" s="8"/>
    </row>
    <row r="43" spans="1:13" ht="15.75" hidden="1" customHeight="1">
      <c r="A43" s="41">
        <v>19</v>
      </c>
      <c r="B43" s="91" t="s">
        <v>35</v>
      </c>
      <c r="C43" s="92" t="s">
        <v>95</v>
      </c>
      <c r="D43" s="91" t="s">
        <v>42</v>
      </c>
      <c r="E43" s="93">
        <v>36</v>
      </c>
      <c r="F43" s="94">
        <f>SUM(E43*2/1000)</f>
        <v>7.1999999999999995E-2</v>
      </c>
      <c r="G43" s="13">
        <v>579.48</v>
      </c>
      <c r="H43" s="95">
        <f t="shared" si="8"/>
        <v>4.1722559999999999E-2</v>
      </c>
      <c r="I43" s="13">
        <f t="shared" si="9"/>
        <v>20.861280000000001</v>
      </c>
      <c r="J43" s="25"/>
    </row>
    <row r="44" spans="1:13" ht="15.75" hidden="1" customHeight="1">
      <c r="A44" s="41">
        <v>20</v>
      </c>
      <c r="B44" s="91" t="s">
        <v>36</v>
      </c>
      <c r="C44" s="92" t="s">
        <v>95</v>
      </c>
      <c r="D44" s="91" t="s">
        <v>42</v>
      </c>
      <c r="E44" s="93">
        <v>1197.7</v>
      </c>
      <c r="F44" s="94">
        <f>SUM(E44*2/1000)</f>
        <v>2.3954</v>
      </c>
      <c r="G44" s="13">
        <v>579.48</v>
      </c>
      <c r="H44" s="95">
        <f t="shared" si="8"/>
        <v>1.3880863919999999</v>
      </c>
      <c r="I44" s="13">
        <f t="shared" si="9"/>
        <v>694.04319599999997</v>
      </c>
      <c r="J44" s="25"/>
    </row>
    <row r="45" spans="1:13" ht="15.75" hidden="1" customHeight="1">
      <c r="A45" s="41">
        <v>21</v>
      </c>
      <c r="B45" s="91" t="s">
        <v>37</v>
      </c>
      <c r="C45" s="92" t="s">
        <v>95</v>
      </c>
      <c r="D45" s="91" t="s">
        <v>42</v>
      </c>
      <c r="E45" s="93">
        <v>2275.92</v>
      </c>
      <c r="F45" s="94">
        <f>SUM(E45*2/1000)</f>
        <v>4.5518400000000003</v>
      </c>
      <c r="G45" s="13">
        <v>606.77</v>
      </c>
      <c r="H45" s="95">
        <f t="shared" si="8"/>
        <v>2.7619199567999999</v>
      </c>
      <c r="I45" s="13">
        <f t="shared" si="9"/>
        <v>1380.9599784</v>
      </c>
      <c r="J45" s="25"/>
    </row>
    <row r="46" spans="1:13" ht="15.75" hidden="1" customHeight="1">
      <c r="A46" s="41">
        <v>22</v>
      </c>
      <c r="B46" s="91" t="s">
        <v>33</v>
      </c>
      <c r="C46" s="92" t="s">
        <v>34</v>
      </c>
      <c r="D46" s="91" t="s">
        <v>42</v>
      </c>
      <c r="E46" s="93">
        <v>81.709999999999994</v>
      </c>
      <c r="F46" s="94">
        <f>SUM(E46*2/100)</f>
        <v>1.6341999999999999</v>
      </c>
      <c r="G46" s="13">
        <v>68.56</v>
      </c>
      <c r="H46" s="95">
        <f t="shared" si="8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1" t="s">
        <v>56</v>
      </c>
      <c r="C47" s="92" t="s">
        <v>95</v>
      </c>
      <c r="D47" s="91" t="s">
        <v>130</v>
      </c>
      <c r="E47" s="93">
        <v>1711.8</v>
      </c>
      <c r="F47" s="94">
        <f>SUM(E47*5/1000)</f>
        <v>8.5589999999999993</v>
      </c>
      <c r="G47" s="13">
        <v>1213.55</v>
      </c>
      <c r="H47" s="95">
        <f t="shared" si="8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1" t="s">
        <v>102</v>
      </c>
      <c r="C48" s="92" t="s">
        <v>95</v>
      </c>
      <c r="D48" s="91" t="s">
        <v>42</v>
      </c>
      <c r="E48" s="93">
        <v>1711.8</v>
      </c>
      <c r="F48" s="94">
        <f>SUM(E48*2/1000)</f>
        <v>3.4236</v>
      </c>
      <c r="G48" s="13">
        <v>1213.55</v>
      </c>
      <c r="H48" s="95">
        <f t="shared" si="8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1" t="s">
        <v>103</v>
      </c>
      <c r="C49" s="92" t="s">
        <v>38</v>
      </c>
      <c r="D49" s="91" t="s">
        <v>42</v>
      </c>
      <c r="E49" s="93">
        <v>15</v>
      </c>
      <c r="F49" s="94">
        <f>SUM(E49*2/100)</f>
        <v>0.3</v>
      </c>
      <c r="G49" s="13">
        <v>2730.49</v>
      </c>
      <c r="H49" s="95">
        <f t="shared" si="8"/>
        <v>0.81914699999999996</v>
      </c>
      <c r="I49" s="13">
        <f t="shared" ref="I49:I50" si="10">F49/2*G49</f>
        <v>409.57349999999997</v>
      </c>
      <c r="J49" s="25"/>
    </row>
    <row r="50" spans="1:14" ht="15.75" hidden="1" customHeight="1">
      <c r="A50" s="41">
        <v>16</v>
      </c>
      <c r="B50" s="91" t="s">
        <v>39</v>
      </c>
      <c r="C50" s="92" t="s">
        <v>40</v>
      </c>
      <c r="D50" s="91" t="s">
        <v>42</v>
      </c>
      <c r="E50" s="93">
        <v>1</v>
      </c>
      <c r="F50" s="94">
        <v>0.02</v>
      </c>
      <c r="G50" s="13">
        <v>5322.15</v>
      </c>
      <c r="H50" s="95">
        <f t="shared" si="8"/>
        <v>0.106443</v>
      </c>
      <c r="I50" s="13">
        <f t="shared" si="10"/>
        <v>53.221499999999999</v>
      </c>
      <c r="J50" s="25"/>
      <c r="L50" s="21"/>
      <c r="M50" s="22"/>
      <c r="N50" s="23"/>
    </row>
    <row r="51" spans="1:14" ht="15.75" hidden="1" customHeight="1">
      <c r="A51" s="41">
        <v>9</v>
      </c>
      <c r="B51" s="34" t="s">
        <v>41</v>
      </c>
      <c r="C51" s="40" t="s">
        <v>82</v>
      </c>
      <c r="D51" s="162">
        <v>44057</v>
      </c>
      <c r="E51" s="120">
        <v>90</v>
      </c>
      <c r="F51" s="121">
        <f>E51*3</f>
        <v>270</v>
      </c>
      <c r="G51" s="164">
        <v>97.93</v>
      </c>
      <c r="H51" s="95">
        <f t="shared" si="8"/>
        <v>26.441100000000002</v>
      </c>
      <c r="I51" s="13">
        <f>G51*F51/3</f>
        <v>8813.7000000000007</v>
      </c>
      <c r="J51" s="25"/>
      <c r="L51" s="21"/>
      <c r="M51" s="22"/>
      <c r="N51" s="23"/>
    </row>
    <row r="52" spans="1:14" ht="15.75" customHeight="1">
      <c r="A52" s="206" t="s">
        <v>137</v>
      </c>
      <c r="B52" s="207"/>
      <c r="C52" s="207"/>
      <c r="D52" s="207"/>
      <c r="E52" s="207"/>
      <c r="F52" s="207"/>
      <c r="G52" s="207"/>
      <c r="H52" s="207"/>
      <c r="I52" s="208"/>
      <c r="J52" s="25"/>
      <c r="L52" s="21"/>
      <c r="M52" s="22"/>
      <c r="N52" s="23"/>
    </row>
    <row r="53" spans="1:14" ht="15.75" customHeight="1">
      <c r="A53" s="90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104</v>
      </c>
      <c r="C54" s="92" t="s">
        <v>85</v>
      </c>
      <c r="D54" s="91" t="s">
        <v>105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9.5" customHeight="1">
      <c r="A55" s="41">
        <v>8</v>
      </c>
      <c r="B55" s="34" t="s">
        <v>134</v>
      </c>
      <c r="C55" s="40" t="s">
        <v>135</v>
      </c>
      <c r="D55" s="34" t="s">
        <v>238</v>
      </c>
      <c r="E55" s="120"/>
      <c r="F55" s="122">
        <v>10</v>
      </c>
      <c r="G55" s="37">
        <v>1800</v>
      </c>
      <c r="H55" s="84"/>
      <c r="I55" s="13">
        <f>G55*2.5</f>
        <v>4500</v>
      </c>
      <c r="J55" s="25"/>
      <c r="L55" s="21"/>
      <c r="M55" s="22"/>
      <c r="N55" s="23"/>
    </row>
    <row r="56" spans="1:14" ht="15.75" customHeight="1">
      <c r="A56" s="41"/>
      <c r="B56" s="67" t="s">
        <v>44</v>
      </c>
      <c r="C56" s="40"/>
      <c r="D56" s="34"/>
      <c r="E56" s="19"/>
      <c r="F56" s="85"/>
      <c r="G56" s="37"/>
      <c r="H56" s="68"/>
      <c r="I56" s="20"/>
      <c r="J56" s="25"/>
      <c r="L56" s="21"/>
      <c r="M56" s="22"/>
      <c r="N56" s="23"/>
    </row>
    <row r="57" spans="1:14" ht="15.75" hidden="1" customHeight="1">
      <c r="A57" s="41"/>
      <c r="B57" s="91" t="s">
        <v>45</v>
      </c>
      <c r="C57" s="92" t="s">
        <v>85</v>
      </c>
      <c r="D57" s="91" t="s">
        <v>54</v>
      </c>
      <c r="E57" s="93">
        <v>855.9</v>
      </c>
      <c r="F57" s="95">
        <v>8.6</v>
      </c>
      <c r="G57" s="13">
        <v>747.3</v>
      </c>
      <c r="H57" s="98">
        <v>6.4</v>
      </c>
      <c r="I57" s="13">
        <v>0</v>
      </c>
      <c r="J57" s="25"/>
      <c r="L57" s="21"/>
      <c r="M57" s="22"/>
      <c r="N57" s="23"/>
    </row>
    <row r="58" spans="1:14" ht="15.75" customHeight="1">
      <c r="A58" s="41">
        <v>9</v>
      </c>
      <c r="B58" s="91" t="s">
        <v>83</v>
      </c>
      <c r="C58" s="92" t="s">
        <v>25</v>
      </c>
      <c r="D58" s="91" t="s">
        <v>156</v>
      </c>
      <c r="E58" s="93">
        <v>256</v>
      </c>
      <c r="F58" s="95">
        <f>E58*12</f>
        <v>3072</v>
      </c>
      <c r="G58" s="13">
        <v>1.4</v>
      </c>
      <c r="H58" s="98">
        <f>F58*G58/1000</f>
        <v>4.3007999999999988</v>
      </c>
      <c r="I58" s="13">
        <f>1560/12*G58</f>
        <v>182</v>
      </c>
      <c r="J58" s="25"/>
      <c r="L58" s="21"/>
      <c r="M58" s="22"/>
      <c r="N58" s="23"/>
    </row>
    <row r="59" spans="1:14" ht="15.75" hidden="1" customHeight="1">
      <c r="A59" s="41"/>
      <c r="B59" s="67" t="s">
        <v>121</v>
      </c>
      <c r="C59" s="40"/>
      <c r="D59" s="34"/>
      <c r="E59" s="19"/>
      <c r="F59" s="85"/>
      <c r="G59" s="69"/>
      <c r="H59" s="68"/>
      <c r="I59" s="20"/>
      <c r="J59" s="25"/>
      <c r="L59" s="21"/>
      <c r="M59" s="22"/>
      <c r="N59" s="23"/>
    </row>
    <row r="60" spans="1:14" ht="15.75" hidden="1" customHeight="1">
      <c r="A60" s="41"/>
      <c r="B60" s="91" t="s">
        <v>122</v>
      </c>
      <c r="C60" s="92" t="s">
        <v>82</v>
      </c>
      <c r="D60" s="91" t="s">
        <v>65</v>
      </c>
      <c r="E60" s="93">
        <v>2</v>
      </c>
      <c r="F60" s="94">
        <f>SUM(E60)</f>
        <v>2</v>
      </c>
      <c r="G60" s="99">
        <v>237.75</v>
      </c>
      <c r="H60" s="95">
        <f t="shared" ref="H60" si="11">SUM(F60*G60/1000)</f>
        <v>0.47549999999999998</v>
      </c>
      <c r="I60" s="13">
        <v>0</v>
      </c>
      <c r="J60" s="25"/>
      <c r="L60" s="21"/>
      <c r="M60" s="22"/>
      <c r="N60" s="23"/>
    </row>
    <row r="61" spans="1:14" ht="15.75" customHeight="1">
      <c r="A61" s="41"/>
      <c r="B61" s="81" t="s">
        <v>46</v>
      </c>
      <c r="C61" s="17"/>
      <c r="D61" s="16"/>
      <c r="E61" s="16"/>
      <c r="F61" s="86"/>
      <c r="G61" s="65"/>
      <c r="H61" s="68"/>
      <c r="I61" s="19"/>
      <c r="J61" s="25"/>
      <c r="L61" s="21"/>
      <c r="M61" s="22"/>
      <c r="N61" s="23"/>
    </row>
    <row r="62" spans="1:14" ht="15.75" customHeight="1">
      <c r="A62" s="41">
        <v>10</v>
      </c>
      <c r="B62" s="15" t="s">
        <v>47</v>
      </c>
      <c r="C62" s="17" t="s">
        <v>82</v>
      </c>
      <c r="D62" s="91" t="s">
        <v>154</v>
      </c>
      <c r="E62" s="19">
        <v>10</v>
      </c>
      <c r="F62" s="94">
        <v>10</v>
      </c>
      <c r="G62" s="131">
        <v>331.57</v>
      </c>
      <c r="H62" s="100">
        <f t="shared" ref="H62:H69" si="12">SUM(F62*G62/1000)</f>
        <v>3.3156999999999996</v>
      </c>
      <c r="I62" s="13">
        <f>G62*2</f>
        <v>663.14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48</v>
      </c>
      <c r="C63" s="17" t="s">
        <v>82</v>
      </c>
      <c r="D63" s="91" t="s">
        <v>65</v>
      </c>
      <c r="E63" s="19">
        <v>5</v>
      </c>
      <c r="F63" s="94">
        <v>5</v>
      </c>
      <c r="G63" s="13">
        <v>75.25</v>
      </c>
      <c r="H63" s="100">
        <f t="shared" si="12"/>
        <v>0.37624999999999997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25</v>
      </c>
      <c r="B64" s="15" t="s">
        <v>49</v>
      </c>
      <c r="C64" s="17" t="s">
        <v>106</v>
      </c>
      <c r="D64" s="15" t="s">
        <v>54</v>
      </c>
      <c r="E64" s="93">
        <v>13018</v>
      </c>
      <c r="F64" s="13">
        <f>SUM(E64/100)</f>
        <v>130.18</v>
      </c>
      <c r="G64" s="13">
        <v>212.15</v>
      </c>
      <c r="H64" s="100">
        <f t="shared" si="12"/>
        <v>27.617687</v>
      </c>
      <c r="I64" s="13">
        <f>F64*G64</f>
        <v>27617.687000000002</v>
      </c>
      <c r="J64" s="25"/>
      <c r="L64" s="21"/>
      <c r="M64" s="22"/>
      <c r="N64" s="23"/>
    </row>
    <row r="65" spans="1:14" ht="15.75" hidden="1" customHeight="1">
      <c r="A65" s="31">
        <v>26</v>
      </c>
      <c r="B65" s="15" t="s">
        <v>50</v>
      </c>
      <c r="C65" s="17" t="s">
        <v>107</v>
      </c>
      <c r="D65" s="15"/>
      <c r="E65" s="93">
        <v>13018</v>
      </c>
      <c r="F65" s="13">
        <f>SUM(E65/1000)</f>
        <v>13.018000000000001</v>
      </c>
      <c r="G65" s="13">
        <v>165.21</v>
      </c>
      <c r="H65" s="100">
        <f t="shared" si="12"/>
        <v>2.1507037800000002</v>
      </c>
      <c r="I65" s="13">
        <f t="shared" ref="I65:I69" si="13">F65*G65</f>
        <v>2150.7037800000003</v>
      </c>
      <c r="J65" s="25"/>
      <c r="L65" s="21"/>
      <c r="M65" s="22"/>
      <c r="N65" s="23"/>
    </row>
    <row r="66" spans="1:14" ht="15.75" hidden="1" customHeight="1">
      <c r="A66" s="31">
        <v>27</v>
      </c>
      <c r="B66" s="15" t="s">
        <v>51</v>
      </c>
      <c r="C66" s="17" t="s">
        <v>76</v>
      </c>
      <c r="D66" s="15" t="s">
        <v>54</v>
      </c>
      <c r="E66" s="93">
        <v>1279</v>
      </c>
      <c r="F66" s="13">
        <f>SUM(E66/100)</f>
        <v>12.79</v>
      </c>
      <c r="G66" s="13">
        <v>2074.63</v>
      </c>
      <c r="H66" s="100">
        <f t="shared" si="12"/>
        <v>26.534517700000002</v>
      </c>
      <c r="I66" s="13">
        <f t="shared" si="13"/>
        <v>26534.5177</v>
      </c>
      <c r="J66" s="25"/>
      <c r="L66" s="21"/>
      <c r="M66" s="22"/>
      <c r="N66" s="23"/>
    </row>
    <row r="67" spans="1:14" ht="15.75" hidden="1" customHeight="1">
      <c r="A67" s="31">
        <v>28</v>
      </c>
      <c r="B67" s="101" t="s">
        <v>108</v>
      </c>
      <c r="C67" s="17" t="s">
        <v>32</v>
      </c>
      <c r="D67" s="15"/>
      <c r="E67" s="93">
        <v>12</v>
      </c>
      <c r="F67" s="13">
        <f>SUM(E67)</f>
        <v>12</v>
      </c>
      <c r="G67" s="13">
        <v>45.32</v>
      </c>
      <c r="H67" s="100">
        <f t="shared" si="12"/>
        <v>0.54383999999999999</v>
      </c>
      <c r="I67" s="13">
        <f t="shared" si="13"/>
        <v>543.84</v>
      </c>
      <c r="J67" s="25"/>
      <c r="L67" s="21"/>
      <c r="M67" s="22"/>
      <c r="N67" s="23"/>
    </row>
    <row r="68" spans="1:14" ht="15.75" hidden="1" customHeight="1">
      <c r="A68" s="31">
        <v>29</v>
      </c>
      <c r="B68" s="101" t="s">
        <v>109</v>
      </c>
      <c r="C68" s="17" t="s">
        <v>32</v>
      </c>
      <c r="D68" s="15"/>
      <c r="E68" s="93">
        <v>12</v>
      </c>
      <c r="F68" s="13">
        <f>SUM(E68)</f>
        <v>12</v>
      </c>
      <c r="G68" s="13">
        <v>42.28</v>
      </c>
      <c r="H68" s="100">
        <f t="shared" si="12"/>
        <v>0.50736000000000003</v>
      </c>
      <c r="I68" s="13">
        <f t="shared" si="13"/>
        <v>507.36</v>
      </c>
      <c r="J68" s="25"/>
      <c r="L68" s="21"/>
      <c r="M68" s="22"/>
      <c r="N68" s="23"/>
    </row>
    <row r="69" spans="1:14" ht="15.75" hidden="1" customHeight="1">
      <c r="A69" s="31">
        <v>13</v>
      </c>
      <c r="B69" s="15" t="s">
        <v>57</v>
      </c>
      <c r="C69" s="17" t="s">
        <v>58</v>
      </c>
      <c r="D69" s="15" t="s">
        <v>54</v>
      </c>
      <c r="E69" s="19">
        <v>1</v>
      </c>
      <c r="F69" s="94">
        <f>SUM(E69)</f>
        <v>1</v>
      </c>
      <c r="G69" s="13">
        <v>49.88</v>
      </c>
      <c r="H69" s="100">
        <f t="shared" si="12"/>
        <v>4.9880000000000001E-2</v>
      </c>
      <c r="I69" s="13">
        <f t="shared" si="13"/>
        <v>49.88</v>
      </c>
      <c r="J69" s="25"/>
      <c r="L69" s="21"/>
      <c r="M69" s="22"/>
      <c r="N69" s="23"/>
    </row>
    <row r="70" spans="1:14" ht="15.75" hidden="1" customHeight="1">
      <c r="A70" s="90"/>
      <c r="B70" s="81" t="s">
        <v>110</v>
      </c>
      <c r="C70" s="81"/>
      <c r="D70" s="81"/>
      <c r="E70" s="81"/>
      <c r="F70" s="81"/>
      <c r="G70" s="81"/>
      <c r="H70" s="81"/>
      <c r="I70" s="19"/>
      <c r="J70" s="25"/>
      <c r="L70" s="21"/>
      <c r="M70" s="22"/>
      <c r="N70" s="23"/>
    </row>
    <row r="71" spans="1:14" ht="15.75" hidden="1" customHeight="1">
      <c r="A71" s="31">
        <v>16</v>
      </c>
      <c r="B71" s="91" t="s">
        <v>111</v>
      </c>
      <c r="C71" s="17"/>
      <c r="D71" s="15"/>
      <c r="E71" s="85"/>
      <c r="F71" s="13">
        <v>1</v>
      </c>
      <c r="G71" s="13">
        <v>10041.700000000001</v>
      </c>
      <c r="H71" s="100">
        <f>G71*F71/1000</f>
        <v>10.041700000000001</v>
      </c>
      <c r="I71" s="13">
        <f>G71</f>
        <v>10041.700000000001</v>
      </c>
      <c r="J71" s="25"/>
      <c r="L71" s="21"/>
      <c r="M71" s="22"/>
      <c r="N71" s="23"/>
    </row>
    <row r="72" spans="1:14" ht="15.75" customHeight="1">
      <c r="A72" s="31"/>
      <c r="B72" s="49" t="s">
        <v>72</v>
      </c>
      <c r="C72" s="49"/>
      <c r="D72" s="49"/>
      <c r="E72" s="19"/>
      <c r="F72" s="19"/>
      <c r="G72" s="31"/>
      <c r="H72" s="31"/>
      <c r="I72" s="19"/>
      <c r="J72" s="25"/>
      <c r="L72" s="21"/>
      <c r="M72" s="22"/>
      <c r="N72" s="23"/>
    </row>
    <row r="73" spans="1:14" ht="15.75" hidden="1" customHeight="1">
      <c r="A73" s="31">
        <v>12</v>
      </c>
      <c r="B73" s="15" t="s">
        <v>73</v>
      </c>
      <c r="C73" s="17" t="s">
        <v>74</v>
      </c>
      <c r="D73" s="15" t="s">
        <v>65</v>
      </c>
      <c r="E73" s="19">
        <v>5</v>
      </c>
      <c r="F73" s="13">
        <v>0.5</v>
      </c>
      <c r="G73" s="13">
        <v>501.62</v>
      </c>
      <c r="H73" s="100">
        <f t="shared" ref="H73:H75" si="14">SUM(F73*G73/1000)</f>
        <v>0.25080999999999998</v>
      </c>
      <c r="I73" s="13">
        <f>G73*0.1</f>
        <v>50.162000000000006</v>
      </c>
      <c r="J73" s="25"/>
      <c r="L73" s="21"/>
      <c r="M73" s="22"/>
      <c r="N73" s="23"/>
    </row>
    <row r="74" spans="1:14" ht="15.75" hidden="1" customHeight="1">
      <c r="A74" s="31"/>
      <c r="B74" s="15" t="s">
        <v>123</v>
      </c>
      <c r="C74" s="17" t="s">
        <v>82</v>
      </c>
      <c r="D74" s="15"/>
      <c r="E74" s="19">
        <v>1</v>
      </c>
      <c r="F74" s="84">
        <f>E74</f>
        <v>1</v>
      </c>
      <c r="G74" s="13">
        <v>852.99</v>
      </c>
      <c r="H74" s="100">
        <f t="shared" si="14"/>
        <v>0.85299000000000003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15" t="s">
        <v>124</v>
      </c>
      <c r="C75" s="17" t="s">
        <v>82</v>
      </c>
      <c r="D75" s="15"/>
      <c r="E75" s="19">
        <v>1</v>
      </c>
      <c r="F75" s="94">
        <f>SUM(E75)</f>
        <v>1</v>
      </c>
      <c r="G75" s="13">
        <v>358.51</v>
      </c>
      <c r="H75" s="100">
        <f t="shared" si="14"/>
        <v>0.35851</v>
      </c>
      <c r="I75" s="13">
        <v>0</v>
      </c>
      <c r="J75" s="25"/>
      <c r="L75" s="21"/>
      <c r="M75" s="22"/>
      <c r="N75" s="23"/>
    </row>
    <row r="76" spans="1:14" ht="15.75" customHeight="1">
      <c r="A76" s="31">
        <v>11</v>
      </c>
      <c r="B76" s="119" t="s">
        <v>171</v>
      </c>
      <c r="C76" s="38" t="s">
        <v>82</v>
      </c>
      <c r="D76" s="119" t="s">
        <v>155</v>
      </c>
      <c r="E76" s="18">
        <v>2</v>
      </c>
      <c r="F76" s="68">
        <f>E76*12</f>
        <v>24</v>
      </c>
      <c r="G76" s="37">
        <v>420</v>
      </c>
      <c r="H76" s="100"/>
      <c r="I76" s="13">
        <f>G76*2</f>
        <v>840</v>
      </c>
      <c r="J76" s="25"/>
      <c r="L76" s="21"/>
      <c r="M76" s="22"/>
      <c r="N76" s="23"/>
    </row>
    <row r="77" spans="1:14" ht="15.75" hidden="1" customHeight="1">
      <c r="A77" s="31"/>
      <c r="B77" s="50" t="s">
        <v>75</v>
      </c>
      <c r="C77" s="38"/>
      <c r="D77" s="31"/>
      <c r="E77" s="19"/>
      <c r="F77" s="19"/>
      <c r="G77" s="37" t="s">
        <v>112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113</v>
      </c>
      <c r="C78" s="17" t="s">
        <v>76</v>
      </c>
      <c r="D78" s="15"/>
      <c r="E78" s="19"/>
      <c r="F78" s="13">
        <v>0.3</v>
      </c>
      <c r="G78" s="13">
        <v>2759.44</v>
      </c>
      <c r="H78" s="100">
        <f t="shared" ref="H78" si="15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32"/>
      <c r="B79" s="135" t="s">
        <v>162</v>
      </c>
      <c r="C79" s="38"/>
      <c r="D79" s="119"/>
      <c r="E79" s="18"/>
      <c r="F79" s="68"/>
      <c r="G79" s="37"/>
      <c r="H79" s="133"/>
      <c r="I79" s="134"/>
      <c r="J79" s="25"/>
      <c r="L79" s="21"/>
      <c r="M79" s="22"/>
      <c r="N79" s="23"/>
    </row>
    <row r="80" spans="1:14" ht="15.75" customHeight="1">
      <c r="A80" s="132">
        <v>12</v>
      </c>
      <c r="B80" s="119" t="s">
        <v>163</v>
      </c>
      <c r="C80" s="41" t="s">
        <v>164</v>
      </c>
      <c r="D80" s="119"/>
      <c r="E80" s="18">
        <v>2581.1999999999998</v>
      </c>
      <c r="F80" s="37">
        <f>E80*12</f>
        <v>30974.399999999998</v>
      </c>
      <c r="G80" s="37">
        <v>2.6</v>
      </c>
      <c r="H80" s="133"/>
      <c r="I80" s="134">
        <f>G80*F80/12</f>
        <v>6711.12</v>
      </c>
      <c r="J80" s="25"/>
      <c r="L80" s="21"/>
      <c r="M80" s="22"/>
      <c r="N80" s="23"/>
    </row>
    <row r="81" spans="1:22" ht="15.75" customHeight="1">
      <c r="A81" s="210" t="s">
        <v>138</v>
      </c>
      <c r="B81" s="211"/>
      <c r="C81" s="211"/>
      <c r="D81" s="211"/>
      <c r="E81" s="211"/>
      <c r="F81" s="211"/>
      <c r="G81" s="211"/>
      <c r="H81" s="211"/>
      <c r="I81" s="212"/>
      <c r="J81" s="25"/>
      <c r="L81" s="21"/>
      <c r="M81" s="22"/>
      <c r="N81" s="23"/>
    </row>
    <row r="82" spans="1:22" ht="15.75" customHeight="1">
      <c r="A82" s="31">
        <v>13</v>
      </c>
      <c r="B82" s="119" t="s">
        <v>114</v>
      </c>
      <c r="C82" s="38" t="s">
        <v>55</v>
      </c>
      <c r="D82" s="160"/>
      <c r="E82" s="37">
        <v>2581.1999999999998</v>
      </c>
      <c r="F82" s="37">
        <f>SUM(E82*12)</f>
        <v>30974.399999999998</v>
      </c>
      <c r="G82" s="37">
        <v>3.5</v>
      </c>
      <c r="H82" s="155">
        <f>SUM(F82*G82/1000)</f>
        <v>108.4104</v>
      </c>
      <c r="I82" s="13">
        <f>F82/12*G82</f>
        <v>9034.1999999999989</v>
      </c>
      <c r="J82" s="25"/>
      <c r="L82" s="21"/>
    </row>
    <row r="83" spans="1:22" ht="31.5" customHeight="1">
      <c r="A83" s="31">
        <v>14</v>
      </c>
      <c r="B83" s="157" t="s">
        <v>172</v>
      </c>
      <c r="C83" s="150" t="s">
        <v>55</v>
      </c>
      <c r="D83" s="158"/>
      <c r="E83" s="159">
        <f>E82</f>
        <v>2581.1999999999998</v>
      </c>
      <c r="F83" s="152">
        <f>E83*12</f>
        <v>30974.399999999998</v>
      </c>
      <c r="G83" s="152">
        <v>3.2</v>
      </c>
      <c r="H83" s="100">
        <f>F83*G83/1000</f>
        <v>99.118080000000006</v>
      </c>
      <c r="I83" s="13">
        <f>F83/12*G83</f>
        <v>8259.84</v>
      </c>
    </row>
    <row r="84" spans="1:22" ht="15.75" customHeight="1">
      <c r="A84" s="90"/>
      <c r="B84" s="39" t="s">
        <v>78</v>
      </c>
      <c r="C84" s="41"/>
      <c r="D84" s="16"/>
      <c r="E84" s="16"/>
      <c r="F84" s="16"/>
      <c r="G84" s="19"/>
      <c r="H84" s="19"/>
      <c r="I84" s="33">
        <f>I83+I82+I80+I76+I62+I58+I55+I31+I30+I21+I20+I18+I17+I16</f>
        <v>40152.480254000002</v>
      </c>
    </row>
    <row r="85" spans="1:22" ht="15.75" customHeight="1">
      <c r="A85" s="213" t="s">
        <v>60</v>
      </c>
      <c r="B85" s="214"/>
      <c r="C85" s="214"/>
      <c r="D85" s="214"/>
      <c r="E85" s="214"/>
      <c r="F85" s="214"/>
      <c r="G85" s="214"/>
      <c r="H85" s="214"/>
      <c r="I85" s="215"/>
    </row>
    <row r="86" spans="1:22" ht="35.25" customHeight="1">
      <c r="A86" s="31">
        <v>15</v>
      </c>
      <c r="B86" s="117" t="s">
        <v>239</v>
      </c>
      <c r="C86" s="118" t="s">
        <v>147</v>
      </c>
      <c r="D86" s="66" t="s">
        <v>248</v>
      </c>
      <c r="E86" s="37"/>
      <c r="F86" s="37">
        <v>0.56999999999999995</v>
      </c>
      <c r="G86" s="37">
        <v>5273.11</v>
      </c>
      <c r="H86" s="100"/>
      <c r="I86" s="13">
        <f>G86*0.57</f>
        <v>3005.6726999999996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8" customHeight="1">
      <c r="A87" s="31">
        <v>16</v>
      </c>
      <c r="B87" s="117" t="s">
        <v>240</v>
      </c>
      <c r="C87" s="118" t="s">
        <v>82</v>
      </c>
      <c r="D87" s="66" t="s">
        <v>249</v>
      </c>
      <c r="E87" s="37"/>
      <c r="F87" s="37">
        <v>3</v>
      </c>
      <c r="G87" s="37">
        <v>420</v>
      </c>
      <c r="H87" s="100"/>
      <c r="I87" s="13">
        <f>G87*3</f>
        <v>1260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32.25" customHeight="1">
      <c r="A88" s="31">
        <v>17</v>
      </c>
      <c r="B88" s="117" t="s">
        <v>241</v>
      </c>
      <c r="C88" s="118" t="s">
        <v>150</v>
      </c>
      <c r="D88" s="66" t="s">
        <v>245</v>
      </c>
      <c r="E88" s="37"/>
      <c r="F88" s="37">
        <v>0.5</v>
      </c>
      <c r="G88" s="37">
        <v>1380.91</v>
      </c>
      <c r="H88" s="100"/>
      <c r="I88" s="13">
        <f>G88*0.5</f>
        <v>690.45500000000004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9"/>
    </row>
    <row r="89" spans="1:22" ht="17.25" customHeight="1">
      <c r="A89" s="31">
        <v>18</v>
      </c>
      <c r="B89" s="117" t="s">
        <v>242</v>
      </c>
      <c r="C89" s="118" t="s">
        <v>82</v>
      </c>
      <c r="D89" s="66"/>
      <c r="E89" s="37"/>
      <c r="F89" s="37">
        <v>1</v>
      </c>
      <c r="G89" s="37">
        <v>224.48</v>
      </c>
      <c r="H89" s="100"/>
      <c r="I89" s="13">
        <f>G89*1</f>
        <v>224.48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9"/>
    </row>
    <row r="90" spans="1:22" ht="17.25" customHeight="1">
      <c r="A90" s="31">
        <v>19</v>
      </c>
      <c r="B90" s="180" t="s">
        <v>243</v>
      </c>
      <c r="C90" s="41" t="s">
        <v>117</v>
      </c>
      <c r="D90" s="66" t="s">
        <v>246</v>
      </c>
      <c r="E90" s="37"/>
      <c r="F90" s="37">
        <v>6.0000000000000001E-3</v>
      </c>
      <c r="G90" s="37">
        <v>48874.74</v>
      </c>
      <c r="H90" s="100"/>
      <c r="I90" s="13">
        <f>G90*0.006</f>
        <v>293.24844000000002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9"/>
    </row>
    <row r="91" spans="1:22" ht="16.5" customHeight="1">
      <c r="A91" s="31">
        <v>20</v>
      </c>
      <c r="B91" s="166" t="s">
        <v>244</v>
      </c>
      <c r="C91" s="118" t="s">
        <v>147</v>
      </c>
      <c r="D91" s="66" t="s">
        <v>247</v>
      </c>
      <c r="E91" s="37"/>
      <c r="F91" s="37">
        <v>0.06</v>
      </c>
      <c r="G91" s="37">
        <v>6841.18</v>
      </c>
      <c r="H91" s="100"/>
      <c r="I91" s="13">
        <f>G91*0.06</f>
        <v>410.4708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9"/>
    </row>
    <row r="92" spans="1:22" ht="15.75" customHeight="1">
      <c r="A92" s="31"/>
      <c r="B92" s="46" t="s">
        <v>52</v>
      </c>
      <c r="C92" s="42"/>
      <c r="D92" s="54"/>
      <c r="E92" s="42">
        <v>1</v>
      </c>
      <c r="F92" s="42"/>
      <c r="G92" s="42"/>
      <c r="H92" s="42"/>
      <c r="I92" s="33">
        <f>SUM(I86:I91)</f>
        <v>5884.326939999999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2" ht="15.75" customHeight="1">
      <c r="A93" s="31"/>
      <c r="B93" s="52" t="s">
        <v>77</v>
      </c>
      <c r="C93" s="16"/>
      <c r="D93" s="16"/>
      <c r="E93" s="43"/>
      <c r="F93" s="43"/>
      <c r="G93" s="44"/>
      <c r="H93" s="44"/>
      <c r="I93" s="18">
        <v>0</v>
      </c>
    </row>
    <row r="94" spans="1:22" ht="15.75" customHeight="1">
      <c r="A94" s="55"/>
      <c r="B94" s="47" t="s">
        <v>131</v>
      </c>
      <c r="C94" s="36"/>
      <c r="D94" s="36"/>
      <c r="E94" s="36"/>
      <c r="F94" s="36"/>
      <c r="G94" s="36"/>
      <c r="H94" s="36"/>
      <c r="I94" s="45">
        <f>I84+I92</f>
        <v>46036.807194000001</v>
      </c>
    </row>
    <row r="95" spans="1:22" ht="15.75" customHeight="1">
      <c r="A95" s="209" t="s">
        <v>250</v>
      </c>
      <c r="B95" s="209"/>
      <c r="C95" s="209"/>
      <c r="D95" s="209"/>
      <c r="E95" s="209"/>
      <c r="F95" s="209"/>
      <c r="G95" s="209"/>
      <c r="H95" s="209"/>
      <c r="I95" s="209"/>
    </row>
    <row r="96" spans="1:22" ht="15.75" customHeight="1">
      <c r="A96" s="77"/>
      <c r="B96" s="190" t="s">
        <v>251</v>
      </c>
      <c r="C96" s="190"/>
      <c r="D96" s="190"/>
      <c r="E96" s="190"/>
      <c r="F96" s="190"/>
      <c r="G96" s="190"/>
      <c r="H96" s="89"/>
      <c r="I96" s="3"/>
    </row>
    <row r="97" spans="1:9" ht="15.75" customHeight="1">
      <c r="A97" s="80"/>
      <c r="B97" s="191" t="s">
        <v>6</v>
      </c>
      <c r="C97" s="191"/>
      <c r="D97" s="191"/>
      <c r="E97" s="191"/>
      <c r="F97" s="191"/>
      <c r="G97" s="191"/>
      <c r="H97" s="26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92" t="s">
        <v>7</v>
      </c>
      <c r="B99" s="192"/>
      <c r="C99" s="192"/>
      <c r="D99" s="192"/>
      <c r="E99" s="192"/>
      <c r="F99" s="192"/>
      <c r="G99" s="192"/>
      <c r="H99" s="192"/>
      <c r="I99" s="192"/>
    </row>
    <row r="100" spans="1:9" ht="15.75" customHeight="1">
      <c r="A100" s="192" t="s">
        <v>8</v>
      </c>
      <c r="B100" s="192"/>
      <c r="C100" s="192"/>
      <c r="D100" s="192"/>
      <c r="E100" s="192"/>
      <c r="F100" s="192"/>
      <c r="G100" s="192"/>
      <c r="H100" s="192"/>
      <c r="I100" s="192"/>
    </row>
    <row r="101" spans="1:9" ht="15.75" customHeight="1">
      <c r="A101" s="195" t="s">
        <v>61</v>
      </c>
      <c r="B101" s="195"/>
      <c r="C101" s="195"/>
      <c r="D101" s="195"/>
      <c r="E101" s="195"/>
      <c r="F101" s="195"/>
      <c r="G101" s="195"/>
      <c r="H101" s="195"/>
      <c r="I101" s="195"/>
    </row>
    <row r="102" spans="1:9" ht="15.75" customHeight="1">
      <c r="A102" s="11"/>
    </row>
    <row r="103" spans="1:9" ht="15.75" customHeight="1">
      <c r="A103" s="196" t="s">
        <v>9</v>
      </c>
      <c r="B103" s="196"/>
      <c r="C103" s="196"/>
      <c r="D103" s="196"/>
      <c r="E103" s="196"/>
      <c r="F103" s="196"/>
      <c r="G103" s="196"/>
      <c r="H103" s="196"/>
      <c r="I103" s="196"/>
    </row>
    <row r="104" spans="1:9" ht="15.75" customHeight="1">
      <c r="A104" s="4"/>
    </row>
    <row r="105" spans="1:9" ht="15.75" customHeight="1">
      <c r="B105" s="83" t="s">
        <v>10</v>
      </c>
      <c r="C105" s="197" t="s">
        <v>182</v>
      </c>
      <c r="D105" s="197"/>
      <c r="E105" s="197"/>
      <c r="F105" s="87"/>
      <c r="I105" s="79"/>
    </row>
    <row r="106" spans="1:9" ht="15.75" customHeight="1">
      <c r="A106" s="80"/>
      <c r="C106" s="191" t="s">
        <v>11</v>
      </c>
      <c r="D106" s="191"/>
      <c r="E106" s="191"/>
      <c r="F106" s="26"/>
      <c r="I106" s="78" t="s">
        <v>12</v>
      </c>
    </row>
    <row r="107" spans="1:9" ht="15.75" customHeight="1">
      <c r="A107" s="27"/>
      <c r="C107" s="12"/>
      <c r="D107" s="12"/>
      <c r="G107" s="12"/>
      <c r="H107" s="12"/>
    </row>
    <row r="108" spans="1:9" ht="15.75" customHeight="1">
      <c r="B108" s="83" t="s">
        <v>13</v>
      </c>
      <c r="C108" s="198"/>
      <c r="D108" s="198"/>
      <c r="E108" s="198"/>
      <c r="F108" s="88"/>
      <c r="I108" s="79"/>
    </row>
    <row r="109" spans="1:9" ht="15.75" customHeight="1">
      <c r="A109" s="80"/>
      <c r="C109" s="194" t="s">
        <v>11</v>
      </c>
      <c r="D109" s="194"/>
      <c r="E109" s="194"/>
      <c r="F109" s="80"/>
      <c r="I109" s="78" t="s">
        <v>12</v>
      </c>
    </row>
    <row r="110" spans="1:9" ht="15.75" customHeight="1">
      <c r="A110" s="4" t="s">
        <v>14</v>
      </c>
    </row>
    <row r="111" spans="1:9">
      <c r="A111" s="193" t="s">
        <v>15</v>
      </c>
      <c r="B111" s="193"/>
      <c r="C111" s="193"/>
      <c r="D111" s="193"/>
      <c r="E111" s="193"/>
      <c r="F111" s="193"/>
      <c r="G111" s="193"/>
      <c r="H111" s="193"/>
      <c r="I111" s="193"/>
    </row>
    <row r="112" spans="1:9" ht="45" customHeight="1">
      <c r="A112" s="189" t="s">
        <v>16</v>
      </c>
      <c r="B112" s="189"/>
      <c r="C112" s="189"/>
      <c r="D112" s="189"/>
      <c r="E112" s="189"/>
      <c r="F112" s="189"/>
      <c r="G112" s="189"/>
      <c r="H112" s="189"/>
      <c r="I112" s="189"/>
    </row>
    <row r="113" spans="1:9" ht="30" customHeight="1">
      <c r="A113" s="189" t="s">
        <v>17</v>
      </c>
      <c r="B113" s="189"/>
      <c r="C113" s="189"/>
      <c r="D113" s="189"/>
      <c r="E113" s="189"/>
      <c r="F113" s="189"/>
      <c r="G113" s="189"/>
      <c r="H113" s="189"/>
      <c r="I113" s="189"/>
    </row>
    <row r="114" spans="1:9" ht="30" customHeight="1">
      <c r="A114" s="189" t="s">
        <v>21</v>
      </c>
      <c r="B114" s="189"/>
      <c r="C114" s="189"/>
      <c r="D114" s="189"/>
      <c r="E114" s="189"/>
      <c r="F114" s="189"/>
      <c r="G114" s="189"/>
      <c r="H114" s="189"/>
      <c r="I114" s="189"/>
    </row>
    <row r="115" spans="1:9" ht="15" customHeight="1">
      <c r="A115" s="189" t="s">
        <v>20</v>
      </c>
      <c r="B115" s="189"/>
      <c r="C115" s="189"/>
      <c r="D115" s="189"/>
      <c r="E115" s="189"/>
      <c r="F115" s="189"/>
      <c r="G115" s="189"/>
      <c r="H115" s="189"/>
      <c r="I115" s="189"/>
    </row>
  </sheetData>
  <autoFilter ref="I12:I84"/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8:I28"/>
    <mergeCell ref="A41:I41"/>
    <mergeCell ref="A52:I52"/>
    <mergeCell ref="A81:I81"/>
    <mergeCell ref="A85:I85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0"/>
  <sheetViews>
    <sheetView topLeftCell="A3" workbookViewId="0">
      <selection activeCell="J14" sqref="J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143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252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2">
        <v>44469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154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hidden="1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6</v>
      </c>
      <c r="B30" s="34" t="s">
        <v>94</v>
      </c>
      <c r="C30" s="40" t="s">
        <v>95</v>
      </c>
      <c r="D30" s="34" t="s">
        <v>175</v>
      </c>
      <c r="E30" s="121">
        <v>313</v>
      </c>
      <c r="F30" s="121">
        <f>SUM(E30*24/1000)</f>
        <v>7.5119999999999996</v>
      </c>
      <c r="G30" s="121">
        <v>232.4</v>
      </c>
      <c r="H30" s="95">
        <f t="shared" ref="H30:H31" si="2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7</v>
      </c>
      <c r="B31" s="34" t="s">
        <v>129</v>
      </c>
      <c r="C31" s="40" t="s">
        <v>95</v>
      </c>
      <c r="D31" s="34" t="s">
        <v>152</v>
      </c>
      <c r="E31" s="121">
        <v>26.33</v>
      </c>
      <c r="F31" s="121">
        <f>SUM(E31*78/1000)</f>
        <v>2.0537399999999999</v>
      </c>
      <c r="G31" s="121">
        <v>385.6</v>
      </c>
      <c r="H31" s="95">
        <f t="shared" si="2"/>
        <v>0.79192214400000005</v>
      </c>
      <c r="I31" s="13">
        <f t="shared" ref="I31" si="3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4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5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6">SUM(F35*G35/1000)</f>
        <v>9.1632000000000016</v>
      </c>
      <c r="I35" s="13">
        <f t="shared" ref="I35:I40" si="7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120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6"/>
        <v>68.13378809999999</v>
      </c>
      <c r="I36" s="13">
        <f t="shared" si="7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99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6"/>
        <v>2.4464812499999997</v>
      </c>
      <c r="I37" s="13">
        <f t="shared" si="7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79</v>
      </c>
      <c r="C38" s="92" t="s">
        <v>95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6"/>
        <v>18.280331999999998</v>
      </c>
      <c r="I38" s="13">
        <f t="shared" si="7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100</v>
      </c>
      <c r="C39" s="92" t="s">
        <v>95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6"/>
        <v>0.86811749999999999</v>
      </c>
      <c r="I39" s="13">
        <f t="shared" si="7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6"/>
        <v>0.47879999999999995</v>
      </c>
      <c r="I40" s="13">
        <f t="shared" si="7"/>
        <v>79.8</v>
      </c>
      <c r="J40" s="24"/>
      <c r="K40" s="8"/>
      <c r="L40" s="8"/>
      <c r="M40" s="8"/>
    </row>
    <row r="41" spans="1:13" ht="15.75" customHeight="1">
      <c r="A41" s="206" t="s">
        <v>126</v>
      </c>
      <c r="B41" s="207"/>
      <c r="C41" s="207"/>
      <c r="D41" s="207"/>
      <c r="E41" s="207"/>
      <c r="F41" s="207"/>
      <c r="G41" s="207"/>
      <c r="H41" s="207"/>
      <c r="I41" s="208"/>
      <c r="J41" s="24"/>
      <c r="K41" s="8"/>
      <c r="L41" s="8"/>
      <c r="M41" s="8"/>
    </row>
    <row r="42" spans="1:13" ht="15.75" customHeight="1">
      <c r="A42" s="41">
        <v>8</v>
      </c>
      <c r="B42" s="34" t="s">
        <v>101</v>
      </c>
      <c r="C42" s="40" t="s">
        <v>95</v>
      </c>
      <c r="D42" s="34" t="s">
        <v>156</v>
      </c>
      <c r="E42" s="120">
        <v>965.8</v>
      </c>
      <c r="F42" s="121">
        <f>SUM(E42*2/1000)</f>
        <v>1.9316</v>
      </c>
      <c r="G42" s="37">
        <v>1207.24</v>
      </c>
      <c r="H42" s="95">
        <f t="shared" ref="H42:H51" si="8">SUM(F42*G42/1000)</f>
        <v>2.3319047839999998</v>
      </c>
      <c r="I42" s="13">
        <f t="shared" ref="I42:I45" si="9">F42/2*G42</f>
        <v>1165.9523919999999</v>
      </c>
      <c r="J42" s="24"/>
      <c r="K42" s="8"/>
    </row>
    <row r="43" spans="1:13" ht="15.75" customHeight="1">
      <c r="A43" s="41">
        <v>9</v>
      </c>
      <c r="B43" s="34" t="s">
        <v>35</v>
      </c>
      <c r="C43" s="40" t="s">
        <v>95</v>
      </c>
      <c r="D43" s="34" t="s">
        <v>156</v>
      </c>
      <c r="E43" s="120">
        <v>36</v>
      </c>
      <c r="F43" s="121">
        <f>SUM(E43*2/1000)</f>
        <v>7.1999999999999995E-2</v>
      </c>
      <c r="G43" s="37">
        <v>863.92</v>
      </c>
      <c r="H43" s="95">
        <f t="shared" si="8"/>
        <v>6.2202239999999992E-2</v>
      </c>
      <c r="I43" s="13">
        <f t="shared" si="9"/>
        <v>31.101119999999995</v>
      </c>
      <c r="J43" s="25"/>
    </row>
    <row r="44" spans="1:13" ht="15.75" customHeight="1">
      <c r="A44" s="41">
        <v>10</v>
      </c>
      <c r="B44" s="34" t="s">
        <v>36</v>
      </c>
      <c r="C44" s="40" t="s">
        <v>95</v>
      </c>
      <c r="D44" s="34" t="s">
        <v>156</v>
      </c>
      <c r="E44" s="120">
        <v>1197.7</v>
      </c>
      <c r="F44" s="121">
        <f>SUM(E44*2/1000)</f>
        <v>2.3954</v>
      </c>
      <c r="G44" s="37">
        <v>863.92</v>
      </c>
      <c r="H44" s="95">
        <f t="shared" si="8"/>
        <v>2.0694339679999998</v>
      </c>
      <c r="I44" s="13">
        <f t="shared" si="9"/>
        <v>1034.7169839999999</v>
      </c>
      <c r="J44" s="25"/>
    </row>
    <row r="45" spans="1:13" ht="15.75" customHeight="1">
      <c r="A45" s="41">
        <v>11</v>
      </c>
      <c r="B45" s="34" t="s">
        <v>37</v>
      </c>
      <c r="C45" s="40" t="s">
        <v>95</v>
      </c>
      <c r="D45" s="34" t="s">
        <v>156</v>
      </c>
      <c r="E45" s="120">
        <v>2275.92</v>
      </c>
      <c r="F45" s="121">
        <f>SUM(E45*2/1000)</f>
        <v>4.5518400000000003</v>
      </c>
      <c r="G45" s="37">
        <v>904.65</v>
      </c>
      <c r="H45" s="95">
        <f t="shared" si="8"/>
        <v>4.1178220559999996</v>
      </c>
      <c r="I45" s="13">
        <f t="shared" si="9"/>
        <v>2058.911028</v>
      </c>
      <c r="J45" s="25"/>
    </row>
    <row r="46" spans="1:13" ht="15.75" customHeight="1">
      <c r="A46" s="41">
        <v>12</v>
      </c>
      <c r="B46" s="34" t="s">
        <v>33</v>
      </c>
      <c r="C46" s="40" t="s">
        <v>34</v>
      </c>
      <c r="D46" s="34" t="s">
        <v>156</v>
      </c>
      <c r="E46" s="120">
        <v>81.709999999999994</v>
      </c>
      <c r="F46" s="121">
        <f>SUM(E46*2/100)</f>
        <v>1.6341999999999999</v>
      </c>
      <c r="G46" s="37">
        <v>108.55</v>
      </c>
      <c r="H46" s="95">
        <f t="shared" si="8"/>
        <v>0.17739240999999997</v>
      </c>
      <c r="I46" s="13">
        <f>F46/2*G46</f>
        <v>88.696204999999992</v>
      </c>
      <c r="J46" s="25"/>
    </row>
    <row r="47" spans="1:13" ht="15.75" customHeight="1">
      <c r="A47" s="41">
        <v>13</v>
      </c>
      <c r="B47" s="34" t="s">
        <v>56</v>
      </c>
      <c r="C47" s="40" t="s">
        <v>95</v>
      </c>
      <c r="D47" s="34" t="s">
        <v>156</v>
      </c>
      <c r="E47" s="120">
        <v>1711.8</v>
      </c>
      <c r="F47" s="121">
        <f>SUM(E47*5/1000)</f>
        <v>8.5589999999999993</v>
      </c>
      <c r="G47" s="37">
        <v>1809.27</v>
      </c>
      <c r="H47" s="95">
        <f t="shared" si="8"/>
        <v>15.48554193</v>
      </c>
      <c r="I47" s="13">
        <f>F47/5*G47</f>
        <v>3097.1083859999994</v>
      </c>
      <c r="J47" s="25"/>
    </row>
    <row r="48" spans="1:13" ht="31.5" customHeight="1">
      <c r="A48" s="41">
        <v>14</v>
      </c>
      <c r="B48" s="34" t="s">
        <v>102</v>
      </c>
      <c r="C48" s="40" t="s">
        <v>95</v>
      </c>
      <c r="D48" s="34" t="s">
        <v>156</v>
      </c>
      <c r="E48" s="120">
        <v>1711.8</v>
      </c>
      <c r="F48" s="121">
        <f>SUM(E48*2/1000)</f>
        <v>3.4236</v>
      </c>
      <c r="G48" s="37">
        <v>1809.27</v>
      </c>
      <c r="H48" s="95">
        <f t="shared" si="8"/>
        <v>6.1942167719999999</v>
      </c>
      <c r="I48" s="13">
        <f>F48/2*G48</f>
        <v>3097.1083859999999</v>
      </c>
      <c r="J48" s="25"/>
    </row>
    <row r="49" spans="1:14" ht="31.5" customHeight="1">
      <c r="A49" s="41">
        <v>15</v>
      </c>
      <c r="B49" s="34" t="s">
        <v>103</v>
      </c>
      <c r="C49" s="40" t="s">
        <v>38</v>
      </c>
      <c r="D49" s="34" t="s">
        <v>156</v>
      </c>
      <c r="E49" s="120">
        <v>15</v>
      </c>
      <c r="F49" s="121">
        <f>SUM(E49*2/100)</f>
        <v>0.3</v>
      </c>
      <c r="G49" s="37">
        <v>4070.89</v>
      </c>
      <c r="H49" s="95">
        <f t="shared" si="8"/>
        <v>1.2212669999999999</v>
      </c>
      <c r="I49" s="13">
        <f t="shared" ref="I49:I50" si="10">F49/2*G49</f>
        <v>610.63349999999991</v>
      </c>
      <c r="J49" s="25"/>
    </row>
    <row r="50" spans="1:14" ht="15.75" customHeight="1">
      <c r="A50" s="41">
        <v>16</v>
      </c>
      <c r="B50" s="34" t="s">
        <v>39</v>
      </c>
      <c r="C50" s="40" t="s">
        <v>40</v>
      </c>
      <c r="D50" s="34" t="s">
        <v>156</v>
      </c>
      <c r="E50" s="120">
        <v>1</v>
      </c>
      <c r="F50" s="121">
        <v>0.02</v>
      </c>
      <c r="G50" s="37">
        <v>8426.7199999999993</v>
      </c>
      <c r="H50" s="95">
        <f t="shared" si="8"/>
        <v>0.16853439999999997</v>
      </c>
      <c r="I50" s="13">
        <f t="shared" si="10"/>
        <v>84.267199999999988</v>
      </c>
      <c r="J50" s="25"/>
      <c r="L50" s="21"/>
      <c r="M50" s="22"/>
      <c r="N50" s="23"/>
    </row>
    <row r="51" spans="1:14" ht="15.75" customHeight="1">
      <c r="A51" s="41">
        <v>17</v>
      </c>
      <c r="B51" s="34" t="s">
        <v>41</v>
      </c>
      <c r="C51" s="40" t="s">
        <v>82</v>
      </c>
      <c r="D51" s="162">
        <v>44442</v>
      </c>
      <c r="E51" s="120">
        <v>90</v>
      </c>
      <c r="F51" s="121">
        <f>E51*3</f>
        <v>270</v>
      </c>
      <c r="G51" s="164">
        <v>97.93</v>
      </c>
      <c r="H51" s="95">
        <f t="shared" si="8"/>
        <v>26.441100000000002</v>
      </c>
      <c r="I51" s="13">
        <f>E51*G51</f>
        <v>8813.7000000000007</v>
      </c>
      <c r="J51" s="25"/>
      <c r="L51" s="21"/>
      <c r="M51" s="22"/>
      <c r="N51" s="23"/>
    </row>
    <row r="52" spans="1:14" ht="15.75" customHeight="1">
      <c r="A52" s="206" t="s">
        <v>127</v>
      </c>
      <c r="B52" s="207"/>
      <c r="C52" s="207"/>
      <c r="D52" s="207"/>
      <c r="E52" s="207"/>
      <c r="F52" s="207"/>
      <c r="G52" s="207"/>
      <c r="H52" s="207"/>
      <c r="I52" s="208"/>
      <c r="J52" s="25"/>
      <c r="L52" s="21"/>
      <c r="M52" s="22"/>
      <c r="N52" s="23"/>
    </row>
    <row r="53" spans="1:14" ht="15.75" hidden="1" customHeight="1">
      <c r="A53" s="90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104</v>
      </c>
      <c r="C54" s="92" t="s">
        <v>85</v>
      </c>
      <c r="D54" s="91" t="s">
        <v>105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85</v>
      </c>
      <c r="D56" s="91" t="s">
        <v>54</v>
      </c>
      <c r="E56" s="93">
        <v>855.9</v>
      </c>
      <c r="F56" s="95">
        <v>8.6</v>
      </c>
      <c r="G56" s="13">
        <v>747.3</v>
      </c>
      <c r="H56" s="98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18</v>
      </c>
      <c r="B57" s="91" t="s">
        <v>83</v>
      </c>
      <c r="C57" s="92" t="s">
        <v>25</v>
      </c>
      <c r="D57" s="91" t="s">
        <v>156</v>
      </c>
      <c r="E57" s="93">
        <v>256</v>
      </c>
      <c r="F57" s="95">
        <f>E57*12</f>
        <v>3072</v>
      </c>
      <c r="G57" s="13">
        <v>1.4</v>
      </c>
      <c r="H57" s="98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121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122</v>
      </c>
      <c r="C59" s="92" t="s">
        <v>82</v>
      </c>
      <c r="D59" s="91" t="s">
        <v>65</v>
      </c>
      <c r="E59" s="93">
        <v>2</v>
      </c>
      <c r="F59" s="94">
        <f>SUM(E59)</f>
        <v>2</v>
      </c>
      <c r="G59" s="99">
        <v>237.75</v>
      </c>
      <c r="H59" s="95">
        <f t="shared" ref="H59" si="11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81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15" hidden="1" customHeight="1">
      <c r="A61" s="41">
        <v>19</v>
      </c>
      <c r="B61" s="15" t="s">
        <v>47</v>
      </c>
      <c r="C61" s="17" t="s">
        <v>82</v>
      </c>
      <c r="D61" s="91" t="s">
        <v>175</v>
      </c>
      <c r="E61" s="19">
        <v>10</v>
      </c>
      <c r="F61" s="94">
        <v>10</v>
      </c>
      <c r="G61" s="131">
        <v>331.57</v>
      </c>
      <c r="H61" s="100">
        <f t="shared" ref="H61:H68" si="12">SUM(F61*G61/1000)</f>
        <v>3.3156999999999996</v>
      </c>
      <c r="I61" s="13">
        <f>G61*4</f>
        <v>1326.28</v>
      </c>
      <c r="J61" s="25"/>
      <c r="L61" s="21"/>
      <c r="M61" s="22"/>
      <c r="N61" s="23"/>
    </row>
    <row r="62" spans="1:14" ht="19.5" hidden="1" customHeight="1">
      <c r="A62" s="31">
        <v>29</v>
      </c>
      <c r="B62" s="15" t="s">
        <v>48</v>
      </c>
      <c r="C62" s="17" t="s">
        <v>82</v>
      </c>
      <c r="D62" s="91" t="s">
        <v>65</v>
      </c>
      <c r="E62" s="19">
        <v>5</v>
      </c>
      <c r="F62" s="94">
        <v>5</v>
      </c>
      <c r="G62" s="13">
        <v>75.25</v>
      </c>
      <c r="H62" s="100">
        <f t="shared" si="12"/>
        <v>0.37624999999999997</v>
      </c>
      <c r="I62" s="13">
        <v>0</v>
      </c>
      <c r="J62" s="25"/>
      <c r="L62" s="21"/>
      <c r="M62" s="22"/>
      <c r="N62" s="23"/>
    </row>
    <row r="63" spans="1:14" ht="22.5" hidden="1" customHeight="1">
      <c r="A63" s="31">
        <v>25</v>
      </c>
      <c r="B63" s="15" t="s">
        <v>49</v>
      </c>
      <c r="C63" s="17" t="s">
        <v>106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0">
        <f t="shared" si="12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26</v>
      </c>
      <c r="B64" s="15" t="s">
        <v>50</v>
      </c>
      <c r="C64" s="17" t="s">
        <v>107</v>
      </c>
      <c r="D64" s="15"/>
      <c r="E64" s="93">
        <v>13018</v>
      </c>
      <c r="F64" s="13">
        <f>SUM(E64/1000)</f>
        <v>13.018000000000001</v>
      </c>
      <c r="G64" s="13">
        <v>165.21</v>
      </c>
      <c r="H64" s="100">
        <f t="shared" si="12"/>
        <v>2.1507037800000002</v>
      </c>
      <c r="I64" s="13">
        <f t="shared" ref="I64:I67" si="13">F64*G64</f>
        <v>2150.7037800000003</v>
      </c>
      <c r="J64" s="25"/>
      <c r="L64" s="21"/>
      <c r="M64" s="22"/>
      <c r="N64" s="23"/>
    </row>
    <row r="65" spans="1:14" ht="15.7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0">
        <f t="shared" si="12"/>
        <v>26.534517700000002</v>
      </c>
      <c r="I65" s="13">
        <f t="shared" si="13"/>
        <v>26534.5177</v>
      </c>
      <c r="J65" s="25"/>
      <c r="L65" s="21"/>
      <c r="M65" s="22"/>
      <c r="N65" s="23"/>
    </row>
    <row r="66" spans="1:14" ht="17.25" hidden="1" customHeight="1">
      <c r="A66" s="31">
        <v>28</v>
      </c>
      <c r="B66" s="101" t="s">
        <v>108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0">
        <f t="shared" si="12"/>
        <v>0.54383999999999999</v>
      </c>
      <c r="I66" s="13">
        <f t="shared" si="13"/>
        <v>543.84</v>
      </c>
      <c r="J66" s="25"/>
      <c r="L66" s="21"/>
      <c r="M66" s="22"/>
      <c r="N66" s="23"/>
    </row>
    <row r="67" spans="1:14" ht="18" hidden="1" customHeight="1">
      <c r="A67" s="31">
        <v>29</v>
      </c>
      <c r="B67" s="101" t="s">
        <v>109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0">
        <f t="shared" si="12"/>
        <v>0.50736000000000003</v>
      </c>
      <c r="I67" s="13">
        <f t="shared" si="13"/>
        <v>507.36</v>
      </c>
      <c r="J67" s="25"/>
      <c r="L67" s="21"/>
      <c r="M67" s="22"/>
      <c r="N67" s="23"/>
    </row>
    <row r="68" spans="1:14" ht="15.75" customHeight="1">
      <c r="A68" s="31">
        <v>19</v>
      </c>
      <c r="B68" s="15" t="s">
        <v>57</v>
      </c>
      <c r="C68" s="17" t="s">
        <v>58</v>
      </c>
      <c r="D68" s="15" t="s">
        <v>155</v>
      </c>
      <c r="E68" s="19">
        <v>1</v>
      </c>
      <c r="F68" s="94">
        <f>SUM(E68)</f>
        <v>1</v>
      </c>
      <c r="G68" s="131">
        <v>74.37</v>
      </c>
      <c r="H68" s="100">
        <f t="shared" si="12"/>
        <v>7.4370000000000006E-2</v>
      </c>
      <c r="I68" s="13">
        <f>G68*1</f>
        <v>74.37</v>
      </c>
      <c r="J68" s="25"/>
      <c r="L68" s="21"/>
      <c r="M68" s="22"/>
      <c r="N68" s="23"/>
    </row>
    <row r="69" spans="1:14" ht="15.75" customHeight="1">
      <c r="A69" s="31"/>
      <c r="B69" s="135" t="s">
        <v>162</v>
      </c>
      <c r="C69" s="38"/>
      <c r="D69" s="119"/>
      <c r="E69" s="18"/>
      <c r="F69" s="68"/>
      <c r="G69" s="37"/>
      <c r="H69" s="133"/>
      <c r="I69" s="134"/>
      <c r="J69" s="25"/>
      <c r="L69" s="21"/>
      <c r="M69" s="22"/>
      <c r="N69" s="23"/>
    </row>
    <row r="70" spans="1:14" ht="28.5" customHeight="1">
      <c r="A70" s="31">
        <v>20</v>
      </c>
      <c r="B70" s="119" t="s">
        <v>163</v>
      </c>
      <c r="C70" s="41" t="s">
        <v>164</v>
      </c>
      <c r="D70" s="119"/>
      <c r="E70" s="18">
        <v>2581.1999999999998</v>
      </c>
      <c r="F70" s="37">
        <f>E70*12</f>
        <v>30974.399999999998</v>
      </c>
      <c r="G70" s="37">
        <v>2.6</v>
      </c>
      <c r="H70" s="133"/>
      <c r="I70" s="134">
        <f>G70*F70/12</f>
        <v>6711.12</v>
      </c>
      <c r="J70" s="25"/>
      <c r="L70" s="21"/>
      <c r="M70" s="22"/>
      <c r="N70" s="23"/>
    </row>
    <row r="71" spans="1:14" ht="15.75" hidden="1" customHeight="1">
      <c r="A71" s="90"/>
      <c r="B71" s="81" t="s">
        <v>110</v>
      </c>
      <c r="C71" s="81"/>
      <c r="D71" s="81"/>
      <c r="E71" s="81"/>
      <c r="F71" s="81"/>
      <c r="G71" s="81"/>
      <c r="H71" s="81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1" t="s">
        <v>111</v>
      </c>
      <c r="C72" s="17"/>
      <c r="D72" s="15"/>
      <c r="E72" s="85"/>
      <c r="F72" s="13">
        <v>1</v>
      </c>
      <c r="G72" s="13">
        <v>10041.700000000001</v>
      </c>
      <c r="H72" s="100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customHeight="1">
      <c r="A73" s="31"/>
      <c r="B73" s="49" t="s">
        <v>72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customHeight="1">
      <c r="A74" s="31">
        <v>21</v>
      </c>
      <c r="B74" s="15" t="s">
        <v>73</v>
      </c>
      <c r="C74" s="17" t="s">
        <v>74</v>
      </c>
      <c r="D74" s="15" t="s">
        <v>253</v>
      </c>
      <c r="E74" s="19">
        <v>5</v>
      </c>
      <c r="F74" s="13">
        <v>0.5</v>
      </c>
      <c r="G74" s="131">
        <v>747.85</v>
      </c>
      <c r="H74" s="100">
        <f t="shared" ref="H74:H76" si="14">SUM(F74*G74/1000)</f>
        <v>0.37392500000000001</v>
      </c>
      <c r="I74" s="13">
        <f>G74*1.1</f>
        <v>822.6350000000001</v>
      </c>
      <c r="J74" s="25"/>
      <c r="L74" s="21"/>
      <c r="M74" s="22"/>
      <c r="N74" s="23"/>
    </row>
    <row r="75" spans="1:14" ht="15.75" hidden="1" customHeight="1">
      <c r="A75" s="31"/>
      <c r="B75" s="15" t="s">
        <v>123</v>
      </c>
      <c r="C75" s="17" t="s">
        <v>82</v>
      </c>
      <c r="D75" s="15"/>
      <c r="E75" s="19">
        <v>1</v>
      </c>
      <c r="F75" s="84">
        <f>E75</f>
        <v>1</v>
      </c>
      <c r="G75" s="13">
        <v>852.99</v>
      </c>
      <c r="H75" s="100">
        <f t="shared" si="14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124</v>
      </c>
      <c r="C76" s="17" t="s">
        <v>82</v>
      </c>
      <c r="D76" s="15"/>
      <c r="E76" s="19">
        <v>1</v>
      </c>
      <c r="F76" s="94">
        <f>SUM(E76)</f>
        <v>1</v>
      </c>
      <c r="G76" s="13">
        <v>358.51</v>
      </c>
      <c r="H76" s="100">
        <f t="shared" si="14"/>
        <v>0.35851</v>
      </c>
      <c r="I76" s="13">
        <v>0</v>
      </c>
      <c r="J76" s="25"/>
      <c r="L76" s="21"/>
      <c r="M76" s="22"/>
      <c r="N76" s="23"/>
    </row>
    <row r="77" spans="1:14" ht="15.75" customHeight="1">
      <c r="A77" s="31">
        <v>22</v>
      </c>
      <c r="B77" s="119" t="s">
        <v>171</v>
      </c>
      <c r="C77" s="38" t="s">
        <v>82</v>
      </c>
      <c r="D77" s="119" t="s">
        <v>155</v>
      </c>
      <c r="E77" s="18">
        <v>2</v>
      </c>
      <c r="F77" s="68">
        <f>E77*12</f>
        <v>24</v>
      </c>
      <c r="G77" s="37">
        <v>420</v>
      </c>
      <c r="H77" s="100"/>
      <c r="I77" s="13">
        <f>G77*2</f>
        <v>840</v>
      </c>
      <c r="J77" s="25"/>
      <c r="L77" s="21"/>
      <c r="M77" s="22"/>
      <c r="N77" s="23"/>
    </row>
    <row r="78" spans="1:14" ht="15.75" hidden="1" customHeight="1">
      <c r="A78" s="31"/>
      <c r="B78" s="50" t="s">
        <v>75</v>
      </c>
      <c r="C78" s="38"/>
      <c r="D78" s="31"/>
      <c r="E78" s="19"/>
      <c r="F78" s="19"/>
      <c r="G78" s="37" t="s">
        <v>112</v>
      </c>
      <c r="H78" s="37"/>
      <c r="I78" s="19"/>
      <c r="J78" s="25"/>
      <c r="L78" s="21"/>
      <c r="M78" s="22"/>
      <c r="N78" s="23"/>
    </row>
    <row r="79" spans="1:14" ht="15.75" hidden="1" customHeight="1">
      <c r="A79" s="31">
        <v>12</v>
      </c>
      <c r="B79" s="52" t="s">
        <v>113</v>
      </c>
      <c r="C79" s="17" t="s">
        <v>76</v>
      </c>
      <c r="D79" s="15"/>
      <c r="E79" s="19"/>
      <c r="F79" s="13">
        <v>0.3</v>
      </c>
      <c r="G79" s="13">
        <v>2759.44</v>
      </c>
      <c r="H79" s="100">
        <f t="shared" ref="H79" si="15">SUM(F79*G79/1000)</f>
        <v>0.82783200000000001</v>
      </c>
      <c r="I79" s="13">
        <v>0</v>
      </c>
      <c r="J79" s="25"/>
      <c r="L79" s="21"/>
      <c r="M79" s="22"/>
      <c r="N79" s="23"/>
    </row>
    <row r="80" spans="1:14" ht="15.75" customHeight="1">
      <c r="A80" s="210" t="s">
        <v>128</v>
      </c>
      <c r="B80" s="211"/>
      <c r="C80" s="211"/>
      <c r="D80" s="211"/>
      <c r="E80" s="211"/>
      <c r="F80" s="211"/>
      <c r="G80" s="211"/>
      <c r="H80" s="211"/>
      <c r="I80" s="212"/>
      <c r="J80" s="25"/>
      <c r="L80" s="21"/>
      <c r="M80" s="22"/>
      <c r="N80" s="23"/>
    </row>
    <row r="81" spans="1:22" ht="15.75" customHeight="1">
      <c r="A81" s="31">
        <v>23</v>
      </c>
      <c r="B81" s="119" t="s">
        <v>114</v>
      </c>
      <c r="C81" s="38" t="s">
        <v>55</v>
      </c>
      <c r="D81" s="160"/>
      <c r="E81" s="37">
        <v>2581.1999999999998</v>
      </c>
      <c r="F81" s="37">
        <f>SUM(E81*12)</f>
        <v>30974.399999999998</v>
      </c>
      <c r="G81" s="37">
        <v>3.5</v>
      </c>
      <c r="H81" s="155">
        <f>SUM(F81*G81/1000)</f>
        <v>108.4104</v>
      </c>
      <c r="I81" s="13">
        <f>F81/12*G81</f>
        <v>9034.1999999999989</v>
      </c>
      <c r="J81" s="25"/>
      <c r="L81" s="21"/>
    </row>
    <row r="82" spans="1:22" ht="31.5" customHeight="1">
      <c r="A82" s="31">
        <v>24</v>
      </c>
      <c r="B82" s="157" t="s">
        <v>172</v>
      </c>
      <c r="C82" s="150" t="s">
        <v>55</v>
      </c>
      <c r="D82" s="158"/>
      <c r="E82" s="159">
        <f>E81</f>
        <v>2581.1999999999998</v>
      </c>
      <c r="F82" s="152">
        <f>E82*12</f>
        <v>30974.399999999998</v>
      </c>
      <c r="G82" s="152">
        <v>3.2</v>
      </c>
      <c r="H82" s="100">
        <f>F82*G82/1000</f>
        <v>99.118080000000006</v>
      </c>
      <c r="I82" s="13">
        <f>F82/12*G82</f>
        <v>8259.84</v>
      </c>
    </row>
    <row r="83" spans="1:22" ht="15.75" customHeight="1">
      <c r="A83" s="90"/>
      <c r="B83" s="39" t="s">
        <v>78</v>
      </c>
      <c r="C83" s="41"/>
      <c r="D83" s="16"/>
      <c r="E83" s="16"/>
      <c r="F83" s="16"/>
      <c r="G83" s="19"/>
      <c r="H83" s="19"/>
      <c r="I83" s="33">
        <f>I82+I81+I77+I74+I70+I68+I57+I51+I50+I49+I48+I47+I46+I45+I44+I43+I42+I31+I30+I21+I20+I18+I17+I16</f>
        <v>55968.540455000017</v>
      </c>
    </row>
    <row r="84" spans="1:22" ht="15.75" customHeight="1">
      <c r="A84" s="213" t="s">
        <v>60</v>
      </c>
      <c r="B84" s="214"/>
      <c r="C84" s="214"/>
      <c r="D84" s="214"/>
      <c r="E84" s="214"/>
      <c r="F84" s="214"/>
      <c r="G84" s="214"/>
      <c r="H84" s="214"/>
      <c r="I84" s="215"/>
    </row>
    <row r="85" spans="1:22" ht="18.75" customHeight="1">
      <c r="A85" s="31">
        <v>25</v>
      </c>
      <c r="B85" s="117" t="s">
        <v>254</v>
      </c>
      <c r="C85" s="167" t="s">
        <v>147</v>
      </c>
      <c r="D85" s="66"/>
      <c r="E85" s="37"/>
      <c r="F85" s="37">
        <v>0.06</v>
      </c>
      <c r="G85" s="37">
        <v>4113.16</v>
      </c>
      <c r="H85" s="100"/>
      <c r="I85" s="13">
        <f>G85*0.06</f>
        <v>246.78959999999998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.75" customHeight="1">
      <c r="A86" s="31">
        <v>26</v>
      </c>
      <c r="B86" s="117" t="s">
        <v>255</v>
      </c>
      <c r="C86" s="118" t="s">
        <v>82</v>
      </c>
      <c r="D86" s="66"/>
      <c r="E86" s="37"/>
      <c r="F86" s="37">
        <v>1</v>
      </c>
      <c r="G86" s="37">
        <v>186.47</v>
      </c>
      <c r="H86" s="100"/>
      <c r="I86" s="13">
        <f>G86*1</f>
        <v>186.47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5.75" customHeight="1">
      <c r="A87" s="31"/>
      <c r="B87" s="46" t="s">
        <v>52</v>
      </c>
      <c r="C87" s="42"/>
      <c r="D87" s="54"/>
      <c r="E87" s="42">
        <v>1</v>
      </c>
      <c r="F87" s="42"/>
      <c r="G87" s="42"/>
      <c r="H87" s="42"/>
      <c r="I87" s="33">
        <f>SUM(I85:I86)</f>
        <v>433.25959999999998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2" ht="15.75" customHeight="1">
      <c r="A88" s="31"/>
      <c r="B88" s="52" t="s">
        <v>77</v>
      </c>
      <c r="C88" s="16"/>
      <c r="D88" s="16"/>
      <c r="E88" s="43"/>
      <c r="F88" s="43"/>
      <c r="G88" s="44"/>
      <c r="H88" s="44"/>
      <c r="I88" s="18">
        <v>0</v>
      </c>
    </row>
    <row r="89" spans="1:22" ht="15.75" customHeight="1">
      <c r="A89" s="55"/>
      <c r="B89" s="47" t="s">
        <v>131</v>
      </c>
      <c r="C89" s="36"/>
      <c r="D89" s="36"/>
      <c r="E89" s="36"/>
      <c r="F89" s="36"/>
      <c r="G89" s="36"/>
      <c r="H89" s="36"/>
      <c r="I89" s="45">
        <f>I83+I87</f>
        <v>56401.800055000014</v>
      </c>
    </row>
    <row r="90" spans="1:22" ht="15.75" customHeight="1">
      <c r="A90" s="209" t="s">
        <v>256</v>
      </c>
      <c r="B90" s="209"/>
      <c r="C90" s="209"/>
      <c r="D90" s="209"/>
      <c r="E90" s="209"/>
      <c r="F90" s="209"/>
      <c r="G90" s="209"/>
      <c r="H90" s="209"/>
      <c r="I90" s="209"/>
    </row>
    <row r="91" spans="1:22" ht="15.75" customHeight="1">
      <c r="A91" s="77"/>
      <c r="B91" s="190" t="s">
        <v>257</v>
      </c>
      <c r="C91" s="190"/>
      <c r="D91" s="190"/>
      <c r="E91" s="190"/>
      <c r="F91" s="190"/>
      <c r="G91" s="190"/>
      <c r="H91" s="89"/>
      <c r="I91" s="3"/>
    </row>
    <row r="92" spans="1:22" ht="15.75" customHeight="1">
      <c r="A92" s="80"/>
      <c r="B92" s="191" t="s">
        <v>6</v>
      </c>
      <c r="C92" s="191"/>
      <c r="D92" s="191"/>
      <c r="E92" s="191"/>
      <c r="F92" s="191"/>
      <c r="G92" s="191"/>
      <c r="H92" s="26"/>
      <c r="I92" s="5"/>
    </row>
    <row r="93" spans="1:22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22" ht="15.75" customHeight="1">
      <c r="A94" s="192" t="s">
        <v>7</v>
      </c>
      <c r="B94" s="192"/>
      <c r="C94" s="192"/>
      <c r="D94" s="192"/>
      <c r="E94" s="192"/>
      <c r="F94" s="192"/>
      <c r="G94" s="192"/>
      <c r="H94" s="192"/>
      <c r="I94" s="192"/>
    </row>
    <row r="95" spans="1:22" ht="15.75" customHeight="1">
      <c r="A95" s="192" t="s">
        <v>8</v>
      </c>
      <c r="B95" s="192"/>
      <c r="C95" s="192"/>
      <c r="D95" s="192"/>
      <c r="E95" s="192"/>
      <c r="F95" s="192"/>
      <c r="G95" s="192"/>
      <c r="H95" s="192"/>
      <c r="I95" s="192"/>
    </row>
    <row r="96" spans="1:22" ht="15.75" customHeight="1">
      <c r="A96" s="195" t="s">
        <v>61</v>
      </c>
      <c r="B96" s="195"/>
      <c r="C96" s="195"/>
      <c r="D96" s="195"/>
      <c r="E96" s="195"/>
      <c r="F96" s="195"/>
      <c r="G96" s="195"/>
      <c r="H96" s="195"/>
      <c r="I96" s="195"/>
    </row>
    <row r="97" spans="1:9" ht="15.75" customHeight="1">
      <c r="A97" s="11"/>
    </row>
    <row r="98" spans="1:9" ht="15.75" customHeight="1">
      <c r="A98" s="196" t="s">
        <v>9</v>
      </c>
      <c r="B98" s="196"/>
      <c r="C98" s="196"/>
      <c r="D98" s="196"/>
      <c r="E98" s="196"/>
      <c r="F98" s="196"/>
      <c r="G98" s="196"/>
      <c r="H98" s="196"/>
      <c r="I98" s="196"/>
    </row>
    <row r="99" spans="1:9" ht="15.75" customHeight="1">
      <c r="A99" s="4"/>
    </row>
    <row r="100" spans="1:9" ht="15.75" customHeight="1">
      <c r="B100" s="83" t="s">
        <v>10</v>
      </c>
      <c r="C100" s="197" t="s">
        <v>182</v>
      </c>
      <c r="D100" s="197"/>
      <c r="E100" s="197"/>
      <c r="F100" s="87"/>
      <c r="I100" s="79"/>
    </row>
    <row r="101" spans="1:9" ht="15.75" customHeight="1">
      <c r="A101" s="80"/>
      <c r="C101" s="191" t="s">
        <v>11</v>
      </c>
      <c r="D101" s="191"/>
      <c r="E101" s="191"/>
      <c r="F101" s="26"/>
      <c r="I101" s="78" t="s">
        <v>12</v>
      </c>
    </row>
    <row r="102" spans="1:9" ht="15.75" customHeight="1">
      <c r="A102" s="27"/>
      <c r="C102" s="12"/>
      <c r="D102" s="12"/>
      <c r="G102" s="12"/>
      <c r="H102" s="12"/>
    </row>
    <row r="103" spans="1:9" ht="15.75" customHeight="1">
      <c r="B103" s="83" t="s">
        <v>13</v>
      </c>
      <c r="C103" s="198"/>
      <c r="D103" s="198"/>
      <c r="E103" s="198"/>
      <c r="F103" s="88"/>
      <c r="I103" s="79"/>
    </row>
    <row r="104" spans="1:9" ht="15.75" customHeight="1">
      <c r="A104" s="80"/>
      <c r="C104" s="194" t="s">
        <v>11</v>
      </c>
      <c r="D104" s="194"/>
      <c r="E104" s="194"/>
      <c r="F104" s="80"/>
      <c r="I104" s="78" t="s">
        <v>12</v>
      </c>
    </row>
    <row r="105" spans="1:9" ht="15.75" customHeight="1">
      <c r="A105" s="4" t="s">
        <v>14</v>
      </c>
    </row>
    <row r="106" spans="1:9">
      <c r="A106" s="193" t="s">
        <v>15</v>
      </c>
      <c r="B106" s="193"/>
      <c r="C106" s="193"/>
      <c r="D106" s="193"/>
      <c r="E106" s="193"/>
      <c r="F106" s="193"/>
      <c r="G106" s="193"/>
      <c r="H106" s="193"/>
      <c r="I106" s="193"/>
    </row>
    <row r="107" spans="1:9" ht="45" customHeight="1">
      <c r="A107" s="189" t="s">
        <v>16</v>
      </c>
      <c r="B107" s="189"/>
      <c r="C107" s="189"/>
      <c r="D107" s="189"/>
      <c r="E107" s="189"/>
      <c r="F107" s="189"/>
      <c r="G107" s="189"/>
      <c r="H107" s="189"/>
      <c r="I107" s="189"/>
    </row>
    <row r="108" spans="1:9" ht="30" customHeight="1">
      <c r="A108" s="189" t="s">
        <v>17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30" customHeight="1">
      <c r="A109" s="189" t="s">
        <v>21</v>
      </c>
      <c r="B109" s="189"/>
      <c r="C109" s="189"/>
      <c r="D109" s="189"/>
      <c r="E109" s="189"/>
      <c r="F109" s="189"/>
      <c r="G109" s="189"/>
      <c r="H109" s="189"/>
      <c r="I109" s="189"/>
    </row>
    <row r="110" spans="1:9" ht="15" customHeight="1">
      <c r="A110" s="189" t="s">
        <v>20</v>
      </c>
      <c r="B110" s="189"/>
      <c r="C110" s="189"/>
      <c r="D110" s="189"/>
      <c r="E110" s="189"/>
      <c r="F110" s="189"/>
      <c r="G110" s="189"/>
      <c r="H110" s="189"/>
      <c r="I110" s="189"/>
    </row>
  </sheetData>
  <autoFilter ref="I12:I83"/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8:I28"/>
    <mergeCell ref="A41:I41"/>
    <mergeCell ref="A52:I52"/>
    <mergeCell ref="A80:I80"/>
    <mergeCell ref="A84:I84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97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144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258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2">
        <v>44500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268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154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hidden="1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5" t="s">
        <v>80</v>
      </c>
      <c r="B28" s="205"/>
      <c r="C28" s="205"/>
      <c r="D28" s="205"/>
      <c r="E28" s="205"/>
      <c r="F28" s="205"/>
      <c r="G28" s="205"/>
      <c r="H28" s="205"/>
      <c r="I28" s="205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6</v>
      </c>
      <c r="B30" s="34" t="s">
        <v>94</v>
      </c>
      <c r="C30" s="40" t="s">
        <v>95</v>
      </c>
      <c r="D30" s="34" t="s">
        <v>175</v>
      </c>
      <c r="E30" s="121">
        <v>313</v>
      </c>
      <c r="F30" s="121">
        <f>SUM(E30*24/1000)</f>
        <v>7.5119999999999996</v>
      </c>
      <c r="G30" s="121">
        <v>232.4</v>
      </c>
      <c r="H30" s="95">
        <f t="shared" ref="H30:H31" si="2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7</v>
      </c>
      <c r="B31" s="34" t="s">
        <v>129</v>
      </c>
      <c r="C31" s="40" t="s">
        <v>95</v>
      </c>
      <c r="D31" s="34" t="s">
        <v>152</v>
      </c>
      <c r="E31" s="121">
        <v>26.33</v>
      </c>
      <c r="F31" s="121">
        <f>SUM(E31*78/1000)</f>
        <v>2.0537399999999999</v>
      </c>
      <c r="G31" s="121">
        <v>385.6</v>
      </c>
      <c r="H31" s="95">
        <f t="shared" si="2"/>
        <v>0.79192214400000005</v>
      </c>
      <c r="I31" s="13">
        <f t="shared" ref="I31" si="3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95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4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5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6">SUM(F35*G35/1000)</f>
        <v>9.1632000000000016</v>
      </c>
      <c r="I35" s="13">
        <f t="shared" ref="I35:I40" si="7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120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6"/>
        <v>68.13378809999999</v>
      </c>
      <c r="I36" s="13">
        <f t="shared" si="7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99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6"/>
        <v>2.4464812499999997</v>
      </c>
      <c r="I37" s="13">
        <f t="shared" si="7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79</v>
      </c>
      <c r="C38" s="92" t="s">
        <v>95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6"/>
        <v>18.280331999999998</v>
      </c>
      <c r="I38" s="13">
        <f t="shared" si="7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100</v>
      </c>
      <c r="C39" s="92" t="s">
        <v>95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6"/>
        <v>0.86811749999999999</v>
      </c>
      <c r="I39" s="13">
        <f t="shared" si="7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6"/>
        <v>0.47879999999999995</v>
      </c>
      <c r="I40" s="13">
        <f t="shared" si="7"/>
        <v>79.8</v>
      </c>
      <c r="J40" s="24"/>
      <c r="K40" s="8"/>
      <c r="L40" s="8"/>
      <c r="M40" s="8"/>
    </row>
    <row r="41" spans="1:13" ht="15.75" hidden="1" customHeight="1">
      <c r="A41" s="206" t="s">
        <v>126</v>
      </c>
      <c r="B41" s="207"/>
      <c r="C41" s="207"/>
      <c r="D41" s="207"/>
      <c r="E41" s="207"/>
      <c r="F41" s="207"/>
      <c r="G41" s="207"/>
      <c r="H41" s="207"/>
      <c r="I41" s="208"/>
      <c r="J41" s="24"/>
      <c r="K41" s="8"/>
      <c r="L41" s="8"/>
      <c r="M41" s="8"/>
    </row>
    <row r="42" spans="1:13" ht="15.75" hidden="1" customHeight="1">
      <c r="A42" s="41">
        <v>11</v>
      </c>
      <c r="B42" s="91" t="s">
        <v>101</v>
      </c>
      <c r="C42" s="92" t="s">
        <v>95</v>
      </c>
      <c r="D42" s="91" t="s">
        <v>42</v>
      </c>
      <c r="E42" s="93">
        <v>965.8</v>
      </c>
      <c r="F42" s="94">
        <f>SUM(E42*2/1000)</f>
        <v>1.9316</v>
      </c>
      <c r="G42" s="13">
        <v>849.49</v>
      </c>
      <c r="H42" s="95">
        <f t="shared" ref="H42:H51" si="8">SUM(F42*G42/1000)</f>
        <v>1.640874884</v>
      </c>
      <c r="I42" s="13">
        <f t="shared" ref="I42:I45" si="9">F42/2*G42</f>
        <v>820.43744200000003</v>
      </c>
      <c r="J42" s="24"/>
      <c r="K42" s="8"/>
    </row>
    <row r="43" spans="1:13" ht="15.75" hidden="1" customHeight="1">
      <c r="A43" s="41">
        <v>12</v>
      </c>
      <c r="B43" s="91" t="s">
        <v>35</v>
      </c>
      <c r="C43" s="92" t="s">
        <v>95</v>
      </c>
      <c r="D43" s="91" t="s">
        <v>42</v>
      </c>
      <c r="E43" s="93">
        <v>36</v>
      </c>
      <c r="F43" s="94">
        <f>SUM(E43*2/1000)</f>
        <v>7.1999999999999995E-2</v>
      </c>
      <c r="G43" s="13">
        <v>579.48</v>
      </c>
      <c r="H43" s="95">
        <f t="shared" si="8"/>
        <v>4.1722559999999999E-2</v>
      </c>
      <c r="I43" s="13">
        <f t="shared" si="9"/>
        <v>20.861280000000001</v>
      </c>
      <c r="J43" s="25"/>
    </row>
    <row r="44" spans="1:13" ht="15.75" hidden="1" customHeight="1">
      <c r="A44" s="41">
        <v>13</v>
      </c>
      <c r="B44" s="91" t="s">
        <v>36</v>
      </c>
      <c r="C44" s="92" t="s">
        <v>95</v>
      </c>
      <c r="D44" s="91" t="s">
        <v>42</v>
      </c>
      <c r="E44" s="93">
        <v>1197.7</v>
      </c>
      <c r="F44" s="94">
        <f>SUM(E44*2/1000)</f>
        <v>2.3954</v>
      </c>
      <c r="G44" s="13">
        <v>579.48</v>
      </c>
      <c r="H44" s="95">
        <f t="shared" si="8"/>
        <v>1.3880863919999999</v>
      </c>
      <c r="I44" s="13">
        <f t="shared" si="9"/>
        <v>694.04319599999997</v>
      </c>
      <c r="J44" s="25"/>
    </row>
    <row r="45" spans="1:13" ht="15.75" hidden="1" customHeight="1">
      <c r="A45" s="41">
        <v>14</v>
      </c>
      <c r="B45" s="91" t="s">
        <v>37</v>
      </c>
      <c r="C45" s="92" t="s">
        <v>95</v>
      </c>
      <c r="D45" s="91" t="s">
        <v>42</v>
      </c>
      <c r="E45" s="93">
        <v>2275.92</v>
      </c>
      <c r="F45" s="94">
        <f>SUM(E45*2/1000)</f>
        <v>4.5518400000000003</v>
      </c>
      <c r="G45" s="13">
        <v>606.77</v>
      </c>
      <c r="H45" s="95">
        <f t="shared" si="8"/>
        <v>2.7619199567999999</v>
      </c>
      <c r="I45" s="13">
        <f t="shared" si="9"/>
        <v>1380.9599784</v>
      </c>
      <c r="J45" s="25"/>
    </row>
    <row r="46" spans="1:13" ht="15.75" hidden="1" customHeight="1">
      <c r="A46" s="41">
        <v>15</v>
      </c>
      <c r="B46" s="91" t="s">
        <v>33</v>
      </c>
      <c r="C46" s="92" t="s">
        <v>34</v>
      </c>
      <c r="D46" s="91" t="s">
        <v>42</v>
      </c>
      <c r="E46" s="93">
        <v>81.709999999999994</v>
      </c>
      <c r="F46" s="94">
        <f>SUM(E46*2/100)</f>
        <v>1.6341999999999999</v>
      </c>
      <c r="G46" s="13">
        <v>68.56</v>
      </c>
      <c r="H46" s="95">
        <f t="shared" si="8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16</v>
      </c>
      <c r="B47" s="91" t="s">
        <v>56</v>
      </c>
      <c r="C47" s="92" t="s">
        <v>95</v>
      </c>
      <c r="D47" s="91" t="s">
        <v>130</v>
      </c>
      <c r="E47" s="93">
        <v>1711.8</v>
      </c>
      <c r="F47" s="94">
        <f>SUM(E47*5/1000)</f>
        <v>8.5589999999999993</v>
      </c>
      <c r="G47" s="13">
        <v>1213.55</v>
      </c>
      <c r="H47" s="95">
        <f t="shared" si="8"/>
        <v>10.386774449999999</v>
      </c>
      <c r="I47" s="13">
        <f>F47/5*G47</f>
        <v>2077.3548899999996</v>
      </c>
      <c r="J47" s="25"/>
    </row>
    <row r="48" spans="1:13" ht="13.5" hidden="1" customHeight="1">
      <c r="A48" s="41">
        <v>11</v>
      </c>
      <c r="B48" s="91" t="s">
        <v>102</v>
      </c>
      <c r="C48" s="92" t="s">
        <v>95</v>
      </c>
      <c r="D48" s="91" t="s">
        <v>42</v>
      </c>
      <c r="E48" s="93">
        <v>1711.8</v>
      </c>
      <c r="F48" s="94">
        <f>SUM(E48*2/1000)</f>
        <v>3.4236</v>
      </c>
      <c r="G48" s="13">
        <v>1213.55</v>
      </c>
      <c r="H48" s="95">
        <f t="shared" si="8"/>
        <v>4.1547097800000001</v>
      </c>
      <c r="I48" s="13">
        <f>F48/2*G48</f>
        <v>2077.3548900000001</v>
      </c>
      <c r="J48" s="25"/>
    </row>
    <row r="49" spans="1:14" ht="15" hidden="1" customHeight="1">
      <c r="A49" s="41">
        <v>12</v>
      </c>
      <c r="B49" s="91" t="s">
        <v>103</v>
      </c>
      <c r="C49" s="92" t="s">
        <v>38</v>
      </c>
      <c r="D49" s="91" t="s">
        <v>42</v>
      </c>
      <c r="E49" s="93">
        <v>15</v>
      </c>
      <c r="F49" s="94">
        <f>SUM(E49*2/100)</f>
        <v>0.3</v>
      </c>
      <c r="G49" s="13">
        <v>2730.49</v>
      </c>
      <c r="H49" s="95">
        <f t="shared" si="8"/>
        <v>0.81914699999999996</v>
      </c>
      <c r="I49" s="13">
        <f t="shared" ref="I49:I50" si="10">F49/2*G49</f>
        <v>409.57349999999997</v>
      </c>
      <c r="J49" s="25"/>
    </row>
    <row r="50" spans="1:14" ht="15.75" hidden="1" customHeight="1">
      <c r="A50" s="41">
        <v>13</v>
      </c>
      <c r="B50" s="91" t="s">
        <v>39</v>
      </c>
      <c r="C50" s="92" t="s">
        <v>40</v>
      </c>
      <c r="D50" s="91" t="s">
        <v>42</v>
      </c>
      <c r="E50" s="93">
        <v>1</v>
      </c>
      <c r="F50" s="94">
        <v>0.02</v>
      </c>
      <c r="G50" s="13">
        <v>5322.15</v>
      </c>
      <c r="H50" s="95">
        <f t="shared" si="8"/>
        <v>0.106443</v>
      </c>
      <c r="I50" s="13">
        <f t="shared" si="10"/>
        <v>53.221499999999999</v>
      </c>
      <c r="J50" s="25"/>
      <c r="L50" s="21"/>
      <c r="M50" s="22"/>
      <c r="N50" s="23"/>
    </row>
    <row r="51" spans="1:14" ht="15.75" hidden="1" customHeight="1">
      <c r="A51" s="41">
        <v>14</v>
      </c>
      <c r="B51" s="91" t="s">
        <v>41</v>
      </c>
      <c r="C51" s="92" t="s">
        <v>82</v>
      </c>
      <c r="D51" s="91" t="s">
        <v>71</v>
      </c>
      <c r="E51" s="93">
        <v>90</v>
      </c>
      <c r="F51" s="94">
        <f>SUM(E51)*3</f>
        <v>270</v>
      </c>
      <c r="G51" s="13">
        <v>65.67</v>
      </c>
      <c r="H51" s="95">
        <f t="shared" si="8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206" t="s">
        <v>137</v>
      </c>
      <c r="B52" s="207"/>
      <c r="C52" s="207"/>
      <c r="D52" s="207"/>
      <c r="E52" s="207"/>
      <c r="F52" s="207"/>
      <c r="G52" s="207"/>
      <c r="H52" s="207"/>
      <c r="I52" s="208"/>
      <c r="J52" s="25"/>
      <c r="L52" s="21"/>
      <c r="M52" s="22"/>
      <c r="N52" s="23"/>
    </row>
    <row r="53" spans="1:14" ht="15.75" hidden="1" customHeight="1">
      <c r="A53" s="90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104</v>
      </c>
      <c r="C54" s="92" t="s">
        <v>85</v>
      </c>
      <c r="D54" s="91" t="s">
        <v>105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85</v>
      </c>
      <c r="D56" s="91" t="s">
        <v>54</v>
      </c>
      <c r="E56" s="93">
        <v>855.9</v>
      </c>
      <c r="F56" s="95">
        <v>8.6</v>
      </c>
      <c r="G56" s="13">
        <v>747.3</v>
      </c>
      <c r="H56" s="98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8</v>
      </c>
      <c r="B57" s="91" t="s">
        <v>83</v>
      </c>
      <c r="C57" s="92" t="s">
        <v>25</v>
      </c>
      <c r="D57" s="91" t="s">
        <v>156</v>
      </c>
      <c r="E57" s="93">
        <v>256</v>
      </c>
      <c r="F57" s="95">
        <f>E57*12</f>
        <v>3072</v>
      </c>
      <c r="G57" s="13">
        <v>1.4</v>
      </c>
      <c r="H57" s="98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121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122</v>
      </c>
      <c r="C59" s="92" t="s">
        <v>82</v>
      </c>
      <c r="D59" s="91" t="s">
        <v>65</v>
      </c>
      <c r="E59" s="93">
        <v>2</v>
      </c>
      <c r="F59" s="94">
        <f>SUM(E59)</f>
        <v>2</v>
      </c>
      <c r="G59" s="99">
        <v>237.75</v>
      </c>
      <c r="H59" s="95">
        <f t="shared" ref="H59" si="11">SUM(F59*G59/1000)</f>
        <v>0.47549999999999998</v>
      </c>
      <c r="I59" s="13">
        <v>0</v>
      </c>
      <c r="J59" s="25"/>
      <c r="L59" s="21"/>
      <c r="M59" s="22"/>
      <c r="N59" s="23"/>
    </row>
    <row r="60" spans="1:14" ht="15.75" hidden="1" customHeight="1">
      <c r="A60" s="41"/>
      <c r="B60" s="81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15.75" hidden="1" customHeight="1">
      <c r="A61" s="41">
        <v>10</v>
      </c>
      <c r="B61" s="15" t="s">
        <v>47</v>
      </c>
      <c r="C61" s="17" t="s">
        <v>82</v>
      </c>
      <c r="D61" s="91" t="s">
        <v>156</v>
      </c>
      <c r="E61" s="19">
        <v>10</v>
      </c>
      <c r="F61" s="94">
        <v>10</v>
      </c>
      <c r="G61" s="131">
        <v>331.57</v>
      </c>
      <c r="H61" s="100">
        <f t="shared" ref="H61:H68" si="12">SUM(F61*G61/1000)</f>
        <v>3.3156999999999996</v>
      </c>
      <c r="I61" s="13">
        <f>G61*1</f>
        <v>331.57</v>
      </c>
      <c r="J61" s="25"/>
      <c r="L61" s="21"/>
      <c r="M61" s="22"/>
      <c r="N61" s="23"/>
    </row>
    <row r="62" spans="1:14" ht="15.75" hidden="1" customHeight="1">
      <c r="A62" s="31">
        <v>29</v>
      </c>
      <c r="B62" s="15" t="s">
        <v>48</v>
      </c>
      <c r="C62" s="17" t="s">
        <v>82</v>
      </c>
      <c r="D62" s="91" t="s">
        <v>65</v>
      </c>
      <c r="E62" s="19">
        <v>5</v>
      </c>
      <c r="F62" s="94">
        <v>5</v>
      </c>
      <c r="G62" s="13">
        <v>75.25</v>
      </c>
      <c r="H62" s="100">
        <f t="shared" si="12"/>
        <v>0.37624999999999997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25</v>
      </c>
      <c r="B63" s="15" t="s">
        <v>49</v>
      </c>
      <c r="C63" s="17" t="s">
        <v>106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0">
        <f t="shared" si="12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26</v>
      </c>
      <c r="B64" s="15" t="s">
        <v>50</v>
      </c>
      <c r="C64" s="17" t="s">
        <v>107</v>
      </c>
      <c r="D64" s="15"/>
      <c r="E64" s="93">
        <v>13018</v>
      </c>
      <c r="F64" s="13">
        <f>SUM(E64/1000)</f>
        <v>13.018000000000001</v>
      </c>
      <c r="G64" s="13">
        <v>165.21</v>
      </c>
      <c r="H64" s="100">
        <f t="shared" si="12"/>
        <v>2.1507037800000002</v>
      </c>
      <c r="I64" s="13">
        <f t="shared" ref="I64:I68" si="13">F64*G64</f>
        <v>2150.7037800000003</v>
      </c>
      <c r="J64" s="25"/>
      <c r="L64" s="21"/>
      <c r="M64" s="22"/>
      <c r="N64" s="23"/>
    </row>
    <row r="65" spans="1:14" ht="15.7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0">
        <f t="shared" si="12"/>
        <v>26.534517700000002</v>
      </c>
      <c r="I65" s="13">
        <f t="shared" si="13"/>
        <v>26534.5177</v>
      </c>
      <c r="J65" s="25"/>
      <c r="L65" s="21"/>
      <c r="M65" s="22"/>
      <c r="N65" s="23"/>
    </row>
    <row r="66" spans="1:14" ht="15.75" hidden="1" customHeight="1">
      <c r="A66" s="31">
        <v>28</v>
      </c>
      <c r="B66" s="101" t="s">
        <v>108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0">
        <f t="shared" si="12"/>
        <v>0.54383999999999999</v>
      </c>
      <c r="I66" s="13">
        <f t="shared" si="13"/>
        <v>543.84</v>
      </c>
      <c r="J66" s="25"/>
      <c r="L66" s="21"/>
      <c r="M66" s="22"/>
      <c r="N66" s="23"/>
    </row>
    <row r="67" spans="1:14" ht="15.75" hidden="1" customHeight="1">
      <c r="A67" s="31">
        <v>29</v>
      </c>
      <c r="B67" s="101" t="s">
        <v>109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0">
        <f t="shared" si="12"/>
        <v>0.50736000000000003</v>
      </c>
      <c r="I67" s="13">
        <f t="shared" si="13"/>
        <v>507.36</v>
      </c>
      <c r="J67" s="25"/>
      <c r="L67" s="21"/>
      <c r="M67" s="22"/>
      <c r="N67" s="23"/>
    </row>
    <row r="68" spans="1:14" ht="15.75" hidden="1" customHeight="1">
      <c r="A68" s="31">
        <v>22</v>
      </c>
      <c r="B68" s="15" t="s">
        <v>57</v>
      </c>
      <c r="C68" s="17" t="s">
        <v>58</v>
      </c>
      <c r="D68" s="15" t="s">
        <v>54</v>
      </c>
      <c r="E68" s="19">
        <v>1</v>
      </c>
      <c r="F68" s="94">
        <f>SUM(E68)</f>
        <v>1</v>
      </c>
      <c r="G68" s="13">
        <v>49.88</v>
      </c>
      <c r="H68" s="100">
        <f t="shared" si="12"/>
        <v>4.9880000000000001E-2</v>
      </c>
      <c r="I68" s="13">
        <f t="shared" si="13"/>
        <v>49.88</v>
      </c>
      <c r="J68" s="25"/>
      <c r="L68" s="21"/>
      <c r="M68" s="22"/>
      <c r="N68" s="23"/>
    </row>
    <row r="69" spans="1:14" ht="15.75" hidden="1" customHeight="1">
      <c r="A69" s="90"/>
      <c r="B69" s="81" t="s">
        <v>110</v>
      </c>
      <c r="C69" s="81"/>
      <c r="D69" s="81"/>
      <c r="E69" s="81"/>
      <c r="F69" s="81"/>
      <c r="G69" s="81"/>
      <c r="H69" s="81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91" t="s">
        <v>111</v>
      </c>
      <c r="C70" s="17"/>
      <c r="D70" s="15"/>
      <c r="E70" s="85"/>
      <c r="F70" s="13">
        <v>1</v>
      </c>
      <c r="G70" s="13">
        <v>10041.700000000001</v>
      </c>
      <c r="H70" s="100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21.75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5" hidden="1" customHeight="1">
      <c r="A72" s="31">
        <v>17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0">
        <f t="shared" ref="H72:H74" si="14">SUM(F72*G72/1000)</f>
        <v>0.25080999999999998</v>
      </c>
      <c r="I72" s="13">
        <f>G72*0.1</f>
        <v>50.162000000000006</v>
      </c>
      <c r="J72" s="25"/>
      <c r="L72" s="21"/>
      <c r="M72" s="22"/>
      <c r="N72" s="23"/>
    </row>
    <row r="73" spans="1:14" ht="24.75" hidden="1" customHeight="1">
      <c r="A73" s="31"/>
      <c r="B73" s="15" t="s">
        <v>123</v>
      </c>
      <c r="C73" s="17" t="s">
        <v>82</v>
      </c>
      <c r="D73" s="15"/>
      <c r="E73" s="19">
        <v>1</v>
      </c>
      <c r="F73" s="84">
        <f>E73</f>
        <v>1</v>
      </c>
      <c r="G73" s="13">
        <v>852.99</v>
      </c>
      <c r="H73" s="100">
        <f t="shared" si="14"/>
        <v>0.85299000000000003</v>
      </c>
      <c r="I73" s="13">
        <v>0</v>
      </c>
      <c r="J73" s="25"/>
      <c r="L73" s="21"/>
      <c r="M73" s="22"/>
      <c r="N73" s="23"/>
    </row>
    <row r="74" spans="1:14" ht="28.5" hidden="1" customHeight="1">
      <c r="A74" s="31"/>
      <c r="B74" s="15" t="s">
        <v>124</v>
      </c>
      <c r="C74" s="17" t="s">
        <v>82</v>
      </c>
      <c r="D74" s="15"/>
      <c r="E74" s="19">
        <v>1</v>
      </c>
      <c r="F74" s="94">
        <f>SUM(E74)</f>
        <v>1</v>
      </c>
      <c r="G74" s="13">
        <v>358.51</v>
      </c>
      <c r="H74" s="100">
        <f t="shared" si="14"/>
        <v>0.35851</v>
      </c>
      <c r="I74" s="13">
        <v>0</v>
      </c>
      <c r="J74" s="25"/>
      <c r="L74" s="21"/>
      <c r="M74" s="22"/>
      <c r="N74" s="23"/>
    </row>
    <row r="75" spans="1:14" ht="16.5" customHeight="1">
      <c r="A75" s="31">
        <v>9</v>
      </c>
      <c r="B75" s="119" t="s">
        <v>171</v>
      </c>
      <c r="C75" s="38" t="s">
        <v>82</v>
      </c>
      <c r="D75" s="119" t="s">
        <v>155</v>
      </c>
      <c r="E75" s="18">
        <v>2</v>
      </c>
      <c r="F75" s="68">
        <f>E75*12</f>
        <v>24</v>
      </c>
      <c r="G75" s="37">
        <v>420</v>
      </c>
      <c r="H75" s="100"/>
      <c r="I75" s="13">
        <f>G75*2</f>
        <v>840</v>
      </c>
      <c r="J75" s="25"/>
      <c r="L75" s="21"/>
      <c r="M75" s="22"/>
      <c r="N75" s="23"/>
    </row>
    <row r="76" spans="1:14" ht="25.5" hidden="1" customHeight="1">
      <c r="A76" s="31"/>
      <c r="B76" s="50" t="s">
        <v>75</v>
      </c>
      <c r="C76" s="38"/>
      <c r="D76" s="31"/>
      <c r="E76" s="19"/>
      <c r="F76" s="19"/>
      <c r="G76" s="37" t="s">
        <v>112</v>
      </c>
      <c r="H76" s="37"/>
      <c r="I76" s="19"/>
      <c r="J76" s="25"/>
      <c r="L76" s="21"/>
      <c r="M76" s="22"/>
      <c r="N76" s="23"/>
    </row>
    <row r="77" spans="1:14" ht="25.5" hidden="1" customHeight="1">
      <c r="A77" s="31">
        <v>12</v>
      </c>
      <c r="B77" s="52" t="s">
        <v>113</v>
      </c>
      <c r="C77" s="17" t="s">
        <v>76</v>
      </c>
      <c r="D77" s="15"/>
      <c r="E77" s="19"/>
      <c r="F77" s="13">
        <v>0.3</v>
      </c>
      <c r="G77" s="13">
        <v>2759.44</v>
      </c>
      <c r="H77" s="100">
        <f t="shared" ref="H77" si="15">SUM(F77*G77/1000)</f>
        <v>0.82783200000000001</v>
      </c>
      <c r="I77" s="13">
        <v>0</v>
      </c>
      <c r="J77" s="25"/>
      <c r="L77" s="21"/>
      <c r="M77" s="22"/>
      <c r="N77" s="23"/>
    </row>
    <row r="78" spans="1:14" ht="15.75" customHeight="1">
      <c r="A78" s="31"/>
      <c r="B78" s="135" t="s">
        <v>162</v>
      </c>
      <c r="C78" s="38"/>
      <c r="D78" s="119"/>
      <c r="E78" s="18"/>
      <c r="F78" s="68"/>
      <c r="G78" s="37"/>
      <c r="H78" s="133"/>
      <c r="I78" s="134"/>
      <c r="J78" s="25"/>
      <c r="L78" s="21"/>
      <c r="M78" s="22"/>
      <c r="N78" s="23"/>
    </row>
    <row r="79" spans="1:14" ht="31.5" customHeight="1">
      <c r="A79" s="31">
        <v>10</v>
      </c>
      <c r="B79" s="119" t="s">
        <v>163</v>
      </c>
      <c r="C79" s="41" t="s">
        <v>164</v>
      </c>
      <c r="D79" s="119"/>
      <c r="E79" s="18">
        <v>2581.1999999999998</v>
      </c>
      <c r="F79" s="37">
        <f>E79*12</f>
        <v>30974.399999999998</v>
      </c>
      <c r="G79" s="37">
        <v>2.6</v>
      </c>
      <c r="H79" s="133"/>
      <c r="I79" s="134">
        <f>G79*F79/12</f>
        <v>6711.12</v>
      </c>
      <c r="J79" s="25"/>
      <c r="L79" s="21"/>
      <c r="M79" s="22"/>
      <c r="N79" s="23"/>
    </row>
    <row r="80" spans="1:14" ht="15.75" customHeight="1">
      <c r="A80" s="210" t="s">
        <v>138</v>
      </c>
      <c r="B80" s="211"/>
      <c r="C80" s="211"/>
      <c r="D80" s="211"/>
      <c r="E80" s="211"/>
      <c r="F80" s="211"/>
      <c r="G80" s="211"/>
      <c r="H80" s="211"/>
      <c r="I80" s="212"/>
      <c r="J80" s="25"/>
      <c r="L80" s="21"/>
      <c r="M80" s="22"/>
      <c r="N80" s="23"/>
    </row>
    <row r="81" spans="1:22" ht="15.75" customHeight="1">
      <c r="A81" s="31">
        <v>11</v>
      </c>
      <c r="B81" s="119" t="s">
        <v>114</v>
      </c>
      <c r="C81" s="38" t="s">
        <v>55</v>
      </c>
      <c r="D81" s="160"/>
      <c r="E81" s="37">
        <v>2581.1999999999998</v>
      </c>
      <c r="F81" s="37">
        <f>SUM(E81*12)</f>
        <v>30974.399999999998</v>
      </c>
      <c r="G81" s="37">
        <v>3.5</v>
      </c>
      <c r="H81" s="155">
        <f>SUM(F81*G81/1000)</f>
        <v>108.4104</v>
      </c>
      <c r="I81" s="13">
        <f>F81/12*G81</f>
        <v>9034.1999999999989</v>
      </c>
      <c r="J81" s="25"/>
      <c r="L81" s="21"/>
    </row>
    <row r="82" spans="1:22" ht="31.5" customHeight="1">
      <c r="A82" s="31">
        <v>12</v>
      </c>
      <c r="B82" s="157" t="s">
        <v>172</v>
      </c>
      <c r="C82" s="150" t="s">
        <v>55</v>
      </c>
      <c r="D82" s="158"/>
      <c r="E82" s="159">
        <f>E81</f>
        <v>2581.1999999999998</v>
      </c>
      <c r="F82" s="152">
        <f>E82*12</f>
        <v>30974.399999999998</v>
      </c>
      <c r="G82" s="152">
        <v>3.2</v>
      </c>
      <c r="H82" s="100">
        <f>F82*G82/1000</f>
        <v>99.118080000000006</v>
      </c>
      <c r="I82" s="13">
        <f>F82/12*G82</f>
        <v>8259.84</v>
      </c>
    </row>
    <row r="83" spans="1:22" ht="15.75" customHeight="1">
      <c r="A83" s="90"/>
      <c r="B83" s="39" t="s">
        <v>78</v>
      </c>
      <c r="C83" s="41"/>
      <c r="D83" s="16"/>
      <c r="E83" s="16"/>
      <c r="F83" s="16"/>
      <c r="G83" s="19"/>
      <c r="H83" s="19"/>
      <c r="I83" s="33">
        <f>I82+I81+I79+I75+I57+I31+I30+I21+I20+I18+I17+I16</f>
        <v>34989.340254000002</v>
      </c>
    </row>
    <row r="84" spans="1:22" ht="15.75" customHeight="1">
      <c r="A84" s="213" t="s">
        <v>60</v>
      </c>
      <c r="B84" s="214"/>
      <c r="C84" s="214"/>
      <c r="D84" s="214"/>
      <c r="E84" s="214"/>
      <c r="F84" s="214"/>
      <c r="G84" s="214"/>
      <c r="H84" s="214"/>
      <c r="I84" s="215"/>
    </row>
    <row r="85" spans="1:22" ht="15.75" customHeight="1">
      <c r="A85" s="31">
        <v>13</v>
      </c>
      <c r="B85" s="181" t="s">
        <v>259</v>
      </c>
      <c r="C85" s="182" t="s">
        <v>82</v>
      </c>
      <c r="D85" s="183" t="s">
        <v>260</v>
      </c>
      <c r="E85" s="184"/>
      <c r="F85" s="184">
        <v>1</v>
      </c>
      <c r="G85" s="184">
        <v>641.73</v>
      </c>
      <c r="H85" s="185"/>
      <c r="I85" s="186">
        <f>G85*1</f>
        <v>641.73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7.25" customHeight="1">
      <c r="A86" s="31">
        <v>14</v>
      </c>
      <c r="B86" s="187" t="s">
        <v>187</v>
      </c>
      <c r="C86" s="188" t="s">
        <v>150</v>
      </c>
      <c r="D86" s="183" t="s">
        <v>217</v>
      </c>
      <c r="E86" s="184"/>
      <c r="F86" s="184">
        <v>24</v>
      </c>
      <c r="G86" s="184">
        <v>295.36</v>
      </c>
      <c r="H86" s="185"/>
      <c r="I86" s="186">
        <v>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7.25" customHeight="1">
      <c r="A87" s="31">
        <v>15</v>
      </c>
      <c r="B87" s="117" t="s">
        <v>222</v>
      </c>
      <c r="C87" s="118" t="s">
        <v>29</v>
      </c>
      <c r="D87" s="66"/>
      <c r="E87" s="37"/>
      <c r="F87" s="37">
        <f>1.7025+1.7025+1.7025</f>
        <v>5.1074999999999999</v>
      </c>
      <c r="G87" s="37">
        <v>241.69</v>
      </c>
      <c r="H87" s="185"/>
      <c r="I87" s="186">
        <f>G87*1.7025*2</f>
        <v>822.95444999999995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33">
        <f>SUM(I85:I87)</f>
        <v>1464.68445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77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131</v>
      </c>
      <c r="C90" s="36"/>
      <c r="D90" s="36"/>
      <c r="E90" s="36"/>
      <c r="F90" s="36"/>
      <c r="G90" s="36"/>
      <c r="H90" s="36"/>
      <c r="I90" s="45">
        <f>I83+I88</f>
        <v>36454.024704000003</v>
      </c>
    </row>
    <row r="91" spans="1:22" ht="15.75" customHeight="1">
      <c r="A91" s="209" t="s">
        <v>261</v>
      </c>
      <c r="B91" s="209"/>
      <c r="C91" s="209"/>
      <c r="D91" s="209"/>
      <c r="E91" s="209"/>
      <c r="F91" s="209"/>
      <c r="G91" s="209"/>
      <c r="H91" s="209"/>
      <c r="I91" s="209"/>
    </row>
    <row r="92" spans="1:22" ht="15.75" customHeight="1">
      <c r="A92" s="77"/>
      <c r="B92" s="190" t="s">
        <v>262</v>
      </c>
      <c r="C92" s="190"/>
      <c r="D92" s="190"/>
      <c r="E92" s="190"/>
      <c r="F92" s="190"/>
      <c r="G92" s="190"/>
      <c r="H92" s="89"/>
      <c r="I92" s="3"/>
    </row>
    <row r="93" spans="1:22" ht="15.75" customHeight="1">
      <c r="A93" s="80"/>
      <c r="B93" s="191" t="s">
        <v>6</v>
      </c>
      <c r="C93" s="191"/>
      <c r="D93" s="191"/>
      <c r="E93" s="191"/>
      <c r="F93" s="191"/>
      <c r="G93" s="191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92" t="s">
        <v>7</v>
      </c>
      <c r="B95" s="192"/>
      <c r="C95" s="192"/>
      <c r="D95" s="192"/>
      <c r="E95" s="192"/>
      <c r="F95" s="192"/>
      <c r="G95" s="192"/>
      <c r="H95" s="192"/>
      <c r="I95" s="192"/>
    </row>
    <row r="96" spans="1:22" ht="15.75" customHeight="1">
      <c r="A96" s="192" t="s">
        <v>8</v>
      </c>
      <c r="B96" s="192"/>
      <c r="C96" s="192"/>
      <c r="D96" s="192"/>
      <c r="E96" s="192"/>
      <c r="F96" s="192"/>
      <c r="G96" s="192"/>
      <c r="H96" s="192"/>
      <c r="I96" s="192"/>
    </row>
    <row r="97" spans="1:9" ht="15.75" customHeight="1">
      <c r="A97" s="195" t="s">
        <v>61</v>
      </c>
      <c r="B97" s="195"/>
      <c r="C97" s="195"/>
      <c r="D97" s="195"/>
      <c r="E97" s="195"/>
      <c r="F97" s="195"/>
      <c r="G97" s="195"/>
      <c r="H97" s="195"/>
      <c r="I97" s="195"/>
    </row>
    <row r="98" spans="1:9" ht="15.75" customHeight="1">
      <c r="A98" s="11"/>
    </row>
    <row r="99" spans="1:9" ht="15.75" customHeight="1">
      <c r="A99" s="196" t="s">
        <v>9</v>
      </c>
      <c r="B99" s="196"/>
      <c r="C99" s="196"/>
      <c r="D99" s="196"/>
      <c r="E99" s="196"/>
      <c r="F99" s="196"/>
      <c r="G99" s="196"/>
      <c r="H99" s="196"/>
      <c r="I99" s="196"/>
    </row>
    <row r="100" spans="1:9" ht="15.75" customHeight="1">
      <c r="A100" s="4"/>
    </row>
    <row r="101" spans="1:9" ht="15.75" customHeight="1">
      <c r="B101" s="83" t="s">
        <v>10</v>
      </c>
      <c r="C101" s="197" t="s">
        <v>182</v>
      </c>
      <c r="D101" s="197"/>
      <c r="E101" s="197"/>
      <c r="F101" s="87"/>
      <c r="I101" s="79"/>
    </row>
    <row r="102" spans="1:9" ht="15.75" customHeight="1">
      <c r="A102" s="80"/>
      <c r="C102" s="191" t="s">
        <v>11</v>
      </c>
      <c r="D102" s="191"/>
      <c r="E102" s="191"/>
      <c r="F102" s="26"/>
      <c r="I102" s="78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83" t="s">
        <v>13</v>
      </c>
      <c r="C104" s="198"/>
      <c r="D104" s="198"/>
      <c r="E104" s="198"/>
      <c r="F104" s="88"/>
      <c r="I104" s="79"/>
    </row>
    <row r="105" spans="1:9" ht="15.75" customHeight="1">
      <c r="A105" s="80"/>
      <c r="C105" s="194" t="s">
        <v>11</v>
      </c>
      <c r="D105" s="194"/>
      <c r="E105" s="194"/>
      <c r="F105" s="80"/>
      <c r="I105" s="78" t="s">
        <v>12</v>
      </c>
    </row>
    <row r="106" spans="1:9" ht="15.75" customHeight="1">
      <c r="A106" s="4" t="s">
        <v>14</v>
      </c>
    </row>
    <row r="107" spans="1:9">
      <c r="A107" s="193" t="s">
        <v>15</v>
      </c>
      <c r="B107" s="193"/>
      <c r="C107" s="193"/>
      <c r="D107" s="193"/>
      <c r="E107" s="193"/>
      <c r="F107" s="193"/>
      <c r="G107" s="193"/>
      <c r="H107" s="193"/>
      <c r="I107" s="193"/>
    </row>
    <row r="108" spans="1:9" ht="45" customHeight="1">
      <c r="A108" s="189" t="s">
        <v>16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30" customHeight="1">
      <c r="A109" s="189" t="s">
        <v>17</v>
      </c>
      <c r="B109" s="189"/>
      <c r="C109" s="189"/>
      <c r="D109" s="189"/>
      <c r="E109" s="189"/>
      <c r="F109" s="189"/>
      <c r="G109" s="189"/>
      <c r="H109" s="189"/>
      <c r="I109" s="189"/>
    </row>
    <row r="110" spans="1:9" ht="30" customHeight="1">
      <c r="A110" s="189" t="s">
        <v>21</v>
      </c>
      <c r="B110" s="189"/>
      <c r="C110" s="189"/>
      <c r="D110" s="189"/>
      <c r="E110" s="189"/>
      <c r="F110" s="189"/>
      <c r="G110" s="189"/>
      <c r="H110" s="189"/>
      <c r="I110" s="189"/>
    </row>
    <row r="111" spans="1:9" ht="15" customHeight="1">
      <c r="A111" s="189" t="s">
        <v>20</v>
      </c>
      <c r="B111" s="189"/>
      <c r="C111" s="189"/>
      <c r="D111" s="189"/>
      <c r="E111" s="189"/>
      <c r="F111" s="189"/>
      <c r="G111" s="189"/>
      <c r="H111" s="189"/>
      <c r="I111" s="189"/>
    </row>
  </sheetData>
  <autoFilter ref="I12:I83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8:I28"/>
    <mergeCell ref="A41:I41"/>
    <mergeCell ref="A52:I52"/>
    <mergeCell ref="A80:I80"/>
    <mergeCell ref="A84:I84"/>
    <mergeCell ref="A91:I91"/>
    <mergeCell ref="B92:G92"/>
    <mergeCell ref="B93:G93"/>
    <mergeCell ref="A95:I95"/>
    <mergeCell ref="A96:I9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opLeftCell="A75" workbookViewId="0">
      <selection activeCell="I106" sqref="I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146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263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105"/>
      <c r="C6" s="105"/>
      <c r="D6" s="105"/>
      <c r="E6" s="105"/>
      <c r="F6" s="105"/>
      <c r="G6" s="105"/>
      <c r="H6" s="105"/>
      <c r="I6" s="32">
        <v>44530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269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156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F18/18*1*G18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hidden="1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hidden="1" customHeight="1">
      <c r="A28" s="31">
        <v>7</v>
      </c>
      <c r="B28" s="96" t="s">
        <v>23</v>
      </c>
      <c r="C28" s="92" t="s">
        <v>24</v>
      </c>
      <c r="D28" s="34"/>
      <c r="E28" s="93">
        <v>2581.1999999999998</v>
      </c>
      <c r="F28" s="94">
        <f>SUM(E28*12)</f>
        <v>30974.399999999998</v>
      </c>
      <c r="G28" s="94">
        <v>4.8099999999999996</v>
      </c>
      <c r="H28" s="95">
        <f t="shared" ref="H28" si="2">SUM(F28*G28/1000)</f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205" t="s">
        <v>80</v>
      </c>
      <c r="B29" s="205"/>
      <c r="C29" s="205"/>
      <c r="D29" s="205"/>
      <c r="E29" s="205"/>
      <c r="F29" s="205"/>
      <c r="G29" s="205"/>
      <c r="H29" s="205"/>
      <c r="I29" s="205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8</v>
      </c>
      <c r="B31" s="91" t="s">
        <v>94</v>
      </c>
      <c r="C31" s="92" t="s">
        <v>95</v>
      </c>
      <c r="D31" s="91" t="s">
        <v>96</v>
      </c>
      <c r="E31" s="94">
        <v>1167.4000000000001</v>
      </c>
      <c r="F31" s="94">
        <f>SUM(E31*52/1000)</f>
        <v>60.704800000000006</v>
      </c>
      <c r="G31" s="94">
        <v>155.88999999999999</v>
      </c>
      <c r="H31" s="95">
        <f t="shared" ref="H31:H33" si="3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hidden="1" customHeight="1">
      <c r="A32" s="41">
        <v>9</v>
      </c>
      <c r="B32" s="91" t="s">
        <v>129</v>
      </c>
      <c r="C32" s="92" t="s">
        <v>95</v>
      </c>
      <c r="D32" s="91" t="s">
        <v>97</v>
      </c>
      <c r="E32" s="94">
        <v>540.04999999999995</v>
      </c>
      <c r="F32" s="94">
        <f>SUM(E32*78/1000)</f>
        <v>42.123899999999992</v>
      </c>
      <c r="G32" s="94">
        <v>258.63</v>
      </c>
      <c r="H32" s="95">
        <f t="shared" si="3"/>
        <v>10.894504256999998</v>
      </c>
      <c r="I32" s="13">
        <f t="shared" ref="I32:I34" si="4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1" t="s">
        <v>27</v>
      </c>
      <c r="C33" s="92" t="s">
        <v>95</v>
      </c>
      <c r="D33" s="91" t="s">
        <v>54</v>
      </c>
      <c r="E33" s="94">
        <v>1167.4000000000001</v>
      </c>
      <c r="F33" s="94">
        <f>SUM(E33/1000)</f>
        <v>1.1674</v>
      </c>
      <c r="G33" s="94">
        <v>3020.33</v>
      </c>
      <c r="H33" s="95">
        <f t="shared" si="3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hidden="1" customHeight="1">
      <c r="A34" s="41">
        <v>10</v>
      </c>
      <c r="B34" s="91" t="s">
        <v>98</v>
      </c>
      <c r="C34" s="92" t="s">
        <v>30</v>
      </c>
      <c r="D34" s="91" t="s">
        <v>63</v>
      </c>
      <c r="E34" s="97">
        <v>0.33333333333333331</v>
      </c>
      <c r="F34" s="94">
        <f>155/3</f>
        <v>51.666666666666664</v>
      </c>
      <c r="G34" s="94">
        <v>56.69</v>
      </c>
      <c r="H34" s="95">
        <f>SUM(G34*155/3/1000)</f>
        <v>2.9289833333333331</v>
      </c>
      <c r="I34" s="13">
        <f t="shared" si="4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1" t="s">
        <v>64</v>
      </c>
      <c r="C35" s="92" t="s">
        <v>32</v>
      </c>
      <c r="D35" s="91" t="s">
        <v>65</v>
      </c>
      <c r="E35" s="93"/>
      <c r="F35" s="94">
        <v>3</v>
      </c>
      <c r="G35" s="94">
        <v>191.32</v>
      </c>
      <c r="H35" s="95">
        <f t="shared" ref="H35" si="5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6</v>
      </c>
      <c r="B37" s="146" t="s">
        <v>26</v>
      </c>
      <c r="C37" s="40" t="s">
        <v>31</v>
      </c>
      <c r="D37" s="34" t="s">
        <v>264</v>
      </c>
      <c r="E37" s="120"/>
      <c r="F37" s="121">
        <v>6</v>
      </c>
      <c r="G37" s="121">
        <v>1930</v>
      </c>
      <c r="H37" s="95">
        <f t="shared" ref="H37:H42" si="6">SUM(F37*G37/1000)</f>
        <v>11.58</v>
      </c>
      <c r="I37" s="13">
        <f>G37*0.5</f>
        <v>965</v>
      </c>
      <c r="J37" s="24"/>
      <c r="K37" s="8"/>
      <c r="L37" s="8"/>
      <c r="M37" s="8"/>
    </row>
    <row r="38" spans="1:13" ht="15.75" customHeight="1">
      <c r="A38" s="35">
        <v>7</v>
      </c>
      <c r="B38" s="146" t="s">
        <v>66</v>
      </c>
      <c r="C38" s="147" t="s">
        <v>29</v>
      </c>
      <c r="D38" s="146" t="s">
        <v>158</v>
      </c>
      <c r="E38" s="148">
        <v>26.33</v>
      </c>
      <c r="F38" s="148">
        <f>SUM(E38*30/1000)</f>
        <v>0.78989999999999994</v>
      </c>
      <c r="G38" s="148">
        <v>3134.93</v>
      </c>
      <c r="H38" s="95">
        <f t="shared" si="6"/>
        <v>2.4762812069999995</v>
      </c>
      <c r="I38" s="13">
        <f t="shared" ref="I38:I40" si="7">F38/6*G38</f>
        <v>412.71353449999992</v>
      </c>
      <c r="J38" s="24"/>
      <c r="K38" s="8"/>
      <c r="L38" s="8"/>
      <c r="M38" s="8"/>
    </row>
    <row r="39" spans="1:13" ht="15.75" customHeight="1">
      <c r="A39" s="35">
        <v>8</v>
      </c>
      <c r="B39" s="34" t="s">
        <v>165</v>
      </c>
      <c r="C39" s="40" t="s">
        <v>29</v>
      </c>
      <c r="D39" s="34" t="s">
        <v>159</v>
      </c>
      <c r="E39" s="121">
        <v>26.33</v>
      </c>
      <c r="F39" s="148">
        <f>SUM(E39*155/1000)</f>
        <v>4.0811500000000001</v>
      </c>
      <c r="G39" s="121">
        <v>522.92999999999995</v>
      </c>
      <c r="H39" s="95">
        <f t="shared" si="6"/>
        <v>2.1341557694999995</v>
      </c>
      <c r="I39" s="13">
        <f t="shared" si="7"/>
        <v>355.69262824999993</v>
      </c>
      <c r="J39" s="24"/>
      <c r="K39" s="8"/>
      <c r="L39" s="8"/>
      <c r="M39" s="8"/>
    </row>
    <row r="40" spans="1:13" ht="15.75" hidden="1" customHeight="1">
      <c r="A40" s="35">
        <v>10</v>
      </c>
      <c r="B40" s="34" t="s">
        <v>166</v>
      </c>
      <c r="C40" s="40" t="s">
        <v>167</v>
      </c>
      <c r="D40" s="34"/>
      <c r="E40" s="121"/>
      <c r="F40" s="148">
        <v>39</v>
      </c>
      <c r="G40" s="121">
        <v>330</v>
      </c>
      <c r="H40" s="95">
        <f t="shared" si="6"/>
        <v>12.87</v>
      </c>
      <c r="I40" s="13">
        <f t="shared" si="7"/>
        <v>2145</v>
      </c>
      <c r="J40" s="24"/>
      <c r="K40" s="8"/>
      <c r="L40" s="8"/>
      <c r="M40" s="8"/>
    </row>
    <row r="41" spans="1:13" ht="33.75" customHeight="1">
      <c r="A41" s="35">
        <v>9</v>
      </c>
      <c r="B41" s="34" t="s">
        <v>168</v>
      </c>
      <c r="C41" s="40" t="s">
        <v>95</v>
      </c>
      <c r="D41" s="34" t="s">
        <v>174</v>
      </c>
      <c r="E41" s="121">
        <v>26.33</v>
      </c>
      <c r="F41" s="148">
        <f>SUM(E41*35/1000)</f>
        <v>0.92154999999999998</v>
      </c>
      <c r="G41" s="121">
        <v>8652.07</v>
      </c>
      <c r="H41" s="95">
        <f t="shared" si="6"/>
        <v>7.9733151084999996</v>
      </c>
      <c r="I41" s="13">
        <f>G41*F41/6</f>
        <v>1328.8858514166666</v>
      </c>
      <c r="J41" s="24"/>
      <c r="K41" s="8"/>
      <c r="L41" s="8"/>
      <c r="M41" s="8"/>
    </row>
    <row r="42" spans="1:13" ht="15.75" hidden="1" customHeight="1">
      <c r="A42" s="35">
        <v>10</v>
      </c>
      <c r="B42" s="34" t="s">
        <v>100</v>
      </c>
      <c r="C42" s="40" t="s">
        <v>95</v>
      </c>
      <c r="D42" s="34" t="s">
        <v>156</v>
      </c>
      <c r="E42" s="121">
        <v>90.4</v>
      </c>
      <c r="F42" s="148">
        <f>SUM(E42*15/1000)</f>
        <v>1.3560000000000001</v>
      </c>
      <c r="G42" s="121">
        <v>639.1</v>
      </c>
      <c r="H42" s="95">
        <f t="shared" si="6"/>
        <v>0.86661960000000016</v>
      </c>
      <c r="I42" s="13">
        <f>G42*F42/15*1</f>
        <v>57.774640000000005</v>
      </c>
      <c r="J42" s="24"/>
      <c r="K42" s="8"/>
      <c r="L42" s="8"/>
      <c r="M42" s="8"/>
    </row>
    <row r="43" spans="1:13" ht="15.75" hidden="1" customHeight="1">
      <c r="A43" s="144">
        <v>11</v>
      </c>
      <c r="B43" s="146" t="s">
        <v>70</v>
      </c>
      <c r="C43" s="147" t="s">
        <v>32</v>
      </c>
      <c r="D43" s="146"/>
      <c r="E43" s="129"/>
      <c r="F43" s="148">
        <v>0.6</v>
      </c>
      <c r="G43" s="148">
        <v>900</v>
      </c>
      <c r="H43" s="84"/>
      <c r="I43" s="169">
        <f>G43*F43/15*1</f>
        <v>36</v>
      </c>
      <c r="J43" s="24"/>
      <c r="K43" s="8"/>
      <c r="L43" s="8"/>
      <c r="M43" s="8"/>
    </row>
    <row r="44" spans="1:13" ht="33" customHeight="1">
      <c r="A44" s="144">
        <v>10</v>
      </c>
      <c r="B44" s="34" t="s">
        <v>170</v>
      </c>
      <c r="C44" s="40" t="s">
        <v>29</v>
      </c>
      <c r="D44" s="34" t="s">
        <v>183</v>
      </c>
      <c r="E44" s="120">
        <v>1.2</v>
      </c>
      <c r="F44" s="121">
        <f>E44*12/1000</f>
        <v>1.4399999999999998E-2</v>
      </c>
      <c r="G44" s="121">
        <v>20547.34</v>
      </c>
      <c r="H44" s="84"/>
      <c r="I44" s="169">
        <f>G44*F44/6</f>
        <v>49.313615999999996</v>
      </c>
      <c r="J44" s="24"/>
      <c r="K44" s="8"/>
      <c r="L44" s="8"/>
      <c r="M44" s="8"/>
    </row>
    <row r="45" spans="1:13" ht="15.75" customHeight="1">
      <c r="A45" s="144"/>
      <c r="B45" s="21"/>
      <c r="C45" s="168"/>
      <c r="D45" s="21"/>
      <c r="E45" s="85"/>
      <c r="F45" s="84"/>
      <c r="G45" s="84"/>
      <c r="H45" s="84"/>
      <c r="I45" s="169"/>
      <c r="J45" s="24"/>
      <c r="K45" s="8"/>
      <c r="L45" s="8"/>
      <c r="M45" s="8"/>
    </row>
    <row r="46" spans="1:13" ht="15.75" hidden="1" customHeight="1">
      <c r="A46" s="206" t="s">
        <v>126</v>
      </c>
      <c r="B46" s="207"/>
      <c r="C46" s="207"/>
      <c r="D46" s="207"/>
      <c r="E46" s="207"/>
      <c r="F46" s="207"/>
      <c r="G46" s="207"/>
      <c r="H46" s="207"/>
      <c r="I46" s="208"/>
      <c r="J46" s="24"/>
      <c r="K46" s="8"/>
      <c r="L46" s="8"/>
      <c r="M46" s="8"/>
    </row>
    <row r="47" spans="1:13" ht="15.75" hidden="1" customHeight="1">
      <c r="A47" s="41">
        <v>11</v>
      </c>
      <c r="B47" s="91" t="s">
        <v>101</v>
      </c>
      <c r="C47" s="92" t="s">
        <v>95</v>
      </c>
      <c r="D47" s="91" t="s">
        <v>42</v>
      </c>
      <c r="E47" s="93">
        <v>965.8</v>
      </c>
      <c r="F47" s="94">
        <f>SUM(E47*2/1000)</f>
        <v>1.9316</v>
      </c>
      <c r="G47" s="13">
        <v>849.49</v>
      </c>
      <c r="H47" s="95">
        <f t="shared" ref="H47:H56" si="8">SUM(F47*G47/1000)</f>
        <v>1.640874884</v>
      </c>
      <c r="I47" s="13">
        <f t="shared" ref="I47:I50" si="9">F47/2*G47</f>
        <v>820.43744200000003</v>
      </c>
      <c r="J47" s="24"/>
      <c r="K47" s="8"/>
    </row>
    <row r="48" spans="1:13" ht="15.75" hidden="1" customHeight="1">
      <c r="A48" s="41">
        <v>12</v>
      </c>
      <c r="B48" s="91" t="s">
        <v>35</v>
      </c>
      <c r="C48" s="92" t="s">
        <v>95</v>
      </c>
      <c r="D48" s="91" t="s">
        <v>42</v>
      </c>
      <c r="E48" s="93">
        <v>36</v>
      </c>
      <c r="F48" s="94">
        <f>SUM(E48*2/1000)</f>
        <v>7.1999999999999995E-2</v>
      </c>
      <c r="G48" s="13">
        <v>579.48</v>
      </c>
      <c r="H48" s="95">
        <f t="shared" si="8"/>
        <v>4.1722559999999999E-2</v>
      </c>
      <c r="I48" s="13">
        <f t="shared" si="9"/>
        <v>20.861280000000001</v>
      </c>
      <c r="J48" s="25"/>
    </row>
    <row r="49" spans="1:14" ht="15.75" hidden="1" customHeight="1">
      <c r="A49" s="41">
        <v>13</v>
      </c>
      <c r="B49" s="91" t="s">
        <v>36</v>
      </c>
      <c r="C49" s="92" t="s">
        <v>95</v>
      </c>
      <c r="D49" s="91" t="s">
        <v>42</v>
      </c>
      <c r="E49" s="93">
        <v>1197.7</v>
      </c>
      <c r="F49" s="94">
        <f>SUM(E49*2/1000)</f>
        <v>2.3954</v>
      </c>
      <c r="G49" s="13">
        <v>579.48</v>
      </c>
      <c r="H49" s="95">
        <f t="shared" si="8"/>
        <v>1.3880863919999999</v>
      </c>
      <c r="I49" s="13">
        <f t="shared" si="9"/>
        <v>694.04319599999997</v>
      </c>
      <c r="J49" s="25"/>
    </row>
    <row r="50" spans="1:14" ht="15.75" hidden="1" customHeight="1">
      <c r="A50" s="41">
        <v>14</v>
      </c>
      <c r="B50" s="91" t="s">
        <v>37</v>
      </c>
      <c r="C50" s="92" t="s">
        <v>95</v>
      </c>
      <c r="D50" s="91" t="s">
        <v>42</v>
      </c>
      <c r="E50" s="93">
        <v>2275.92</v>
      </c>
      <c r="F50" s="94">
        <f>SUM(E50*2/1000)</f>
        <v>4.5518400000000003</v>
      </c>
      <c r="G50" s="13">
        <v>606.77</v>
      </c>
      <c r="H50" s="95">
        <f t="shared" si="8"/>
        <v>2.7619199567999999</v>
      </c>
      <c r="I50" s="13">
        <f t="shared" si="9"/>
        <v>1380.9599784</v>
      </c>
      <c r="J50" s="25"/>
    </row>
    <row r="51" spans="1:14" ht="15.75" hidden="1" customHeight="1">
      <c r="A51" s="41">
        <v>15</v>
      </c>
      <c r="B51" s="91" t="s">
        <v>33</v>
      </c>
      <c r="C51" s="92" t="s">
        <v>34</v>
      </c>
      <c r="D51" s="91" t="s">
        <v>42</v>
      </c>
      <c r="E51" s="93">
        <v>81.709999999999994</v>
      </c>
      <c r="F51" s="94">
        <f>SUM(E51*2/100)</f>
        <v>1.6341999999999999</v>
      </c>
      <c r="G51" s="13">
        <v>68.56</v>
      </c>
      <c r="H51" s="95">
        <f t="shared" si="8"/>
        <v>0.11204075199999999</v>
      </c>
      <c r="I51" s="13">
        <f>F51/2*G51</f>
        <v>56.020375999999999</v>
      </c>
      <c r="J51" s="25"/>
    </row>
    <row r="52" spans="1:14" ht="15.75" hidden="1" customHeight="1">
      <c r="A52" s="41">
        <v>16</v>
      </c>
      <c r="B52" s="91" t="s">
        <v>56</v>
      </c>
      <c r="C52" s="92" t="s">
        <v>95</v>
      </c>
      <c r="D52" s="91" t="s">
        <v>130</v>
      </c>
      <c r="E52" s="93">
        <v>1711.8</v>
      </c>
      <c r="F52" s="94">
        <f>SUM(E52*5/1000)</f>
        <v>8.5589999999999993</v>
      </c>
      <c r="G52" s="13">
        <v>1213.55</v>
      </c>
      <c r="H52" s="95">
        <f t="shared" si="8"/>
        <v>10.386774449999999</v>
      </c>
      <c r="I52" s="13">
        <f>F52/5*G52</f>
        <v>2077.3548899999996</v>
      </c>
      <c r="J52" s="25"/>
    </row>
    <row r="53" spans="1:14" ht="31.5" hidden="1" customHeight="1">
      <c r="A53" s="41">
        <v>17</v>
      </c>
      <c r="B53" s="91" t="s">
        <v>102</v>
      </c>
      <c r="C53" s="92" t="s">
        <v>95</v>
      </c>
      <c r="D53" s="91" t="s">
        <v>42</v>
      </c>
      <c r="E53" s="93">
        <v>1711.8</v>
      </c>
      <c r="F53" s="94">
        <f>SUM(E53*2/1000)</f>
        <v>3.4236</v>
      </c>
      <c r="G53" s="13">
        <v>1213.55</v>
      </c>
      <c r="H53" s="95">
        <f t="shared" si="8"/>
        <v>4.1547097800000001</v>
      </c>
      <c r="I53" s="13">
        <f>F53/2*G53</f>
        <v>2077.3548900000001</v>
      </c>
      <c r="J53" s="25"/>
    </row>
    <row r="54" spans="1:14" ht="31.5" hidden="1" customHeight="1">
      <c r="A54" s="41">
        <v>18</v>
      </c>
      <c r="B54" s="91" t="s">
        <v>103</v>
      </c>
      <c r="C54" s="92" t="s">
        <v>38</v>
      </c>
      <c r="D54" s="91" t="s">
        <v>42</v>
      </c>
      <c r="E54" s="93">
        <v>15</v>
      </c>
      <c r="F54" s="94">
        <f>SUM(E54*2/100)</f>
        <v>0.3</v>
      </c>
      <c r="G54" s="13">
        <v>2730.49</v>
      </c>
      <c r="H54" s="95">
        <f t="shared" si="8"/>
        <v>0.81914699999999996</v>
      </c>
      <c r="I54" s="13">
        <f t="shared" ref="I54:I55" si="10">F54/2*G54</f>
        <v>409.57349999999997</v>
      </c>
      <c r="J54" s="25"/>
    </row>
    <row r="55" spans="1:14" ht="15.75" hidden="1" customHeight="1">
      <c r="A55" s="41">
        <v>19</v>
      </c>
      <c r="B55" s="91" t="s">
        <v>39</v>
      </c>
      <c r="C55" s="92" t="s">
        <v>40</v>
      </c>
      <c r="D55" s="91" t="s">
        <v>42</v>
      </c>
      <c r="E55" s="93">
        <v>1</v>
      </c>
      <c r="F55" s="94">
        <v>0.02</v>
      </c>
      <c r="G55" s="13">
        <v>5322.15</v>
      </c>
      <c r="H55" s="95">
        <f t="shared" si="8"/>
        <v>0.106443</v>
      </c>
      <c r="I55" s="13">
        <f t="shared" si="10"/>
        <v>53.221499999999999</v>
      </c>
      <c r="J55" s="25"/>
      <c r="L55" s="21"/>
      <c r="M55" s="22"/>
      <c r="N55" s="23"/>
    </row>
    <row r="56" spans="1:14" ht="15.75" hidden="1" customHeight="1">
      <c r="A56" s="41">
        <v>11</v>
      </c>
      <c r="B56" s="91" t="s">
        <v>41</v>
      </c>
      <c r="C56" s="92" t="s">
        <v>82</v>
      </c>
      <c r="D56" s="91" t="s">
        <v>71</v>
      </c>
      <c r="E56" s="93">
        <v>90</v>
      </c>
      <c r="F56" s="94">
        <f>SUM(E56)*3</f>
        <v>270</v>
      </c>
      <c r="G56" s="13">
        <v>65.67</v>
      </c>
      <c r="H56" s="95">
        <f t="shared" si="8"/>
        <v>17.730900000000002</v>
      </c>
      <c r="I56" s="13">
        <f>E56*G56</f>
        <v>5910.3</v>
      </c>
      <c r="J56" s="25"/>
      <c r="L56" s="21"/>
      <c r="M56" s="22"/>
      <c r="N56" s="23"/>
    </row>
    <row r="57" spans="1:14" ht="15.75" customHeight="1">
      <c r="A57" s="206" t="s">
        <v>137</v>
      </c>
      <c r="B57" s="207"/>
      <c r="C57" s="207"/>
      <c r="D57" s="207"/>
      <c r="E57" s="207"/>
      <c r="F57" s="207"/>
      <c r="G57" s="207"/>
      <c r="H57" s="207"/>
      <c r="I57" s="208"/>
      <c r="J57" s="25"/>
      <c r="L57" s="21"/>
      <c r="M57" s="22"/>
      <c r="N57" s="23"/>
    </row>
    <row r="58" spans="1:14" ht="15.75" customHeight="1">
      <c r="A58" s="104"/>
      <c r="B58" s="48" t="s">
        <v>43</v>
      </c>
      <c r="C58" s="17"/>
      <c r="D58" s="16"/>
      <c r="E58" s="16"/>
      <c r="F58" s="16"/>
      <c r="G58" s="31"/>
      <c r="H58" s="31"/>
      <c r="I58" s="19"/>
      <c r="J58" s="25"/>
      <c r="L58" s="21"/>
      <c r="M58" s="22"/>
      <c r="N58" s="23"/>
    </row>
    <row r="59" spans="1:14" ht="31.5" hidden="1" customHeight="1">
      <c r="A59" s="41">
        <v>13</v>
      </c>
      <c r="B59" s="91" t="s">
        <v>104</v>
      </c>
      <c r="C59" s="92" t="s">
        <v>85</v>
      </c>
      <c r="D59" s="91"/>
      <c r="E59" s="93">
        <v>96.58</v>
      </c>
      <c r="F59" s="94">
        <f>SUM(E59*6/100)</f>
        <v>5.7948000000000004</v>
      </c>
      <c r="G59" s="13">
        <v>1547.28</v>
      </c>
      <c r="H59" s="95">
        <f>SUM(F59*G59/1000)</f>
        <v>8.9661781440000006</v>
      </c>
      <c r="I59" s="13">
        <f>G59*0.312</f>
        <v>482.75135999999998</v>
      </c>
      <c r="J59" s="25"/>
      <c r="L59" s="21"/>
      <c r="M59" s="22"/>
      <c r="N59" s="23"/>
    </row>
    <row r="60" spans="1:14" ht="31.5" customHeight="1">
      <c r="A60" s="41">
        <v>11</v>
      </c>
      <c r="B60" s="34" t="s">
        <v>190</v>
      </c>
      <c r="C60" s="40" t="s">
        <v>85</v>
      </c>
      <c r="D60" s="34"/>
      <c r="E60" s="120">
        <v>50.2</v>
      </c>
      <c r="F60" s="121">
        <f>E60*12/100</f>
        <v>6.0240000000000009</v>
      </c>
      <c r="G60" s="68">
        <v>2306.83</v>
      </c>
      <c r="H60" s="84"/>
      <c r="I60" s="13">
        <f>G60*F60/6</f>
        <v>2316.0573200000003</v>
      </c>
      <c r="J60" s="25"/>
      <c r="L60" s="21"/>
      <c r="M60" s="22"/>
      <c r="N60" s="23"/>
    </row>
    <row r="61" spans="1:14" ht="15.75" customHeight="1">
      <c r="A61" s="41"/>
      <c r="B61" s="67" t="s">
        <v>44</v>
      </c>
      <c r="C61" s="40"/>
      <c r="D61" s="34"/>
      <c r="E61" s="19"/>
      <c r="F61" s="85"/>
      <c r="G61" s="37"/>
      <c r="H61" s="68"/>
      <c r="I61" s="20"/>
      <c r="J61" s="25"/>
      <c r="L61" s="21"/>
      <c r="M61" s="22"/>
      <c r="N61" s="23"/>
    </row>
    <row r="62" spans="1:14" ht="15.75" hidden="1" customHeight="1">
      <c r="A62" s="41"/>
      <c r="B62" s="91" t="s">
        <v>45</v>
      </c>
      <c r="C62" s="92" t="s">
        <v>85</v>
      </c>
      <c r="D62" s="91" t="s">
        <v>54</v>
      </c>
      <c r="E62" s="93">
        <v>855.9</v>
      </c>
      <c r="F62" s="95">
        <v>8.6</v>
      </c>
      <c r="G62" s="13">
        <v>747.3</v>
      </c>
      <c r="H62" s="98">
        <v>6.4</v>
      </c>
      <c r="I62" s="13">
        <v>0</v>
      </c>
      <c r="J62" s="25"/>
      <c r="L62" s="21"/>
      <c r="M62" s="22"/>
      <c r="N62" s="23"/>
    </row>
    <row r="63" spans="1:14" ht="15.75" customHeight="1">
      <c r="A63" s="41">
        <v>12</v>
      </c>
      <c r="B63" s="91" t="s">
        <v>83</v>
      </c>
      <c r="C63" s="92" t="s">
        <v>25</v>
      </c>
      <c r="D63" s="91" t="s">
        <v>156</v>
      </c>
      <c r="E63" s="93">
        <v>256</v>
      </c>
      <c r="F63" s="95">
        <v>1560</v>
      </c>
      <c r="G63" s="13">
        <v>1.4</v>
      </c>
      <c r="H63" s="98">
        <f>F63*G63/1000</f>
        <v>2.1840000000000002</v>
      </c>
      <c r="I63" s="13">
        <f>F63/12*G63</f>
        <v>182</v>
      </c>
      <c r="J63" s="25"/>
      <c r="L63" s="21"/>
      <c r="M63" s="22"/>
      <c r="N63" s="23"/>
    </row>
    <row r="64" spans="1:14" ht="15.75" hidden="1" customHeight="1">
      <c r="A64" s="41"/>
      <c r="B64" s="67" t="s">
        <v>121</v>
      </c>
      <c r="C64" s="40"/>
      <c r="D64" s="34"/>
      <c r="E64" s="19"/>
      <c r="F64" s="85"/>
      <c r="G64" s="69"/>
      <c r="H64" s="68"/>
      <c r="I64" s="20"/>
      <c r="J64" s="25"/>
      <c r="L64" s="21"/>
      <c r="M64" s="22"/>
      <c r="N64" s="23"/>
    </row>
    <row r="65" spans="1:14" ht="15.75" hidden="1" customHeight="1">
      <c r="A65" s="41"/>
      <c r="B65" s="91" t="s">
        <v>122</v>
      </c>
      <c r="C65" s="92" t="s">
        <v>82</v>
      </c>
      <c r="D65" s="91" t="s">
        <v>65</v>
      </c>
      <c r="E65" s="93">
        <v>2</v>
      </c>
      <c r="F65" s="94">
        <f>SUM(E65)</f>
        <v>2</v>
      </c>
      <c r="G65" s="99">
        <v>237.75</v>
      </c>
      <c r="H65" s="95">
        <f t="shared" ref="H65" si="11">SUM(F65*G65/1000)</f>
        <v>0.47549999999999998</v>
      </c>
      <c r="I65" s="13">
        <v>0</v>
      </c>
      <c r="J65" s="25"/>
      <c r="L65" s="21"/>
      <c r="M65" s="22"/>
      <c r="N65" s="23"/>
    </row>
    <row r="66" spans="1:14" ht="17.25" hidden="1" customHeight="1">
      <c r="A66" s="41"/>
      <c r="B66" s="103" t="s">
        <v>46</v>
      </c>
      <c r="C66" s="17"/>
      <c r="D66" s="16"/>
      <c r="E66" s="16"/>
      <c r="F66" s="86"/>
      <c r="G66" s="65"/>
      <c r="H66" s="68"/>
      <c r="I66" s="19"/>
      <c r="J66" s="25"/>
      <c r="L66" s="21"/>
      <c r="M66" s="22"/>
      <c r="N66" s="23"/>
    </row>
    <row r="67" spans="1:14" ht="18" hidden="1" customHeight="1">
      <c r="A67" s="41">
        <v>14</v>
      </c>
      <c r="B67" s="15" t="s">
        <v>47</v>
      </c>
      <c r="C67" s="17" t="s">
        <v>82</v>
      </c>
      <c r="D67" s="91" t="s">
        <v>175</v>
      </c>
      <c r="E67" s="19">
        <v>10</v>
      </c>
      <c r="F67" s="94">
        <v>10</v>
      </c>
      <c r="G67" s="131">
        <v>331.57</v>
      </c>
      <c r="H67" s="100">
        <f t="shared" ref="H67" si="12">SUM(F67*G67/1000)</f>
        <v>3.3156999999999996</v>
      </c>
      <c r="I67" s="13">
        <f>G67*4</f>
        <v>1326.28</v>
      </c>
      <c r="J67" s="25"/>
      <c r="L67" s="21"/>
      <c r="M67" s="22"/>
      <c r="N67" s="23"/>
    </row>
    <row r="68" spans="1:14" ht="18" hidden="1" customHeight="1">
      <c r="A68" s="31">
        <v>29</v>
      </c>
      <c r="B68" s="15" t="s">
        <v>48</v>
      </c>
      <c r="C68" s="17" t="s">
        <v>82</v>
      </c>
      <c r="D68" s="91" t="s">
        <v>65</v>
      </c>
      <c r="E68" s="19">
        <v>5</v>
      </c>
      <c r="F68" s="94">
        <v>5</v>
      </c>
      <c r="G68" s="13">
        <v>75.25</v>
      </c>
      <c r="H68" s="100">
        <f t="shared" ref="H68:H74" si="13">SUM(F68*G68/1000)</f>
        <v>0.37624999999999997</v>
      </c>
      <c r="I68" s="13">
        <v>0</v>
      </c>
      <c r="J68" s="25"/>
      <c r="L68" s="21"/>
      <c r="M68" s="22"/>
      <c r="N68" s="23"/>
    </row>
    <row r="69" spans="1:14" ht="15" hidden="1" customHeight="1">
      <c r="A69" s="31">
        <v>25</v>
      </c>
      <c r="B69" s="15" t="s">
        <v>49</v>
      </c>
      <c r="C69" s="17" t="s">
        <v>106</v>
      </c>
      <c r="D69" s="15" t="s">
        <v>54</v>
      </c>
      <c r="E69" s="93">
        <v>13018</v>
      </c>
      <c r="F69" s="13">
        <f>SUM(E69/100)</f>
        <v>130.18</v>
      </c>
      <c r="G69" s="13">
        <v>212.15</v>
      </c>
      <c r="H69" s="100">
        <f t="shared" si="13"/>
        <v>27.617687</v>
      </c>
      <c r="I69" s="13">
        <f>F69*G69</f>
        <v>27617.687000000002</v>
      </c>
      <c r="J69" s="25"/>
      <c r="L69" s="21"/>
      <c r="M69" s="22"/>
      <c r="N69" s="23"/>
    </row>
    <row r="70" spans="1:14" ht="17.25" hidden="1" customHeight="1">
      <c r="A70" s="31">
        <v>26</v>
      </c>
      <c r="B70" s="15" t="s">
        <v>50</v>
      </c>
      <c r="C70" s="17" t="s">
        <v>107</v>
      </c>
      <c r="D70" s="15"/>
      <c r="E70" s="93">
        <v>13018</v>
      </c>
      <c r="F70" s="13">
        <f>SUM(E70/1000)</f>
        <v>13.018000000000001</v>
      </c>
      <c r="G70" s="13">
        <v>165.21</v>
      </c>
      <c r="H70" s="100">
        <f t="shared" si="13"/>
        <v>2.1507037800000002</v>
      </c>
      <c r="I70" s="13">
        <f t="shared" ref="I70:I74" si="14">F70*G70</f>
        <v>2150.7037800000003</v>
      </c>
      <c r="J70" s="25"/>
      <c r="L70" s="21"/>
      <c r="M70" s="22"/>
      <c r="N70" s="23"/>
    </row>
    <row r="71" spans="1:14" ht="18" hidden="1" customHeight="1">
      <c r="A71" s="31">
        <v>27</v>
      </c>
      <c r="B71" s="15" t="s">
        <v>51</v>
      </c>
      <c r="C71" s="17" t="s">
        <v>76</v>
      </c>
      <c r="D71" s="15" t="s">
        <v>54</v>
      </c>
      <c r="E71" s="93">
        <v>1279</v>
      </c>
      <c r="F71" s="13">
        <f>SUM(E71/100)</f>
        <v>12.79</v>
      </c>
      <c r="G71" s="13">
        <v>2074.63</v>
      </c>
      <c r="H71" s="100">
        <f t="shared" si="13"/>
        <v>26.534517700000002</v>
      </c>
      <c r="I71" s="13">
        <f t="shared" si="14"/>
        <v>26534.5177</v>
      </c>
      <c r="J71" s="25"/>
      <c r="L71" s="21"/>
      <c r="M71" s="22"/>
      <c r="N71" s="23"/>
    </row>
    <row r="72" spans="1:14" ht="17.25" hidden="1" customHeight="1">
      <c r="A72" s="31">
        <v>28</v>
      </c>
      <c r="B72" s="101" t="s">
        <v>108</v>
      </c>
      <c r="C72" s="17" t="s">
        <v>32</v>
      </c>
      <c r="D72" s="15"/>
      <c r="E72" s="93">
        <v>12</v>
      </c>
      <c r="F72" s="13">
        <f>SUM(E72)</f>
        <v>12</v>
      </c>
      <c r="G72" s="13">
        <v>45.32</v>
      </c>
      <c r="H72" s="100">
        <f t="shared" si="13"/>
        <v>0.54383999999999999</v>
      </c>
      <c r="I72" s="13">
        <f t="shared" si="14"/>
        <v>543.84</v>
      </c>
      <c r="J72" s="25"/>
      <c r="L72" s="21"/>
      <c r="M72" s="22"/>
      <c r="N72" s="23"/>
    </row>
    <row r="73" spans="1:14" ht="18.75" hidden="1" customHeight="1">
      <c r="A73" s="31">
        <v>29</v>
      </c>
      <c r="B73" s="101" t="s">
        <v>109</v>
      </c>
      <c r="C73" s="17" t="s">
        <v>32</v>
      </c>
      <c r="D73" s="15"/>
      <c r="E73" s="93">
        <v>12</v>
      </c>
      <c r="F73" s="13">
        <f>SUM(E73)</f>
        <v>12</v>
      </c>
      <c r="G73" s="13">
        <v>42.28</v>
      </c>
      <c r="H73" s="100">
        <f t="shared" si="13"/>
        <v>0.50736000000000003</v>
      </c>
      <c r="I73" s="13">
        <f t="shared" si="14"/>
        <v>507.36</v>
      </c>
      <c r="J73" s="25"/>
      <c r="L73" s="21"/>
      <c r="M73" s="22"/>
      <c r="N73" s="23"/>
    </row>
    <row r="74" spans="1:14" ht="17.25" hidden="1" customHeight="1">
      <c r="A74" s="31">
        <v>22</v>
      </c>
      <c r="B74" s="15" t="s">
        <v>57</v>
      </c>
      <c r="C74" s="17" t="s">
        <v>58</v>
      </c>
      <c r="D74" s="15" t="s">
        <v>54</v>
      </c>
      <c r="E74" s="19">
        <v>1</v>
      </c>
      <c r="F74" s="94">
        <f>SUM(E74)</f>
        <v>1</v>
      </c>
      <c r="G74" s="13">
        <v>49.88</v>
      </c>
      <c r="H74" s="100">
        <f t="shared" si="13"/>
        <v>4.9880000000000001E-2</v>
      </c>
      <c r="I74" s="13">
        <f t="shared" si="14"/>
        <v>49.88</v>
      </c>
      <c r="J74" s="25"/>
      <c r="L74" s="21"/>
      <c r="M74" s="22"/>
      <c r="N74" s="23"/>
    </row>
    <row r="75" spans="1:14" ht="17.25" customHeight="1">
      <c r="A75" s="31"/>
      <c r="B75" s="135" t="s">
        <v>162</v>
      </c>
      <c r="C75" s="38"/>
      <c r="D75" s="119"/>
      <c r="E75" s="18"/>
      <c r="F75" s="68"/>
      <c r="G75" s="37"/>
      <c r="H75" s="133"/>
      <c r="I75" s="134"/>
      <c r="J75" s="25"/>
      <c r="L75" s="21"/>
      <c r="M75" s="22"/>
      <c r="N75" s="23"/>
    </row>
    <row r="76" spans="1:14" ht="34.5" customHeight="1">
      <c r="A76" s="31">
        <v>13</v>
      </c>
      <c r="B76" s="119" t="s">
        <v>163</v>
      </c>
      <c r="C76" s="41" t="s">
        <v>164</v>
      </c>
      <c r="D76" s="119"/>
      <c r="E76" s="18">
        <v>2581.1999999999998</v>
      </c>
      <c r="F76" s="37">
        <f>E76*12</f>
        <v>30974.399999999998</v>
      </c>
      <c r="G76" s="37">
        <v>2.6</v>
      </c>
      <c r="H76" s="133"/>
      <c r="I76" s="134">
        <f>G76*F76/12</f>
        <v>6711.12</v>
      </c>
      <c r="J76" s="25"/>
      <c r="L76" s="21"/>
      <c r="M76" s="22"/>
      <c r="N76" s="23"/>
    </row>
    <row r="77" spans="1:14" ht="17.25" customHeight="1">
      <c r="A77" s="104"/>
      <c r="B77" s="103" t="s">
        <v>110</v>
      </c>
      <c r="C77" s="103"/>
      <c r="D77" s="103"/>
      <c r="E77" s="103"/>
      <c r="F77" s="103"/>
      <c r="G77" s="103"/>
      <c r="H77" s="103"/>
      <c r="I77" s="19"/>
      <c r="J77" s="25"/>
      <c r="L77" s="21"/>
      <c r="M77" s="22"/>
      <c r="N77" s="23"/>
    </row>
    <row r="78" spans="1:14" ht="18.75" customHeight="1">
      <c r="A78" s="31">
        <v>14</v>
      </c>
      <c r="B78" s="91" t="s">
        <v>111</v>
      </c>
      <c r="C78" s="17"/>
      <c r="D78" s="15"/>
      <c r="E78" s="85"/>
      <c r="F78" s="13">
        <v>1</v>
      </c>
      <c r="G78" s="13">
        <v>4067.9</v>
      </c>
      <c r="H78" s="100">
        <f>G78*F78/1000</f>
        <v>4.0678999999999998</v>
      </c>
      <c r="I78" s="13">
        <f>G78</f>
        <v>4067.9</v>
      </c>
      <c r="J78" s="25"/>
      <c r="L78" s="21"/>
      <c r="M78" s="22"/>
      <c r="N78" s="23"/>
    </row>
    <row r="79" spans="1:14" ht="16.5" customHeight="1">
      <c r="A79" s="31"/>
      <c r="B79" s="49" t="s">
        <v>72</v>
      </c>
      <c r="C79" s="49"/>
      <c r="D79" s="49"/>
      <c r="E79" s="19"/>
      <c r="F79" s="19"/>
      <c r="G79" s="31"/>
      <c r="H79" s="31"/>
      <c r="I79" s="19"/>
      <c r="J79" s="25"/>
      <c r="L79" s="21"/>
      <c r="M79" s="22"/>
      <c r="N79" s="23"/>
    </row>
    <row r="80" spans="1:14" ht="17.25" hidden="1" customHeight="1">
      <c r="A80" s="31">
        <v>23</v>
      </c>
      <c r="B80" s="15" t="s">
        <v>73</v>
      </c>
      <c r="C80" s="17" t="s">
        <v>74</v>
      </c>
      <c r="D80" s="15" t="s">
        <v>65</v>
      </c>
      <c r="E80" s="19">
        <v>5</v>
      </c>
      <c r="F80" s="13">
        <v>0.5</v>
      </c>
      <c r="G80" s="13">
        <v>501.62</v>
      </c>
      <c r="H80" s="100">
        <f t="shared" ref="H80:H82" si="15">SUM(F80*G80/1000)</f>
        <v>0.25080999999999998</v>
      </c>
      <c r="I80" s="13">
        <f>G80*0.2</f>
        <v>100.32400000000001</v>
      </c>
      <c r="J80" s="25"/>
      <c r="L80" s="21"/>
      <c r="M80" s="22"/>
      <c r="N80" s="23"/>
    </row>
    <row r="81" spans="1:22" ht="16.5" hidden="1" customHeight="1">
      <c r="A81" s="31"/>
      <c r="B81" s="15" t="s">
        <v>123</v>
      </c>
      <c r="C81" s="17" t="s">
        <v>82</v>
      </c>
      <c r="D81" s="15"/>
      <c r="E81" s="19">
        <v>1</v>
      </c>
      <c r="F81" s="84">
        <f>E81</f>
        <v>1</v>
      </c>
      <c r="G81" s="13">
        <v>852.99</v>
      </c>
      <c r="H81" s="100">
        <f t="shared" si="15"/>
        <v>0.85299000000000003</v>
      </c>
      <c r="I81" s="13">
        <v>0</v>
      </c>
      <c r="J81" s="25"/>
      <c r="L81" s="21"/>
      <c r="M81" s="22"/>
      <c r="N81" s="23"/>
    </row>
    <row r="82" spans="1:22" ht="14.25" hidden="1" customHeight="1">
      <c r="A82" s="31"/>
      <c r="B82" s="15" t="s">
        <v>124</v>
      </c>
      <c r="C82" s="17" t="s">
        <v>82</v>
      </c>
      <c r="D82" s="15"/>
      <c r="E82" s="19">
        <v>1</v>
      </c>
      <c r="F82" s="94">
        <f>SUM(E82)</f>
        <v>1</v>
      </c>
      <c r="G82" s="13">
        <v>358.51</v>
      </c>
      <c r="H82" s="100">
        <f t="shared" si="15"/>
        <v>0.35851</v>
      </c>
      <c r="I82" s="13">
        <v>0</v>
      </c>
      <c r="J82" s="25"/>
      <c r="L82" s="21"/>
      <c r="M82" s="22"/>
      <c r="N82" s="23"/>
    </row>
    <row r="83" spans="1:22" ht="14.25" customHeight="1">
      <c r="A83" s="31">
        <v>15</v>
      </c>
      <c r="B83" s="119" t="s">
        <v>171</v>
      </c>
      <c r="C83" s="38" t="s">
        <v>82</v>
      </c>
      <c r="D83" s="119" t="s">
        <v>155</v>
      </c>
      <c r="E83" s="18">
        <v>2</v>
      </c>
      <c r="F83" s="68">
        <f>E83*12</f>
        <v>24</v>
      </c>
      <c r="G83" s="37">
        <v>420</v>
      </c>
      <c r="H83" s="100"/>
      <c r="I83" s="13">
        <f>G83*2</f>
        <v>840</v>
      </c>
      <c r="J83" s="25"/>
      <c r="L83" s="21"/>
      <c r="M83" s="22"/>
      <c r="N83" s="23"/>
    </row>
    <row r="84" spans="1:22" ht="15.75" hidden="1" customHeight="1">
      <c r="A84" s="31"/>
      <c r="B84" s="50" t="s">
        <v>75</v>
      </c>
      <c r="C84" s="38"/>
      <c r="D84" s="31"/>
      <c r="E84" s="19"/>
      <c r="F84" s="19"/>
      <c r="G84" s="37" t="s">
        <v>112</v>
      </c>
      <c r="H84" s="37"/>
      <c r="I84" s="19"/>
      <c r="J84" s="25"/>
      <c r="L84" s="21"/>
      <c r="M84" s="22"/>
      <c r="N84" s="23"/>
    </row>
    <row r="85" spans="1:22" ht="18" hidden="1" customHeight="1">
      <c r="A85" s="31">
        <v>12</v>
      </c>
      <c r="B85" s="52" t="s">
        <v>113</v>
      </c>
      <c r="C85" s="17" t="s">
        <v>76</v>
      </c>
      <c r="D85" s="15"/>
      <c r="E85" s="19"/>
      <c r="F85" s="13">
        <v>0.3</v>
      </c>
      <c r="G85" s="13">
        <v>2759.44</v>
      </c>
      <c r="H85" s="100">
        <f t="shared" ref="H85" si="16">SUM(F85*G85/1000)</f>
        <v>0.82783200000000001</v>
      </c>
      <c r="I85" s="13">
        <v>0</v>
      </c>
      <c r="J85" s="25"/>
      <c r="L85" s="21"/>
      <c r="M85" s="22"/>
      <c r="N85" s="23"/>
    </row>
    <row r="86" spans="1:22" ht="18" hidden="1" customHeight="1">
      <c r="A86" s="132"/>
      <c r="B86" s="135" t="s">
        <v>162</v>
      </c>
      <c r="C86" s="38"/>
      <c r="D86" s="119"/>
      <c r="E86" s="18"/>
      <c r="F86" s="68"/>
      <c r="G86" s="37"/>
      <c r="H86" s="133"/>
      <c r="I86" s="134"/>
      <c r="J86" s="25"/>
      <c r="L86" s="21"/>
      <c r="M86" s="22"/>
      <c r="N86" s="23"/>
    </row>
    <row r="87" spans="1:22" ht="18" hidden="1" customHeight="1">
      <c r="A87" s="132">
        <v>16</v>
      </c>
      <c r="B87" s="119" t="s">
        <v>163</v>
      </c>
      <c r="C87" s="41" t="s">
        <v>164</v>
      </c>
      <c r="D87" s="119"/>
      <c r="E87" s="18">
        <v>2581.1999999999998</v>
      </c>
      <c r="F87" s="37">
        <f>E87*12</f>
        <v>30974.399999999998</v>
      </c>
      <c r="G87" s="37">
        <v>2.4900000000000002</v>
      </c>
      <c r="H87" s="133"/>
      <c r="I87" s="134">
        <f>G87*F87/12</f>
        <v>6427.1879999999992</v>
      </c>
      <c r="J87" s="25"/>
      <c r="L87" s="21"/>
      <c r="M87" s="22"/>
      <c r="N87" s="23"/>
    </row>
    <row r="88" spans="1:22" ht="15.75" customHeight="1">
      <c r="A88" s="210" t="s">
        <v>138</v>
      </c>
      <c r="B88" s="211"/>
      <c r="C88" s="211"/>
      <c r="D88" s="211"/>
      <c r="E88" s="211"/>
      <c r="F88" s="211"/>
      <c r="G88" s="211"/>
      <c r="H88" s="211"/>
      <c r="I88" s="212"/>
      <c r="J88" s="25"/>
      <c r="L88" s="21"/>
      <c r="M88" s="22"/>
      <c r="N88" s="23"/>
    </row>
    <row r="89" spans="1:22" ht="15.75" customHeight="1">
      <c r="A89" s="31">
        <v>16</v>
      </c>
      <c r="B89" s="119" t="s">
        <v>114</v>
      </c>
      <c r="C89" s="38" t="s">
        <v>55</v>
      </c>
      <c r="D89" s="160"/>
      <c r="E89" s="37">
        <v>2581.1999999999998</v>
      </c>
      <c r="F89" s="37">
        <f>SUM(E89*12)</f>
        <v>30974.399999999998</v>
      </c>
      <c r="G89" s="37">
        <v>3.5</v>
      </c>
      <c r="H89" s="155">
        <f>SUM(F89*G89/1000)</f>
        <v>108.4104</v>
      </c>
      <c r="I89" s="13">
        <f>F89/12*G89</f>
        <v>9034.1999999999989</v>
      </c>
      <c r="J89" s="25"/>
      <c r="L89" s="21"/>
    </row>
    <row r="90" spans="1:22" ht="31.5" customHeight="1">
      <c r="A90" s="31">
        <v>17</v>
      </c>
      <c r="B90" s="157" t="s">
        <v>172</v>
      </c>
      <c r="C90" s="150" t="s">
        <v>55</v>
      </c>
      <c r="D90" s="158"/>
      <c r="E90" s="159">
        <f>E89</f>
        <v>2581.1999999999998</v>
      </c>
      <c r="F90" s="152">
        <f>E90*12</f>
        <v>30974.399999999998</v>
      </c>
      <c r="G90" s="152">
        <v>3.2</v>
      </c>
      <c r="H90" s="100">
        <f>F90*G90/1000</f>
        <v>99.118080000000006</v>
      </c>
      <c r="I90" s="13">
        <f>F90/12*G90</f>
        <v>8259.84</v>
      </c>
    </row>
    <row r="91" spans="1:22" ht="15.75" customHeight="1">
      <c r="A91" s="104"/>
      <c r="B91" s="39" t="s">
        <v>78</v>
      </c>
      <c r="C91" s="41"/>
      <c r="D91" s="16"/>
      <c r="E91" s="16"/>
      <c r="F91" s="16"/>
      <c r="G91" s="19"/>
      <c r="H91" s="19"/>
      <c r="I91" s="33">
        <f>I90+I89+I83+I78+I76+I63+I44+I41+I39+I38+I37+I21+I20+I18+I17+I16+I60</f>
        <v>42274.819220166668</v>
      </c>
    </row>
    <row r="92" spans="1:22" ht="15.75" customHeight="1">
      <c r="A92" s="213" t="s">
        <v>60</v>
      </c>
      <c r="B92" s="214"/>
      <c r="C92" s="214"/>
      <c r="D92" s="214"/>
      <c r="E92" s="214"/>
      <c r="F92" s="214"/>
      <c r="G92" s="214"/>
      <c r="H92" s="214"/>
      <c r="I92" s="215"/>
    </row>
    <row r="93" spans="1:22" ht="15.75" customHeight="1">
      <c r="A93" s="31">
        <v>18</v>
      </c>
      <c r="B93" s="117" t="s">
        <v>222</v>
      </c>
      <c r="C93" s="118" t="s">
        <v>29</v>
      </c>
      <c r="D93" s="66"/>
      <c r="E93" s="37"/>
      <c r="F93" s="37">
        <f>1.7025+1.7025+1.7025*4</f>
        <v>10.215</v>
      </c>
      <c r="G93" s="37">
        <v>241.69</v>
      </c>
      <c r="H93" s="100"/>
      <c r="I93" s="13">
        <f>G93*1.7025*2</f>
        <v>822.95444999999995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9"/>
    </row>
    <row r="94" spans="1:22" ht="31.5" customHeight="1">
      <c r="A94" s="31">
        <v>19</v>
      </c>
      <c r="B94" s="117" t="s">
        <v>265</v>
      </c>
      <c r="C94" s="118" t="s">
        <v>150</v>
      </c>
      <c r="D94" s="66" t="s">
        <v>271</v>
      </c>
      <c r="E94" s="37"/>
      <c r="F94" s="37">
        <v>0.5</v>
      </c>
      <c r="G94" s="37">
        <v>1584.54</v>
      </c>
      <c r="H94" s="102"/>
      <c r="I94" s="13">
        <f>G94*0.5</f>
        <v>792.27</v>
      </c>
      <c r="J94" s="27"/>
      <c r="K94" s="27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2" ht="34.5" customHeight="1">
      <c r="A95" s="31">
        <v>20</v>
      </c>
      <c r="B95" s="117" t="s">
        <v>266</v>
      </c>
      <c r="C95" s="118" t="s">
        <v>267</v>
      </c>
      <c r="D95" s="66" t="s">
        <v>270</v>
      </c>
      <c r="E95" s="37"/>
      <c r="F95" s="37">
        <v>1</v>
      </c>
      <c r="G95" s="37">
        <v>64.040000000000006</v>
      </c>
      <c r="H95" s="102"/>
      <c r="I95" s="13">
        <f>G95*1</f>
        <v>64.040000000000006</v>
      </c>
      <c r="J95" s="27"/>
      <c r="K95" s="27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2" ht="15.75" customHeight="1">
      <c r="A96" s="31"/>
      <c r="B96" s="46" t="s">
        <v>52</v>
      </c>
      <c r="C96" s="42"/>
      <c r="D96" s="54"/>
      <c r="E96" s="42">
        <v>1</v>
      </c>
      <c r="F96" s="42"/>
      <c r="G96" s="42"/>
      <c r="H96" s="42"/>
      <c r="I96" s="33">
        <f>SUM(I93:I95)</f>
        <v>1679.2644499999999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9" ht="15.75" customHeight="1">
      <c r="A97" s="31"/>
      <c r="B97" s="52" t="s">
        <v>77</v>
      </c>
      <c r="C97" s="16"/>
      <c r="D97" s="16"/>
      <c r="E97" s="43"/>
      <c r="F97" s="43"/>
      <c r="G97" s="44"/>
      <c r="H97" s="44"/>
      <c r="I97" s="18">
        <v>0</v>
      </c>
    </row>
    <row r="98" spans="1:9" ht="15.75" customHeight="1">
      <c r="A98" s="55"/>
      <c r="B98" s="47" t="s">
        <v>131</v>
      </c>
      <c r="C98" s="36"/>
      <c r="D98" s="36"/>
      <c r="E98" s="36"/>
      <c r="F98" s="36"/>
      <c r="G98" s="36"/>
      <c r="H98" s="36"/>
      <c r="I98" s="45">
        <f>I91+I96</f>
        <v>43954.08367016667</v>
      </c>
    </row>
    <row r="99" spans="1:9" ht="15.75" customHeight="1">
      <c r="A99" s="209" t="s">
        <v>272</v>
      </c>
      <c r="B99" s="209"/>
      <c r="C99" s="209"/>
      <c r="D99" s="209"/>
      <c r="E99" s="209"/>
      <c r="F99" s="209"/>
      <c r="G99" s="209"/>
      <c r="H99" s="209"/>
      <c r="I99" s="209"/>
    </row>
    <row r="100" spans="1:9" ht="15.75" customHeight="1">
      <c r="A100" s="77"/>
      <c r="B100" s="190" t="s">
        <v>273</v>
      </c>
      <c r="C100" s="190"/>
      <c r="D100" s="190"/>
      <c r="E100" s="190"/>
      <c r="F100" s="190"/>
      <c r="G100" s="190"/>
      <c r="H100" s="89"/>
      <c r="I100" s="3"/>
    </row>
    <row r="101" spans="1:9" ht="15.75" customHeight="1">
      <c r="A101" s="107"/>
      <c r="B101" s="191" t="s">
        <v>6</v>
      </c>
      <c r="C101" s="191"/>
      <c r="D101" s="191"/>
      <c r="E101" s="191"/>
      <c r="F101" s="191"/>
      <c r="G101" s="191"/>
      <c r="H101" s="26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92" t="s">
        <v>7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5.75" customHeight="1">
      <c r="A104" s="192" t="s">
        <v>8</v>
      </c>
      <c r="B104" s="192"/>
      <c r="C104" s="192"/>
      <c r="D104" s="192"/>
      <c r="E104" s="192"/>
      <c r="F104" s="192"/>
      <c r="G104" s="192"/>
      <c r="H104" s="192"/>
      <c r="I104" s="192"/>
    </row>
    <row r="105" spans="1:9" ht="15.75" customHeight="1">
      <c r="A105" s="195" t="s">
        <v>61</v>
      </c>
      <c r="B105" s="195"/>
      <c r="C105" s="195"/>
      <c r="D105" s="195"/>
      <c r="E105" s="195"/>
      <c r="F105" s="195"/>
      <c r="G105" s="195"/>
      <c r="H105" s="195"/>
      <c r="I105" s="195"/>
    </row>
    <row r="106" spans="1:9" ht="15.75" customHeight="1">
      <c r="A106" s="11"/>
    </row>
    <row r="107" spans="1:9" ht="15.75" customHeight="1">
      <c r="A107" s="196" t="s">
        <v>9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15.75" customHeight="1">
      <c r="A108" s="4"/>
    </row>
    <row r="109" spans="1:9" ht="15.75" customHeight="1">
      <c r="B109" s="108" t="s">
        <v>10</v>
      </c>
      <c r="C109" s="197" t="s">
        <v>182</v>
      </c>
      <c r="D109" s="197"/>
      <c r="E109" s="197"/>
      <c r="F109" s="87"/>
      <c r="I109" s="109"/>
    </row>
    <row r="110" spans="1:9" ht="15.75" customHeight="1">
      <c r="A110" s="107"/>
      <c r="C110" s="191" t="s">
        <v>11</v>
      </c>
      <c r="D110" s="191"/>
      <c r="E110" s="191"/>
      <c r="F110" s="26"/>
      <c r="I110" s="106" t="s">
        <v>12</v>
      </c>
    </row>
    <row r="111" spans="1:9" ht="15.75" customHeight="1">
      <c r="A111" s="27"/>
      <c r="C111" s="12"/>
      <c r="D111" s="12"/>
      <c r="G111" s="12"/>
      <c r="H111" s="12"/>
    </row>
    <row r="112" spans="1:9" ht="15.75" customHeight="1">
      <c r="B112" s="108" t="s">
        <v>13</v>
      </c>
      <c r="C112" s="198"/>
      <c r="D112" s="198"/>
      <c r="E112" s="198"/>
      <c r="F112" s="88"/>
      <c r="I112" s="109"/>
    </row>
    <row r="113" spans="1:9" ht="15.75" customHeight="1">
      <c r="A113" s="107"/>
      <c r="C113" s="194" t="s">
        <v>11</v>
      </c>
      <c r="D113" s="194"/>
      <c r="E113" s="194"/>
      <c r="F113" s="107"/>
      <c r="I113" s="106" t="s">
        <v>12</v>
      </c>
    </row>
    <row r="114" spans="1:9" ht="15.75" customHeight="1">
      <c r="A114" s="4" t="s">
        <v>14</v>
      </c>
    </row>
    <row r="115" spans="1:9">
      <c r="A115" s="193" t="s">
        <v>15</v>
      </c>
      <c r="B115" s="193"/>
      <c r="C115" s="193"/>
      <c r="D115" s="193"/>
      <c r="E115" s="193"/>
      <c r="F115" s="193"/>
      <c r="G115" s="193"/>
      <c r="H115" s="193"/>
      <c r="I115" s="193"/>
    </row>
    <row r="116" spans="1:9" ht="45" customHeight="1">
      <c r="A116" s="189" t="s">
        <v>16</v>
      </c>
      <c r="B116" s="189"/>
      <c r="C116" s="189"/>
      <c r="D116" s="189"/>
      <c r="E116" s="189"/>
      <c r="F116" s="189"/>
      <c r="G116" s="189"/>
      <c r="H116" s="189"/>
      <c r="I116" s="189"/>
    </row>
    <row r="117" spans="1:9" ht="30" customHeight="1">
      <c r="A117" s="189" t="s">
        <v>17</v>
      </c>
      <c r="B117" s="189"/>
      <c r="C117" s="189"/>
      <c r="D117" s="189"/>
      <c r="E117" s="189"/>
      <c r="F117" s="189"/>
      <c r="G117" s="189"/>
      <c r="H117" s="189"/>
      <c r="I117" s="189"/>
    </row>
    <row r="118" spans="1:9" ht="30" customHeight="1">
      <c r="A118" s="189" t="s">
        <v>21</v>
      </c>
      <c r="B118" s="189"/>
      <c r="C118" s="189"/>
      <c r="D118" s="189"/>
      <c r="E118" s="189"/>
      <c r="F118" s="189"/>
      <c r="G118" s="189"/>
      <c r="H118" s="189"/>
      <c r="I118" s="189"/>
    </row>
    <row r="119" spans="1:9" ht="15" customHeight="1">
      <c r="A119" s="189" t="s">
        <v>20</v>
      </c>
      <c r="B119" s="189"/>
      <c r="C119" s="189"/>
      <c r="D119" s="189"/>
      <c r="E119" s="189"/>
      <c r="F119" s="189"/>
      <c r="G119" s="189"/>
      <c r="H119" s="189"/>
      <c r="I119" s="189"/>
    </row>
  </sheetData>
  <autoFilter ref="I12:I91"/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9:I29"/>
    <mergeCell ref="A46:I46"/>
    <mergeCell ref="A57:I57"/>
    <mergeCell ref="A88:I88"/>
    <mergeCell ref="A92:I92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U115"/>
  <sheetViews>
    <sheetView tabSelected="1" topLeftCell="A63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149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9" t="s">
        <v>148</v>
      </c>
      <c r="B3" s="199"/>
      <c r="C3" s="199"/>
      <c r="D3" s="199"/>
      <c r="E3" s="199"/>
      <c r="F3" s="199"/>
      <c r="G3" s="199"/>
      <c r="H3" s="199"/>
      <c r="I3" s="199"/>
      <c r="J3" s="3"/>
      <c r="K3" s="3"/>
      <c r="L3" s="3"/>
    </row>
    <row r="4" spans="1:13" ht="31.5" customHeight="1">
      <c r="A4" s="200" t="s">
        <v>115</v>
      </c>
      <c r="B4" s="200"/>
      <c r="C4" s="200"/>
      <c r="D4" s="200"/>
      <c r="E4" s="200"/>
      <c r="F4" s="200"/>
      <c r="G4" s="200"/>
      <c r="H4" s="200"/>
      <c r="I4" s="200"/>
    </row>
    <row r="5" spans="1:13" ht="15.75" customHeight="1">
      <c r="A5" s="199" t="s">
        <v>274</v>
      </c>
      <c r="B5" s="203"/>
      <c r="C5" s="203"/>
      <c r="D5" s="203"/>
      <c r="E5" s="203"/>
      <c r="F5" s="203"/>
      <c r="G5" s="203"/>
      <c r="H5" s="203"/>
      <c r="I5" s="203"/>
      <c r="J5" s="2"/>
      <c r="K5" s="2"/>
      <c r="L5" s="2"/>
      <c r="M5" s="2"/>
    </row>
    <row r="6" spans="1:13" ht="15.75" customHeight="1">
      <c r="A6" s="2"/>
      <c r="B6" s="114"/>
      <c r="C6" s="114"/>
      <c r="D6" s="114"/>
      <c r="E6" s="114"/>
      <c r="F6" s="114"/>
      <c r="G6" s="114"/>
      <c r="H6" s="114"/>
      <c r="I6" s="32">
        <v>44561</v>
      </c>
      <c r="J6" s="2"/>
      <c r="K6" s="2"/>
      <c r="L6" s="2"/>
      <c r="M6" s="2"/>
    </row>
    <row r="7" spans="1:13" ht="15.75" customHeight="1">
      <c r="B7" s="112"/>
      <c r="C7" s="112"/>
      <c r="D7" s="112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201" t="s">
        <v>185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145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4" t="s">
        <v>59</v>
      </c>
      <c r="B14" s="204"/>
      <c r="C14" s="204"/>
      <c r="D14" s="204"/>
      <c r="E14" s="204"/>
      <c r="F14" s="204"/>
      <c r="G14" s="204"/>
      <c r="H14" s="204"/>
      <c r="I14" s="204"/>
      <c r="J14" s="8"/>
      <c r="K14" s="8"/>
      <c r="L14" s="8"/>
      <c r="M14" s="8"/>
    </row>
    <row r="15" spans="1:13" ht="15.75" customHeight="1">
      <c r="A15" s="205" t="s">
        <v>4</v>
      </c>
      <c r="B15" s="205"/>
      <c r="C15" s="205"/>
      <c r="D15" s="205"/>
      <c r="E15" s="205"/>
      <c r="F15" s="205"/>
      <c r="G15" s="205"/>
      <c r="H15" s="205"/>
      <c r="I15" s="205"/>
      <c r="J15" s="8"/>
      <c r="K15" s="8"/>
      <c r="L15" s="8"/>
      <c r="M15" s="8"/>
    </row>
    <row r="16" spans="1:13" ht="15.75" customHeight="1">
      <c r="A16" s="31">
        <v>1</v>
      </c>
      <c r="B16" s="34" t="s">
        <v>81</v>
      </c>
      <c r="C16" s="40" t="s">
        <v>85</v>
      </c>
      <c r="D16" s="34" t="s">
        <v>152</v>
      </c>
      <c r="E16" s="120">
        <v>47.52</v>
      </c>
      <c r="F16" s="121">
        <f>SUM(E16*156/100)</f>
        <v>74.131200000000007</v>
      </c>
      <c r="G16" s="121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92</v>
      </c>
      <c r="C17" s="40" t="s">
        <v>85</v>
      </c>
      <c r="D17" s="34" t="s">
        <v>153</v>
      </c>
      <c r="E17" s="120">
        <v>190.08</v>
      </c>
      <c r="F17" s="121">
        <f>SUM(E17*104/100)</f>
        <v>197.6832</v>
      </c>
      <c r="G17" s="121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93</v>
      </c>
      <c r="C18" s="40" t="s">
        <v>85</v>
      </c>
      <c r="D18" s="34" t="s">
        <v>156</v>
      </c>
      <c r="E18" s="120">
        <f>SUM(E16+E17)</f>
        <v>237.60000000000002</v>
      </c>
      <c r="F18" s="121">
        <f>SUM(E18*18/100)</f>
        <v>42.768000000000001</v>
      </c>
      <c r="G18" s="121">
        <v>752.16</v>
      </c>
      <c r="H18" s="95">
        <f t="shared" si="0"/>
        <v>32.168378879999999</v>
      </c>
      <c r="I18" s="13">
        <f>F18/18*1*G18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116</v>
      </c>
      <c r="C19" s="40" t="s">
        <v>117</v>
      </c>
      <c r="D19" s="34" t="s">
        <v>177</v>
      </c>
      <c r="E19" s="120">
        <v>18.48</v>
      </c>
      <c r="F19" s="121">
        <f>SUM(E19/10)</f>
        <v>1.8480000000000001</v>
      </c>
      <c r="G19" s="121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84</v>
      </c>
      <c r="C20" s="40" t="s">
        <v>85</v>
      </c>
      <c r="D20" s="34" t="s">
        <v>155</v>
      </c>
      <c r="E20" s="120">
        <v>10.5</v>
      </c>
      <c r="F20" s="121">
        <f>SUM(E20*12/100)</f>
        <v>1.26</v>
      </c>
      <c r="G20" s="121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90</v>
      </c>
      <c r="C21" s="40" t="s">
        <v>85</v>
      </c>
      <c r="D21" s="34" t="s">
        <v>155</v>
      </c>
      <c r="E21" s="120">
        <v>2.7</v>
      </c>
      <c r="F21" s="121">
        <f>SUM(E21*12/100)</f>
        <v>0.32400000000000007</v>
      </c>
      <c r="G21" s="121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86</v>
      </c>
      <c r="C22" s="40" t="s">
        <v>53</v>
      </c>
      <c r="D22" s="34" t="s">
        <v>177</v>
      </c>
      <c r="E22" s="120">
        <v>267.75</v>
      </c>
      <c r="F22" s="121">
        <f>SUM(E22/100)</f>
        <v>2.6775000000000002</v>
      </c>
      <c r="G22" s="121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87</v>
      </c>
      <c r="C23" s="40" t="s">
        <v>53</v>
      </c>
      <c r="D23" s="34" t="s">
        <v>178</v>
      </c>
      <c r="E23" s="145">
        <v>36</v>
      </c>
      <c r="F23" s="121">
        <f>SUM(E23/100)</f>
        <v>0.36</v>
      </c>
      <c r="G23" s="121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88</v>
      </c>
      <c r="C24" s="40" t="s">
        <v>53</v>
      </c>
      <c r="D24" s="34" t="s">
        <v>178</v>
      </c>
      <c r="E24" s="120">
        <v>15</v>
      </c>
      <c r="F24" s="121">
        <f>E24/100</f>
        <v>0.15</v>
      </c>
      <c r="G24" s="121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91</v>
      </c>
      <c r="C25" s="40" t="s">
        <v>85</v>
      </c>
      <c r="D25" s="34" t="s">
        <v>155</v>
      </c>
      <c r="E25" s="120">
        <v>14.25</v>
      </c>
      <c r="F25" s="121">
        <v>0.1</v>
      </c>
      <c r="G25" s="121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89</v>
      </c>
      <c r="C26" s="40" t="s">
        <v>53</v>
      </c>
      <c r="D26" s="34" t="s">
        <v>178</v>
      </c>
      <c r="E26" s="120">
        <v>6.38</v>
      </c>
      <c r="F26" s="121">
        <f>SUM(E26/100)</f>
        <v>6.3799999999999996E-2</v>
      </c>
      <c r="G26" s="121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hidden="1" customHeight="1">
      <c r="A27" s="31">
        <v>6</v>
      </c>
      <c r="B27" s="34" t="s">
        <v>151</v>
      </c>
      <c r="C27" s="40" t="s">
        <v>25</v>
      </c>
      <c r="D27" s="34" t="s">
        <v>157</v>
      </c>
      <c r="E27" s="129">
        <v>4.83</v>
      </c>
      <c r="F27" s="121">
        <f>SUM(E27*258)</f>
        <v>1246.1400000000001</v>
      </c>
      <c r="G27" s="121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hidden="1" customHeight="1">
      <c r="A28" s="31">
        <v>7</v>
      </c>
      <c r="B28" s="96" t="s">
        <v>23</v>
      </c>
      <c r="C28" s="92" t="s">
        <v>24</v>
      </c>
      <c r="D28" s="34"/>
      <c r="E28" s="93">
        <v>2581.1999999999998</v>
      </c>
      <c r="F28" s="94">
        <f>SUM(E28*12)</f>
        <v>30974.399999999998</v>
      </c>
      <c r="G28" s="94">
        <v>4.8099999999999996</v>
      </c>
      <c r="H28" s="95">
        <f t="shared" ref="H28" si="2">SUM(F28*G28/1000)</f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205" t="s">
        <v>80</v>
      </c>
      <c r="B29" s="205"/>
      <c r="C29" s="205"/>
      <c r="D29" s="205"/>
      <c r="E29" s="205"/>
      <c r="F29" s="205"/>
      <c r="G29" s="205"/>
      <c r="H29" s="205"/>
      <c r="I29" s="205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8</v>
      </c>
      <c r="B31" s="91" t="s">
        <v>94</v>
      </c>
      <c r="C31" s="92" t="s">
        <v>95</v>
      </c>
      <c r="D31" s="91" t="s">
        <v>96</v>
      </c>
      <c r="E31" s="94">
        <v>1167.4000000000001</v>
      </c>
      <c r="F31" s="94">
        <f>SUM(E31*52/1000)</f>
        <v>60.704800000000006</v>
      </c>
      <c r="G31" s="94">
        <v>155.88999999999999</v>
      </c>
      <c r="H31" s="95">
        <f t="shared" ref="H31:H33" si="3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hidden="1" customHeight="1">
      <c r="A32" s="41">
        <v>9</v>
      </c>
      <c r="B32" s="91" t="s">
        <v>129</v>
      </c>
      <c r="C32" s="92" t="s">
        <v>95</v>
      </c>
      <c r="D32" s="91" t="s">
        <v>97</v>
      </c>
      <c r="E32" s="94">
        <v>540.04999999999995</v>
      </c>
      <c r="F32" s="94">
        <f>SUM(E32*78/1000)</f>
        <v>42.123899999999992</v>
      </c>
      <c r="G32" s="94">
        <v>258.63</v>
      </c>
      <c r="H32" s="95">
        <f t="shared" si="3"/>
        <v>10.894504256999998</v>
      </c>
      <c r="I32" s="13">
        <f t="shared" ref="I32:I34" si="4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1" t="s">
        <v>27</v>
      </c>
      <c r="C33" s="92" t="s">
        <v>95</v>
      </c>
      <c r="D33" s="91" t="s">
        <v>54</v>
      </c>
      <c r="E33" s="94">
        <v>1167.4000000000001</v>
      </c>
      <c r="F33" s="94">
        <f>SUM(E33/1000)</f>
        <v>1.1674</v>
      </c>
      <c r="G33" s="94">
        <v>3020.33</v>
      </c>
      <c r="H33" s="95">
        <f t="shared" si="3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hidden="1" customHeight="1">
      <c r="A34" s="41">
        <v>10</v>
      </c>
      <c r="B34" s="91" t="s">
        <v>98</v>
      </c>
      <c r="C34" s="92" t="s">
        <v>30</v>
      </c>
      <c r="D34" s="91" t="s">
        <v>63</v>
      </c>
      <c r="E34" s="97">
        <v>0.33333333333333331</v>
      </c>
      <c r="F34" s="94">
        <f>155/3</f>
        <v>51.666666666666664</v>
      </c>
      <c r="G34" s="94">
        <v>56.69</v>
      </c>
      <c r="H34" s="95">
        <f>SUM(G34*155/3/1000)</f>
        <v>2.9289833333333331</v>
      </c>
      <c r="I34" s="13">
        <f t="shared" si="4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1" t="s">
        <v>64</v>
      </c>
      <c r="C35" s="92" t="s">
        <v>32</v>
      </c>
      <c r="D35" s="91" t="s">
        <v>65</v>
      </c>
      <c r="E35" s="93"/>
      <c r="F35" s="94">
        <v>3</v>
      </c>
      <c r="G35" s="94">
        <v>191.32</v>
      </c>
      <c r="H35" s="95">
        <f t="shared" ref="H35" si="5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6</v>
      </c>
      <c r="B37" s="91" t="s">
        <v>26</v>
      </c>
      <c r="C37" s="92" t="s">
        <v>31</v>
      </c>
      <c r="D37" s="91" t="s">
        <v>275</v>
      </c>
      <c r="E37" s="93"/>
      <c r="F37" s="94">
        <v>6</v>
      </c>
      <c r="G37" s="170">
        <v>1930</v>
      </c>
      <c r="H37" s="95">
        <f t="shared" ref="H37" si="6">SUM(F37*G37/1000)</f>
        <v>11.58</v>
      </c>
      <c r="I37" s="13">
        <f>G37*0.5</f>
        <v>965</v>
      </c>
      <c r="J37" s="24"/>
      <c r="K37" s="8"/>
      <c r="L37" s="8"/>
      <c r="M37" s="8"/>
    </row>
    <row r="38" spans="1:13" ht="15.75" customHeight="1">
      <c r="A38" s="35">
        <v>7</v>
      </c>
      <c r="B38" s="146" t="s">
        <v>66</v>
      </c>
      <c r="C38" s="147" t="s">
        <v>29</v>
      </c>
      <c r="D38" s="146" t="s">
        <v>158</v>
      </c>
      <c r="E38" s="148">
        <v>26.33</v>
      </c>
      <c r="F38" s="148">
        <f>SUM(E38*30/1000)</f>
        <v>0.78989999999999994</v>
      </c>
      <c r="G38" s="148">
        <v>3134.93</v>
      </c>
      <c r="H38" s="95">
        <f t="shared" ref="H38:H42" si="7">SUM(F38*G38/1000)</f>
        <v>2.4762812069999995</v>
      </c>
      <c r="I38" s="13">
        <f t="shared" ref="I38:I40" si="8">F38/6*G38</f>
        <v>412.71353449999992</v>
      </c>
      <c r="J38" s="24"/>
      <c r="K38" s="8"/>
      <c r="L38" s="8"/>
      <c r="M38" s="8"/>
    </row>
    <row r="39" spans="1:13" ht="15.75" customHeight="1">
      <c r="A39" s="35">
        <v>8</v>
      </c>
      <c r="B39" s="34" t="s">
        <v>165</v>
      </c>
      <c r="C39" s="40" t="s">
        <v>29</v>
      </c>
      <c r="D39" s="34" t="s">
        <v>159</v>
      </c>
      <c r="E39" s="121">
        <v>26.33</v>
      </c>
      <c r="F39" s="148">
        <f>SUM(E39*155/1000)</f>
        <v>4.0811500000000001</v>
      </c>
      <c r="G39" s="121">
        <v>522.92999999999995</v>
      </c>
      <c r="H39" s="95">
        <f t="shared" si="7"/>
        <v>2.1341557694999995</v>
      </c>
      <c r="I39" s="13">
        <f t="shared" si="8"/>
        <v>355.69262824999993</v>
      </c>
      <c r="J39" s="24"/>
      <c r="K39" s="8"/>
      <c r="L39" s="8"/>
      <c r="M39" s="8"/>
    </row>
    <row r="40" spans="1:13" ht="20.25" hidden="1" customHeight="1">
      <c r="A40" s="35">
        <v>10</v>
      </c>
      <c r="B40" s="34" t="s">
        <v>166</v>
      </c>
      <c r="C40" s="40" t="s">
        <v>167</v>
      </c>
      <c r="D40" s="34"/>
      <c r="E40" s="121"/>
      <c r="F40" s="148">
        <v>39</v>
      </c>
      <c r="G40" s="121">
        <v>330</v>
      </c>
      <c r="H40" s="95">
        <f t="shared" si="7"/>
        <v>12.87</v>
      </c>
      <c r="I40" s="13">
        <f t="shared" si="8"/>
        <v>2145</v>
      </c>
      <c r="J40" s="24"/>
      <c r="K40" s="8"/>
      <c r="L40" s="8"/>
      <c r="M40" s="8"/>
    </row>
    <row r="41" spans="1:13" ht="15.75" customHeight="1">
      <c r="A41" s="35">
        <v>9</v>
      </c>
      <c r="B41" s="34" t="s">
        <v>168</v>
      </c>
      <c r="C41" s="40" t="s">
        <v>95</v>
      </c>
      <c r="D41" s="34" t="s">
        <v>174</v>
      </c>
      <c r="E41" s="121">
        <v>26.33</v>
      </c>
      <c r="F41" s="148">
        <f>SUM(E41*35/1000)</f>
        <v>0.92154999999999998</v>
      </c>
      <c r="G41" s="121">
        <v>8652.07</v>
      </c>
      <c r="H41" s="95">
        <f t="shared" si="7"/>
        <v>7.9733151084999996</v>
      </c>
      <c r="I41" s="13">
        <f>G41*F41/6</f>
        <v>1328.8858514166666</v>
      </c>
      <c r="J41" s="24"/>
      <c r="K41" s="8"/>
      <c r="L41" s="8"/>
      <c r="M41" s="8"/>
    </row>
    <row r="42" spans="1:13" ht="15.75" hidden="1" customHeight="1">
      <c r="A42" s="171">
        <v>12</v>
      </c>
      <c r="B42" s="34" t="s">
        <v>100</v>
      </c>
      <c r="C42" s="40" t="s">
        <v>95</v>
      </c>
      <c r="D42" s="34" t="s">
        <v>156</v>
      </c>
      <c r="E42" s="121">
        <v>90.4</v>
      </c>
      <c r="F42" s="148">
        <f>SUM(E42*15/1000)</f>
        <v>1.3560000000000001</v>
      </c>
      <c r="G42" s="121">
        <v>639.1</v>
      </c>
      <c r="H42" s="95">
        <f t="shared" si="7"/>
        <v>0.86661960000000016</v>
      </c>
      <c r="I42" s="13">
        <f>G42*F42/15*1</f>
        <v>57.774640000000005</v>
      </c>
      <c r="J42" s="24"/>
      <c r="K42" s="8"/>
      <c r="L42" s="8"/>
      <c r="M42" s="8"/>
    </row>
    <row r="43" spans="1:13" ht="15.75" hidden="1" customHeight="1">
      <c r="A43" s="35"/>
      <c r="B43" s="146" t="s">
        <v>70</v>
      </c>
      <c r="C43" s="147" t="s">
        <v>32</v>
      </c>
      <c r="D43" s="146"/>
      <c r="E43" s="129"/>
      <c r="F43" s="148">
        <v>0.6</v>
      </c>
      <c r="G43" s="148">
        <v>900</v>
      </c>
      <c r="H43" s="84"/>
      <c r="I43" s="169">
        <f>G43*F43/15*1</f>
        <v>36</v>
      </c>
      <c r="J43" s="24"/>
      <c r="K43" s="8"/>
      <c r="L43" s="8"/>
      <c r="M43" s="8"/>
    </row>
    <row r="44" spans="1:13" ht="32.25" customHeight="1">
      <c r="A44" s="35">
        <v>10</v>
      </c>
      <c r="B44" s="34" t="s">
        <v>170</v>
      </c>
      <c r="C44" s="40" t="s">
        <v>29</v>
      </c>
      <c r="D44" s="34" t="s">
        <v>183</v>
      </c>
      <c r="E44" s="120">
        <v>1.2</v>
      </c>
      <c r="F44" s="121">
        <f>E44*12/1000</f>
        <v>1.4399999999999998E-2</v>
      </c>
      <c r="G44" s="121">
        <v>20547.34</v>
      </c>
      <c r="H44" s="84"/>
      <c r="I44" s="169">
        <f>G44*F44/6</f>
        <v>49.313615999999996</v>
      </c>
      <c r="J44" s="24"/>
      <c r="K44" s="8"/>
      <c r="L44" s="8"/>
      <c r="M44" s="8"/>
    </row>
    <row r="45" spans="1:13" ht="15.75" customHeight="1">
      <c r="A45" s="206" t="s">
        <v>126</v>
      </c>
      <c r="B45" s="207"/>
      <c r="C45" s="207"/>
      <c r="D45" s="207"/>
      <c r="E45" s="207"/>
      <c r="F45" s="207"/>
      <c r="G45" s="207"/>
      <c r="H45" s="207"/>
      <c r="I45" s="208"/>
      <c r="J45" s="24"/>
      <c r="K45" s="8"/>
      <c r="L45" s="8"/>
      <c r="M45" s="8"/>
    </row>
    <row r="46" spans="1:13" ht="15.75" hidden="1" customHeight="1">
      <c r="A46" s="41">
        <v>11</v>
      </c>
      <c r="B46" s="91" t="s">
        <v>101</v>
      </c>
      <c r="C46" s="92" t="s">
        <v>95</v>
      </c>
      <c r="D46" s="91" t="s">
        <v>42</v>
      </c>
      <c r="E46" s="93">
        <v>965.8</v>
      </c>
      <c r="F46" s="94">
        <f>SUM(E46*2/1000)</f>
        <v>1.9316</v>
      </c>
      <c r="G46" s="13">
        <v>849.49</v>
      </c>
      <c r="H46" s="95">
        <f t="shared" ref="H46:H55" si="9">SUM(F46*G46/1000)</f>
        <v>1.640874884</v>
      </c>
      <c r="I46" s="13">
        <f t="shared" ref="I46:I49" si="10">F46/2*G46</f>
        <v>820.43744200000003</v>
      </c>
      <c r="J46" s="24"/>
      <c r="K46" s="8"/>
    </row>
    <row r="47" spans="1:13" ht="15.75" hidden="1" customHeight="1">
      <c r="A47" s="41">
        <v>12</v>
      </c>
      <c r="B47" s="91" t="s">
        <v>35</v>
      </c>
      <c r="C47" s="92" t="s">
        <v>95</v>
      </c>
      <c r="D47" s="91" t="s">
        <v>42</v>
      </c>
      <c r="E47" s="93">
        <v>36</v>
      </c>
      <c r="F47" s="94">
        <f>SUM(E47*2/1000)</f>
        <v>7.1999999999999995E-2</v>
      </c>
      <c r="G47" s="13">
        <v>579.48</v>
      </c>
      <c r="H47" s="95">
        <f t="shared" si="9"/>
        <v>4.1722559999999999E-2</v>
      </c>
      <c r="I47" s="13">
        <f t="shared" si="10"/>
        <v>20.861280000000001</v>
      </c>
      <c r="J47" s="25"/>
    </row>
    <row r="48" spans="1:13" ht="15.75" hidden="1" customHeight="1">
      <c r="A48" s="41">
        <v>13</v>
      </c>
      <c r="B48" s="91" t="s">
        <v>36</v>
      </c>
      <c r="C48" s="92" t="s">
        <v>95</v>
      </c>
      <c r="D48" s="91" t="s">
        <v>42</v>
      </c>
      <c r="E48" s="93">
        <v>1197.7</v>
      </c>
      <c r="F48" s="94">
        <f>SUM(E48*2/1000)</f>
        <v>2.3954</v>
      </c>
      <c r="G48" s="13">
        <v>579.48</v>
      </c>
      <c r="H48" s="95">
        <f t="shared" si="9"/>
        <v>1.3880863919999999</v>
      </c>
      <c r="I48" s="13">
        <f t="shared" si="10"/>
        <v>694.04319599999997</v>
      </c>
      <c r="J48" s="25"/>
    </row>
    <row r="49" spans="1:14" ht="15.75" hidden="1" customHeight="1">
      <c r="A49" s="41">
        <v>14</v>
      </c>
      <c r="B49" s="91" t="s">
        <v>37</v>
      </c>
      <c r="C49" s="92" t="s">
        <v>95</v>
      </c>
      <c r="D49" s="91" t="s">
        <v>42</v>
      </c>
      <c r="E49" s="93">
        <v>2275.92</v>
      </c>
      <c r="F49" s="94">
        <f>SUM(E49*2/1000)</f>
        <v>4.5518400000000003</v>
      </c>
      <c r="G49" s="13">
        <v>606.77</v>
      </c>
      <c r="H49" s="95">
        <f t="shared" si="9"/>
        <v>2.7619199567999999</v>
      </c>
      <c r="I49" s="13">
        <f t="shared" si="10"/>
        <v>1380.9599784</v>
      </c>
      <c r="J49" s="25"/>
    </row>
    <row r="50" spans="1:14" ht="15.75" hidden="1" customHeight="1">
      <c r="A50" s="41">
        <v>15</v>
      </c>
      <c r="B50" s="91" t="s">
        <v>33</v>
      </c>
      <c r="C50" s="92" t="s">
        <v>34</v>
      </c>
      <c r="D50" s="91" t="s">
        <v>42</v>
      </c>
      <c r="E50" s="93">
        <v>81.709999999999994</v>
      </c>
      <c r="F50" s="94">
        <f>SUM(E50*2/100)</f>
        <v>1.6341999999999999</v>
      </c>
      <c r="G50" s="13">
        <v>68.56</v>
      </c>
      <c r="H50" s="95">
        <f t="shared" si="9"/>
        <v>0.11204075199999999</v>
      </c>
      <c r="I50" s="13">
        <f>F50/2*G50</f>
        <v>56.020375999999999</v>
      </c>
      <c r="J50" s="25"/>
    </row>
    <row r="51" spans="1:14" ht="15.75" customHeight="1">
      <c r="A51" s="41">
        <v>11</v>
      </c>
      <c r="B51" s="91" t="s">
        <v>56</v>
      </c>
      <c r="C51" s="92" t="s">
        <v>95</v>
      </c>
      <c r="D51" s="91" t="s">
        <v>156</v>
      </c>
      <c r="E51" s="93">
        <v>1711.8</v>
      </c>
      <c r="F51" s="94">
        <f>SUM(E51*5/1000)</f>
        <v>8.5589999999999993</v>
      </c>
      <c r="G51" s="131">
        <v>1809.27</v>
      </c>
      <c r="H51" s="95">
        <f t="shared" si="9"/>
        <v>15.48554193</v>
      </c>
      <c r="I51" s="13">
        <f>F51/5*G51</f>
        <v>3097.1083859999994</v>
      </c>
      <c r="J51" s="25"/>
    </row>
    <row r="52" spans="1:14" ht="31.5" hidden="1" customHeight="1">
      <c r="A52" s="41">
        <v>17</v>
      </c>
      <c r="B52" s="91" t="s">
        <v>102</v>
      </c>
      <c r="C52" s="92" t="s">
        <v>95</v>
      </c>
      <c r="D52" s="91" t="s">
        <v>42</v>
      </c>
      <c r="E52" s="93">
        <v>1711.8</v>
      </c>
      <c r="F52" s="94">
        <f>SUM(E52*2/1000)</f>
        <v>3.4236</v>
      </c>
      <c r="G52" s="13">
        <v>1213.55</v>
      </c>
      <c r="H52" s="95">
        <f t="shared" si="9"/>
        <v>4.1547097800000001</v>
      </c>
      <c r="I52" s="13">
        <f>F52/2*G52</f>
        <v>2077.3548900000001</v>
      </c>
      <c r="J52" s="25"/>
    </row>
    <row r="53" spans="1:14" ht="31.5" hidden="1" customHeight="1">
      <c r="A53" s="41">
        <v>18</v>
      </c>
      <c r="B53" s="91" t="s">
        <v>103</v>
      </c>
      <c r="C53" s="92" t="s">
        <v>38</v>
      </c>
      <c r="D53" s="91" t="s">
        <v>42</v>
      </c>
      <c r="E53" s="93">
        <v>15</v>
      </c>
      <c r="F53" s="94">
        <f>SUM(E53*2/100)</f>
        <v>0.3</v>
      </c>
      <c r="G53" s="13">
        <v>2730.49</v>
      </c>
      <c r="H53" s="95">
        <f t="shared" si="9"/>
        <v>0.81914699999999996</v>
      </c>
      <c r="I53" s="13">
        <f t="shared" ref="I53:I54" si="11">F53/2*G53</f>
        <v>409.57349999999997</v>
      </c>
      <c r="J53" s="25"/>
    </row>
    <row r="54" spans="1:14" ht="15.75" hidden="1" customHeight="1">
      <c r="A54" s="41">
        <v>19</v>
      </c>
      <c r="B54" s="91" t="s">
        <v>39</v>
      </c>
      <c r="C54" s="92" t="s">
        <v>40</v>
      </c>
      <c r="D54" s="91" t="s">
        <v>42</v>
      </c>
      <c r="E54" s="93">
        <v>1</v>
      </c>
      <c r="F54" s="94">
        <v>0.02</v>
      </c>
      <c r="G54" s="13">
        <v>5322.15</v>
      </c>
      <c r="H54" s="95">
        <f t="shared" si="9"/>
        <v>0.106443</v>
      </c>
      <c r="I54" s="13">
        <f t="shared" si="11"/>
        <v>53.221499999999999</v>
      </c>
      <c r="J54" s="25"/>
      <c r="L54" s="21"/>
      <c r="M54" s="22"/>
      <c r="N54" s="23"/>
    </row>
    <row r="55" spans="1:14" ht="15.75" hidden="1" customHeight="1">
      <c r="A55" s="41">
        <v>13</v>
      </c>
      <c r="B55" s="91" t="s">
        <v>41</v>
      </c>
      <c r="C55" s="92" t="s">
        <v>82</v>
      </c>
      <c r="D55" s="130">
        <v>44190</v>
      </c>
      <c r="E55" s="93">
        <v>90</v>
      </c>
      <c r="F55" s="94">
        <f>SUM(E55)*3</f>
        <v>270</v>
      </c>
      <c r="G55" s="161">
        <v>97.93</v>
      </c>
      <c r="H55" s="95">
        <f t="shared" si="9"/>
        <v>26.441100000000002</v>
      </c>
      <c r="I55" s="13">
        <f>E55*G55</f>
        <v>8813.7000000000007</v>
      </c>
      <c r="J55" s="25"/>
      <c r="L55" s="21"/>
      <c r="M55" s="22"/>
      <c r="N55" s="23"/>
    </row>
    <row r="56" spans="1:14" ht="15.75" customHeight="1">
      <c r="A56" s="206" t="s">
        <v>127</v>
      </c>
      <c r="B56" s="207"/>
      <c r="C56" s="207"/>
      <c r="D56" s="207"/>
      <c r="E56" s="207"/>
      <c r="F56" s="207"/>
      <c r="G56" s="207"/>
      <c r="H56" s="207"/>
      <c r="I56" s="208"/>
      <c r="J56" s="25"/>
      <c r="L56" s="21"/>
      <c r="M56" s="22"/>
      <c r="N56" s="23"/>
    </row>
    <row r="57" spans="1:14" ht="15.75" customHeight="1">
      <c r="A57" s="116"/>
      <c r="B57" s="48" t="s">
        <v>43</v>
      </c>
      <c r="C57" s="17"/>
      <c r="D57" s="16"/>
      <c r="E57" s="16"/>
      <c r="F57" s="16"/>
      <c r="G57" s="31"/>
      <c r="H57" s="31"/>
      <c r="I57" s="19"/>
      <c r="J57" s="25"/>
      <c r="L57" s="21"/>
      <c r="M57" s="22"/>
      <c r="N57" s="23"/>
    </row>
    <row r="58" spans="1:14" ht="31.5" customHeight="1">
      <c r="A58" s="41">
        <v>12</v>
      </c>
      <c r="B58" s="91" t="s">
        <v>104</v>
      </c>
      <c r="C58" s="92" t="s">
        <v>85</v>
      </c>
      <c r="D58" s="91"/>
      <c r="E58" s="93">
        <v>96.58</v>
      </c>
      <c r="F58" s="94">
        <f>SUM(E58*6/100)</f>
        <v>5.7948000000000004</v>
      </c>
      <c r="G58" s="68">
        <v>2306.83</v>
      </c>
      <c r="H58" s="95">
        <f>SUM(F58*G58/1000)</f>
        <v>13.367618484000001</v>
      </c>
      <c r="I58" s="13">
        <f>G58*1.368</f>
        <v>3155.7434400000002</v>
      </c>
      <c r="J58" s="25"/>
      <c r="L58" s="21"/>
      <c r="M58" s="22"/>
      <c r="N58" s="23"/>
    </row>
    <row r="59" spans="1:14" ht="31.5" customHeight="1">
      <c r="A59" s="41">
        <v>13</v>
      </c>
      <c r="B59" s="34" t="s">
        <v>190</v>
      </c>
      <c r="C59" s="40" t="s">
        <v>85</v>
      </c>
      <c r="D59" s="34"/>
      <c r="E59" s="120">
        <v>50.2</v>
      </c>
      <c r="F59" s="122">
        <f>E59*12/100</f>
        <v>6.0240000000000009</v>
      </c>
      <c r="G59" s="37">
        <v>2306.83</v>
      </c>
      <c r="H59" s="84"/>
      <c r="I59" s="13">
        <f>G59*F59/6</f>
        <v>2316.0573200000003</v>
      </c>
      <c r="J59" s="25"/>
      <c r="L59" s="21"/>
      <c r="M59" s="22"/>
      <c r="N59" s="23"/>
    </row>
    <row r="60" spans="1:14" ht="18" customHeight="1">
      <c r="A60" s="41">
        <v>14</v>
      </c>
      <c r="B60" s="34" t="s">
        <v>134</v>
      </c>
      <c r="C60" s="40" t="s">
        <v>135</v>
      </c>
      <c r="D60" s="34" t="s">
        <v>276</v>
      </c>
      <c r="E60" s="120"/>
      <c r="F60" s="122">
        <v>10</v>
      </c>
      <c r="G60" s="37">
        <v>1800</v>
      </c>
      <c r="H60" s="84"/>
      <c r="I60" s="13">
        <f>G60*2</f>
        <v>3600</v>
      </c>
      <c r="J60" s="25"/>
      <c r="L60" s="21"/>
      <c r="M60" s="22"/>
      <c r="N60" s="23"/>
    </row>
    <row r="61" spans="1:14" ht="15.75" customHeight="1">
      <c r="A61" s="41"/>
      <c r="B61" s="67" t="s">
        <v>44</v>
      </c>
      <c r="C61" s="40"/>
      <c r="D61" s="34"/>
      <c r="E61" s="19"/>
      <c r="F61" s="85"/>
      <c r="G61" s="37"/>
      <c r="H61" s="68"/>
      <c r="I61" s="20"/>
      <c r="J61" s="25"/>
      <c r="L61" s="21"/>
      <c r="M61" s="22"/>
      <c r="N61" s="23"/>
    </row>
    <row r="62" spans="1:14" ht="15.75" hidden="1" customHeight="1">
      <c r="A62" s="41"/>
      <c r="B62" s="91" t="s">
        <v>45</v>
      </c>
      <c r="C62" s="92" t="s">
        <v>85</v>
      </c>
      <c r="D62" s="91" t="s">
        <v>54</v>
      </c>
      <c r="E62" s="93">
        <v>855.9</v>
      </c>
      <c r="F62" s="95">
        <v>8.6</v>
      </c>
      <c r="G62" s="13">
        <v>747.3</v>
      </c>
      <c r="H62" s="98">
        <v>6.4</v>
      </c>
      <c r="I62" s="13">
        <v>0</v>
      </c>
      <c r="J62" s="25"/>
      <c r="L62" s="21"/>
      <c r="M62" s="22"/>
      <c r="N62" s="23"/>
    </row>
    <row r="63" spans="1:14" ht="15.75" customHeight="1">
      <c r="A63" s="41">
        <v>15</v>
      </c>
      <c r="B63" s="91" t="s">
        <v>83</v>
      </c>
      <c r="C63" s="92" t="s">
        <v>25</v>
      </c>
      <c r="D63" s="91" t="s">
        <v>156</v>
      </c>
      <c r="E63" s="93">
        <v>256</v>
      </c>
      <c r="F63" s="95">
        <v>1560</v>
      </c>
      <c r="G63" s="13">
        <v>1.4</v>
      </c>
      <c r="H63" s="98">
        <f>F63*G63/1000</f>
        <v>2.1840000000000002</v>
      </c>
      <c r="I63" s="13">
        <f>F63/12*G63</f>
        <v>182</v>
      </c>
      <c r="J63" s="25"/>
      <c r="L63" s="21"/>
      <c r="M63" s="22"/>
      <c r="N63" s="23"/>
    </row>
    <row r="64" spans="1:14" ht="15.75" hidden="1" customHeight="1">
      <c r="A64" s="41"/>
      <c r="B64" s="67" t="s">
        <v>121</v>
      </c>
      <c r="C64" s="40"/>
      <c r="D64" s="34"/>
      <c r="E64" s="19"/>
      <c r="F64" s="85"/>
      <c r="G64" s="69"/>
      <c r="H64" s="68"/>
      <c r="I64" s="20"/>
      <c r="J64" s="25"/>
      <c r="L64" s="21"/>
      <c r="M64" s="22"/>
      <c r="N64" s="23"/>
    </row>
    <row r="65" spans="1:14" ht="15.75" hidden="1" customHeight="1">
      <c r="A65" s="41"/>
      <c r="B65" s="91" t="s">
        <v>122</v>
      </c>
      <c r="C65" s="92" t="s">
        <v>82</v>
      </c>
      <c r="D65" s="91" t="s">
        <v>65</v>
      </c>
      <c r="E65" s="93">
        <v>2</v>
      </c>
      <c r="F65" s="94">
        <f>SUM(E65)</f>
        <v>2</v>
      </c>
      <c r="G65" s="99">
        <v>237.75</v>
      </c>
      <c r="H65" s="95">
        <f t="shared" ref="H65" si="12">SUM(F65*G65/1000)</f>
        <v>0.47549999999999998</v>
      </c>
      <c r="I65" s="13">
        <v>0</v>
      </c>
      <c r="J65" s="25"/>
      <c r="L65" s="21"/>
      <c r="M65" s="22"/>
      <c r="N65" s="23"/>
    </row>
    <row r="66" spans="1:14" ht="22.5" hidden="1" customHeight="1">
      <c r="A66" s="41"/>
      <c r="B66" s="115" t="s">
        <v>46</v>
      </c>
      <c r="C66" s="17"/>
      <c r="D66" s="16"/>
      <c r="E66" s="16"/>
      <c r="F66" s="86"/>
      <c r="G66" s="65"/>
      <c r="H66" s="68"/>
      <c r="I66" s="19"/>
      <c r="J66" s="25"/>
      <c r="L66" s="21"/>
      <c r="M66" s="22"/>
      <c r="N66" s="23"/>
    </row>
    <row r="67" spans="1:14" ht="19.5" hidden="1" customHeight="1">
      <c r="A67" s="41">
        <v>16</v>
      </c>
      <c r="B67" s="15" t="s">
        <v>47</v>
      </c>
      <c r="C67" s="17" t="s">
        <v>82</v>
      </c>
      <c r="D67" s="91" t="s">
        <v>156</v>
      </c>
      <c r="E67" s="19">
        <v>10</v>
      </c>
      <c r="F67" s="94">
        <v>10</v>
      </c>
      <c r="G67" s="13">
        <v>222.4</v>
      </c>
      <c r="H67" s="100">
        <f t="shared" ref="H67:H74" si="13">SUM(F67*G67/1000)</f>
        <v>2.2240000000000002</v>
      </c>
      <c r="I67" s="13">
        <f>G67</f>
        <v>222.4</v>
      </c>
      <c r="J67" s="25"/>
      <c r="L67" s="21"/>
      <c r="M67" s="22"/>
      <c r="N67" s="23"/>
    </row>
    <row r="68" spans="1:14" ht="16.5" hidden="1" customHeight="1">
      <c r="A68" s="31">
        <v>29</v>
      </c>
      <c r="B68" s="15" t="s">
        <v>48</v>
      </c>
      <c r="C68" s="17" t="s">
        <v>82</v>
      </c>
      <c r="D68" s="91" t="s">
        <v>65</v>
      </c>
      <c r="E68" s="19">
        <v>5</v>
      </c>
      <c r="F68" s="94">
        <v>5</v>
      </c>
      <c r="G68" s="13">
        <v>75.25</v>
      </c>
      <c r="H68" s="100">
        <f t="shared" si="13"/>
        <v>0.37624999999999997</v>
      </c>
      <c r="I68" s="13">
        <v>0</v>
      </c>
      <c r="J68" s="25"/>
      <c r="L68" s="21"/>
      <c r="M68" s="22"/>
      <c r="N68" s="23"/>
    </row>
    <row r="69" spans="1:14" ht="20.25" hidden="1" customHeight="1">
      <c r="A69" s="31">
        <v>25</v>
      </c>
      <c r="B69" s="15" t="s">
        <v>49</v>
      </c>
      <c r="C69" s="17" t="s">
        <v>106</v>
      </c>
      <c r="D69" s="15" t="s">
        <v>54</v>
      </c>
      <c r="E69" s="93">
        <v>13018</v>
      </c>
      <c r="F69" s="13">
        <f>SUM(E69/100)</f>
        <v>130.18</v>
      </c>
      <c r="G69" s="13">
        <v>212.15</v>
      </c>
      <c r="H69" s="100">
        <f t="shared" si="13"/>
        <v>27.617687</v>
      </c>
      <c r="I69" s="13">
        <f>F69*G69</f>
        <v>27617.687000000002</v>
      </c>
      <c r="J69" s="25"/>
      <c r="L69" s="21"/>
      <c r="M69" s="22"/>
      <c r="N69" s="23"/>
    </row>
    <row r="70" spans="1:14" ht="18.75" hidden="1" customHeight="1">
      <c r="A70" s="31">
        <v>26</v>
      </c>
      <c r="B70" s="15" t="s">
        <v>50</v>
      </c>
      <c r="C70" s="17" t="s">
        <v>107</v>
      </c>
      <c r="D70" s="15"/>
      <c r="E70" s="93">
        <v>13018</v>
      </c>
      <c r="F70" s="13">
        <f>SUM(E70/1000)</f>
        <v>13.018000000000001</v>
      </c>
      <c r="G70" s="13">
        <v>165.21</v>
      </c>
      <c r="H70" s="100">
        <f t="shared" si="13"/>
        <v>2.1507037800000002</v>
      </c>
      <c r="I70" s="13">
        <f t="shared" ref="I70:I74" si="14">F70*G70</f>
        <v>2150.7037800000003</v>
      </c>
      <c r="J70" s="25"/>
      <c r="L70" s="21"/>
      <c r="M70" s="22"/>
      <c r="N70" s="23"/>
    </row>
    <row r="71" spans="1:14" ht="16.5" hidden="1" customHeight="1">
      <c r="A71" s="31">
        <v>27</v>
      </c>
      <c r="B71" s="15" t="s">
        <v>51</v>
      </c>
      <c r="C71" s="17" t="s">
        <v>76</v>
      </c>
      <c r="D71" s="15" t="s">
        <v>54</v>
      </c>
      <c r="E71" s="93">
        <v>1279</v>
      </c>
      <c r="F71" s="13">
        <f>SUM(E71/100)</f>
        <v>12.79</v>
      </c>
      <c r="G71" s="13">
        <v>2074.63</v>
      </c>
      <c r="H71" s="100">
        <f t="shared" si="13"/>
        <v>26.534517700000002</v>
      </c>
      <c r="I71" s="13">
        <f t="shared" si="14"/>
        <v>26534.5177</v>
      </c>
      <c r="J71" s="25"/>
      <c r="L71" s="21"/>
      <c r="M71" s="22"/>
      <c r="N71" s="23"/>
    </row>
    <row r="72" spans="1:14" ht="18" hidden="1" customHeight="1">
      <c r="A72" s="31">
        <v>28</v>
      </c>
      <c r="B72" s="101" t="s">
        <v>108</v>
      </c>
      <c r="C72" s="17" t="s">
        <v>32</v>
      </c>
      <c r="D72" s="15"/>
      <c r="E72" s="93">
        <v>12</v>
      </c>
      <c r="F72" s="13">
        <f>SUM(E72)</f>
        <v>12</v>
      </c>
      <c r="G72" s="13">
        <v>45.32</v>
      </c>
      <c r="H72" s="100">
        <f t="shared" si="13"/>
        <v>0.54383999999999999</v>
      </c>
      <c r="I72" s="13">
        <f t="shared" si="14"/>
        <v>543.84</v>
      </c>
      <c r="J72" s="25"/>
      <c r="L72" s="21"/>
      <c r="M72" s="22"/>
      <c r="N72" s="23"/>
    </row>
    <row r="73" spans="1:14" ht="18" hidden="1" customHeight="1">
      <c r="A73" s="31">
        <v>29</v>
      </c>
      <c r="B73" s="101" t="s">
        <v>109</v>
      </c>
      <c r="C73" s="17" t="s">
        <v>32</v>
      </c>
      <c r="D73" s="15"/>
      <c r="E73" s="93">
        <v>12</v>
      </c>
      <c r="F73" s="13">
        <f>SUM(E73)</f>
        <v>12</v>
      </c>
      <c r="G73" s="13">
        <v>42.28</v>
      </c>
      <c r="H73" s="100">
        <f t="shared" si="13"/>
        <v>0.50736000000000003</v>
      </c>
      <c r="I73" s="13">
        <f t="shared" si="14"/>
        <v>507.36</v>
      </c>
      <c r="J73" s="25"/>
      <c r="L73" s="21"/>
      <c r="M73" s="22"/>
      <c r="N73" s="23"/>
    </row>
    <row r="74" spans="1:14" ht="18" hidden="1" customHeight="1">
      <c r="A74" s="31">
        <v>22</v>
      </c>
      <c r="B74" s="15" t="s">
        <v>57</v>
      </c>
      <c r="C74" s="17" t="s">
        <v>58</v>
      </c>
      <c r="D74" s="15" t="s">
        <v>54</v>
      </c>
      <c r="E74" s="19">
        <v>1</v>
      </c>
      <c r="F74" s="94">
        <f>SUM(E74)</f>
        <v>1</v>
      </c>
      <c r="G74" s="13">
        <v>49.88</v>
      </c>
      <c r="H74" s="100">
        <f t="shared" si="13"/>
        <v>4.9880000000000001E-2</v>
      </c>
      <c r="I74" s="13">
        <f t="shared" si="14"/>
        <v>49.88</v>
      </c>
      <c r="J74" s="25"/>
      <c r="L74" s="21"/>
      <c r="M74" s="22"/>
      <c r="N74" s="23"/>
    </row>
    <row r="75" spans="1:14" ht="18" customHeight="1">
      <c r="A75" s="31"/>
      <c r="B75" s="135" t="s">
        <v>162</v>
      </c>
      <c r="C75" s="38"/>
      <c r="D75" s="119"/>
      <c r="E75" s="18"/>
      <c r="F75" s="68"/>
      <c r="G75" s="37"/>
      <c r="H75" s="133"/>
      <c r="I75" s="134"/>
      <c r="J75" s="25"/>
      <c r="L75" s="21"/>
      <c r="M75" s="22"/>
      <c r="N75" s="23"/>
    </row>
    <row r="76" spans="1:14" ht="33" customHeight="1">
      <c r="A76" s="31">
        <v>16</v>
      </c>
      <c r="B76" s="119" t="s">
        <v>163</v>
      </c>
      <c r="C76" s="41" t="s">
        <v>164</v>
      </c>
      <c r="D76" s="119"/>
      <c r="E76" s="18">
        <v>2581.1999999999998</v>
      </c>
      <c r="F76" s="37">
        <f>E76*12</f>
        <v>30974.399999999998</v>
      </c>
      <c r="G76" s="37">
        <v>2.6</v>
      </c>
      <c r="H76" s="133"/>
      <c r="I76" s="134">
        <f>G76*F76/12</f>
        <v>6711.12</v>
      </c>
      <c r="J76" s="25"/>
      <c r="L76" s="21"/>
      <c r="M76" s="22"/>
      <c r="N76" s="23"/>
    </row>
    <row r="77" spans="1:14" ht="16.5" customHeight="1">
      <c r="A77" s="116"/>
      <c r="B77" s="115" t="s">
        <v>110</v>
      </c>
      <c r="C77" s="115"/>
      <c r="D77" s="115"/>
      <c r="E77" s="115"/>
      <c r="F77" s="115"/>
      <c r="G77" s="115"/>
      <c r="H77" s="115"/>
      <c r="I77" s="19"/>
      <c r="J77" s="25"/>
      <c r="L77" s="21"/>
      <c r="M77" s="22"/>
      <c r="N77" s="23"/>
    </row>
    <row r="78" spans="1:14" ht="15.75" customHeight="1">
      <c r="A78" s="31">
        <v>17</v>
      </c>
      <c r="B78" s="91" t="s">
        <v>111</v>
      </c>
      <c r="C78" s="17"/>
      <c r="D78" s="15"/>
      <c r="E78" s="85"/>
      <c r="F78" s="13">
        <v>1</v>
      </c>
      <c r="G78" s="13">
        <v>654.5</v>
      </c>
      <c r="H78" s="100">
        <f>G78*F78/1000</f>
        <v>0.65449999999999997</v>
      </c>
      <c r="I78" s="13">
        <f>G78</f>
        <v>654.5</v>
      </c>
      <c r="J78" s="25"/>
      <c r="L78" s="21"/>
      <c r="M78" s="22"/>
      <c r="N78" s="23"/>
    </row>
    <row r="79" spans="1:14" ht="20.25" customHeight="1">
      <c r="A79" s="31"/>
      <c r="B79" s="49" t="s">
        <v>72</v>
      </c>
      <c r="C79" s="49"/>
      <c r="D79" s="49"/>
      <c r="E79" s="19"/>
      <c r="F79" s="19"/>
      <c r="G79" s="31"/>
      <c r="H79" s="31"/>
      <c r="I79" s="19"/>
      <c r="J79" s="25"/>
      <c r="L79" s="21"/>
      <c r="M79" s="22"/>
      <c r="N79" s="23"/>
    </row>
    <row r="80" spans="1:14" ht="19.5" hidden="1" customHeight="1">
      <c r="A80" s="31">
        <v>23</v>
      </c>
      <c r="B80" s="15" t="s">
        <v>73</v>
      </c>
      <c r="C80" s="17" t="s">
        <v>74</v>
      </c>
      <c r="D80" s="15" t="s">
        <v>65</v>
      </c>
      <c r="E80" s="19">
        <v>5</v>
      </c>
      <c r="F80" s="13">
        <v>0.5</v>
      </c>
      <c r="G80" s="13">
        <v>501.62</v>
      </c>
      <c r="H80" s="100">
        <f t="shared" ref="H80:H82" si="15">SUM(F80*G80/1000)</f>
        <v>0.25080999999999998</v>
      </c>
      <c r="I80" s="13">
        <f>G80*0.2</f>
        <v>100.32400000000001</v>
      </c>
      <c r="J80" s="25"/>
      <c r="L80" s="21"/>
      <c r="M80" s="22"/>
      <c r="N80" s="23"/>
    </row>
    <row r="81" spans="1:21" ht="15.75" hidden="1" customHeight="1">
      <c r="A81" s="31"/>
      <c r="B81" s="15" t="s">
        <v>123</v>
      </c>
      <c r="C81" s="17" t="s">
        <v>82</v>
      </c>
      <c r="D81" s="15"/>
      <c r="E81" s="19">
        <v>1</v>
      </c>
      <c r="F81" s="84">
        <f>E81</f>
        <v>1</v>
      </c>
      <c r="G81" s="13">
        <v>852.99</v>
      </c>
      <c r="H81" s="100">
        <f t="shared" si="15"/>
        <v>0.85299000000000003</v>
      </c>
      <c r="I81" s="13">
        <v>0</v>
      </c>
      <c r="J81" s="25"/>
      <c r="L81" s="21"/>
      <c r="M81" s="22"/>
      <c r="N81" s="23"/>
    </row>
    <row r="82" spans="1:21" ht="20.25" hidden="1" customHeight="1">
      <c r="A82" s="31"/>
      <c r="B82" s="15" t="s">
        <v>124</v>
      </c>
      <c r="C82" s="17" t="s">
        <v>82</v>
      </c>
      <c r="D82" s="15"/>
      <c r="E82" s="19">
        <v>1</v>
      </c>
      <c r="F82" s="94">
        <f>SUM(E82)</f>
        <v>1</v>
      </c>
      <c r="G82" s="13">
        <v>358.51</v>
      </c>
      <c r="H82" s="100">
        <f t="shared" si="15"/>
        <v>0.35851</v>
      </c>
      <c r="I82" s="13">
        <v>0</v>
      </c>
      <c r="J82" s="25"/>
      <c r="L82" s="21"/>
      <c r="M82" s="22"/>
      <c r="N82" s="23"/>
    </row>
    <row r="83" spans="1:21" ht="20.25" customHeight="1">
      <c r="A83" s="31">
        <v>18</v>
      </c>
      <c r="B83" s="119" t="s">
        <v>171</v>
      </c>
      <c r="C83" s="38" t="s">
        <v>82</v>
      </c>
      <c r="D83" s="119" t="s">
        <v>155</v>
      </c>
      <c r="E83" s="18">
        <v>2</v>
      </c>
      <c r="F83" s="68">
        <f>E83*12</f>
        <v>24</v>
      </c>
      <c r="G83" s="37">
        <v>420</v>
      </c>
      <c r="H83" s="100"/>
      <c r="I83" s="13">
        <f>G83*2</f>
        <v>840</v>
      </c>
      <c r="J83" s="25"/>
      <c r="L83" s="21"/>
      <c r="M83" s="22"/>
      <c r="N83" s="23"/>
    </row>
    <row r="84" spans="1:21" ht="14.25" hidden="1" customHeight="1">
      <c r="A84" s="31"/>
      <c r="B84" s="50" t="s">
        <v>75</v>
      </c>
      <c r="C84" s="38"/>
      <c r="D84" s="31"/>
      <c r="E84" s="19"/>
      <c r="F84" s="19"/>
      <c r="G84" s="37" t="s">
        <v>112</v>
      </c>
      <c r="H84" s="37"/>
      <c r="I84" s="19"/>
      <c r="J84" s="25"/>
      <c r="L84" s="21"/>
      <c r="M84" s="22"/>
      <c r="N84" s="23"/>
    </row>
    <row r="85" spans="1:21" ht="18" hidden="1" customHeight="1">
      <c r="A85" s="31">
        <v>12</v>
      </c>
      <c r="B85" s="52" t="s">
        <v>113</v>
      </c>
      <c r="C85" s="17" t="s">
        <v>76</v>
      </c>
      <c r="D85" s="15"/>
      <c r="E85" s="19"/>
      <c r="F85" s="13">
        <v>0.3</v>
      </c>
      <c r="G85" s="13">
        <v>2759.44</v>
      </c>
      <c r="H85" s="100">
        <f t="shared" ref="H85" si="16">SUM(F85*G85/1000)</f>
        <v>0.82783200000000001</v>
      </c>
      <c r="I85" s="13">
        <v>0</v>
      </c>
      <c r="J85" s="25"/>
      <c r="L85" s="21"/>
      <c r="M85" s="22"/>
      <c r="N85" s="23"/>
    </row>
    <row r="86" spans="1:21" ht="15.75" customHeight="1">
      <c r="A86" s="210" t="s">
        <v>128</v>
      </c>
      <c r="B86" s="211"/>
      <c r="C86" s="211"/>
      <c r="D86" s="211"/>
      <c r="E86" s="211"/>
      <c r="F86" s="211"/>
      <c r="G86" s="211"/>
      <c r="H86" s="211"/>
      <c r="I86" s="212"/>
      <c r="J86" s="25"/>
      <c r="L86" s="21"/>
      <c r="M86" s="22"/>
      <c r="N86" s="23"/>
    </row>
    <row r="87" spans="1:21" ht="15.75" customHeight="1">
      <c r="A87" s="31">
        <v>19</v>
      </c>
      <c r="B87" s="119" t="s">
        <v>114</v>
      </c>
      <c r="C87" s="38" t="s">
        <v>55</v>
      </c>
      <c r="D87" s="160"/>
      <c r="E87" s="37">
        <v>2581.1999999999998</v>
      </c>
      <c r="F87" s="37">
        <f>SUM(E87*12)</f>
        <v>30974.399999999998</v>
      </c>
      <c r="G87" s="37">
        <v>3.5</v>
      </c>
      <c r="H87" s="155">
        <f>SUM(F87*G87/1000)</f>
        <v>108.4104</v>
      </c>
      <c r="I87" s="13">
        <f>F87/12*G87</f>
        <v>9034.1999999999989</v>
      </c>
      <c r="J87" s="25"/>
      <c r="L87" s="21"/>
    </row>
    <row r="88" spans="1:21" ht="31.5" customHeight="1">
      <c r="A88" s="31">
        <v>20</v>
      </c>
      <c r="B88" s="157" t="s">
        <v>172</v>
      </c>
      <c r="C88" s="150" t="s">
        <v>55</v>
      </c>
      <c r="D88" s="158"/>
      <c r="E88" s="159">
        <f>E87</f>
        <v>2581.1999999999998</v>
      </c>
      <c r="F88" s="152">
        <f>E88*12</f>
        <v>30974.399999999998</v>
      </c>
      <c r="G88" s="152">
        <v>3.2</v>
      </c>
      <c r="H88" s="100">
        <f>F88*G88/1000</f>
        <v>99.118080000000006</v>
      </c>
      <c r="I88" s="13">
        <f>F88/12*G88</f>
        <v>8259.84</v>
      </c>
    </row>
    <row r="89" spans="1:21" ht="15.75" customHeight="1">
      <c r="A89" s="116"/>
      <c r="B89" s="39" t="s">
        <v>78</v>
      </c>
      <c r="C89" s="41"/>
      <c r="D89" s="16"/>
      <c r="E89" s="16"/>
      <c r="F89" s="16"/>
      <c r="G89" s="19"/>
      <c r="H89" s="19"/>
      <c r="I89" s="33">
        <f>I88++I87+I83+I78+I76+I63+I60+I59+I58+I51+I44+I41+I39+I38+I37+I21+I20+I18+I17+I16</f>
        <v>48714.271046166672</v>
      </c>
    </row>
    <row r="90" spans="1:21" ht="15.75" customHeight="1">
      <c r="A90" s="213" t="s">
        <v>60</v>
      </c>
      <c r="B90" s="214"/>
      <c r="C90" s="214"/>
      <c r="D90" s="214"/>
      <c r="E90" s="214"/>
      <c r="F90" s="214"/>
      <c r="G90" s="214"/>
      <c r="H90" s="214"/>
      <c r="I90" s="215"/>
    </row>
    <row r="91" spans="1:21" ht="15.75" customHeight="1">
      <c r="A91" s="42">
        <v>21</v>
      </c>
      <c r="B91" s="117" t="s">
        <v>212</v>
      </c>
      <c r="C91" s="118" t="s">
        <v>186</v>
      </c>
      <c r="D91" s="66" t="s">
        <v>277</v>
      </c>
      <c r="E91" s="37"/>
      <c r="F91" s="37">
        <v>2</v>
      </c>
      <c r="G91" s="37">
        <v>231.54</v>
      </c>
      <c r="H91" s="42"/>
      <c r="I91" s="42">
        <f>G91*1</f>
        <v>231.54</v>
      </c>
    </row>
    <row r="92" spans="1:21" ht="15.75" customHeight="1">
      <c r="A92" s="31"/>
      <c r="B92" s="46" t="s">
        <v>52</v>
      </c>
      <c r="C92" s="42"/>
      <c r="D92" s="54"/>
      <c r="E92" s="42">
        <v>1</v>
      </c>
      <c r="F92" s="42"/>
      <c r="G92" s="42"/>
      <c r="H92" s="42"/>
      <c r="I92" s="33">
        <f>I91</f>
        <v>231.54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ht="15.75" customHeight="1">
      <c r="A93" s="31"/>
      <c r="B93" s="52" t="s">
        <v>77</v>
      </c>
      <c r="C93" s="16"/>
      <c r="D93" s="16"/>
      <c r="E93" s="43"/>
      <c r="F93" s="43"/>
      <c r="G93" s="44"/>
      <c r="H93" s="44"/>
      <c r="I93" s="18">
        <v>0</v>
      </c>
    </row>
    <row r="94" spans="1:21" ht="15.75" customHeight="1">
      <c r="A94" s="55"/>
      <c r="B94" s="47" t="s">
        <v>131</v>
      </c>
      <c r="C94" s="36"/>
      <c r="D94" s="36"/>
      <c r="E94" s="36"/>
      <c r="F94" s="36"/>
      <c r="G94" s="36"/>
      <c r="H94" s="36"/>
      <c r="I94" s="45">
        <f>I89+I92</f>
        <v>48945.811046166673</v>
      </c>
    </row>
    <row r="95" spans="1:21" ht="15.75" customHeight="1">
      <c r="A95" s="209" t="s">
        <v>278</v>
      </c>
      <c r="B95" s="209"/>
      <c r="C95" s="209"/>
      <c r="D95" s="209"/>
      <c r="E95" s="209"/>
      <c r="F95" s="209"/>
      <c r="G95" s="209"/>
      <c r="H95" s="209"/>
      <c r="I95" s="209"/>
    </row>
    <row r="96" spans="1:21" ht="15.75" customHeight="1">
      <c r="A96" s="77"/>
      <c r="B96" s="190" t="s">
        <v>279</v>
      </c>
      <c r="C96" s="190"/>
      <c r="D96" s="190"/>
      <c r="E96" s="190"/>
      <c r="F96" s="190"/>
      <c r="G96" s="190"/>
      <c r="H96" s="89"/>
      <c r="I96" s="3"/>
    </row>
    <row r="97" spans="1:9" ht="15.75" customHeight="1">
      <c r="A97" s="111"/>
      <c r="B97" s="191" t="s">
        <v>6</v>
      </c>
      <c r="C97" s="191"/>
      <c r="D97" s="191"/>
      <c r="E97" s="191"/>
      <c r="F97" s="191"/>
      <c r="G97" s="191"/>
      <c r="H97" s="26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92" t="s">
        <v>7</v>
      </c>
      <c r="B99" s="192"/>
      <c r="C99" s="192"/>
      <c r="D99" s="192"/>
      <c r="E99" s="192"/>
      <c r="F99" s="192"/>
      <c r="G99" s="192"/>
      <c r="H99" s="192"/>
      <c r="I99" s="192"/>
    </row>
    <row r="100" spans="1:9" ht="15.75" customHeight="1">
      <c r="A100" s="192" t="s">
        <v>8</v>
      </c>
      <c r="B100" s="192"/>
      <c r="C100" s="192"/>
      <c r="D100" s="192"/>
      <c r="E100" s="192"/>
      <c r="F100" s="192"/>
      <c r="G100" s="192"/>
      <c r="H100" s="192"/>
      <c r="I100" s="192"/>
    </row>
    <row r="101" spans="1:9" ht="15.75" customHeight="1">
      <c r="A101" s="195" t="s">
        <v>61</v>
      </c>
      <c r="B101" s="195"/>
      <c r="C101" s="195"/>
      <c r="D101" s="195"/>
      <c r="E101" s="195"/>
      <c r="F101" s="195"/>
      <c r="G101" s="195"/>
      <c r="H101" s="195"/>
      <c r="I101" s="195"/>
    </row>
    <row r="102" spans="1:9" ht="15.75" customHeight="1">
      <c r="A102" s="11"/>
    </row>
    <row r="103" spans="1:9" ht="15.75" customHeight="1">
      <c r="A103" s="196" t="s">
        <v>9</v>
      </c>
      <c r="B103" s="196"/>
      <c r="C103" s="196"/>
      <c r="D103" s="196"/>
      <c r="E103" s="196"/>
      <c r="F103" s="196"/>
      <c r="G103" s="196"/>
      <c r="H103" s="196"/>
      <c r="I103" s="196"/>
    </row>
    <row r="104" spans="1:9" ht="15.75" customHeight="1">
      <c r="A104" s="4"/>
    </row>
    <row r="105" spans="1:9" ht="15.75" customHeight="1">
      <c r="B105" s="112" t="s">
        <v>10</v>
      </c>
      <c r="C105" s="197" t="s">
        <v>182</v>
      </c>
      <c r="D105" s="197"/>
      <c r="E105" s="197"/>
      <c r="F105" s="87"/>
      <c r="I105" s="113"/>
    </row>
    <row r="106" spans="1:9" ht="15.75" customHeight="1">
      <c r="A106" s="111"/>
      <c r="C106" s="191" t="s">
        <v>11</v>
      </c>
      <c r="D106" s="191"/>
      <c r="E106" s="191"/>
      <c r="F106" s="26"/>
      <c r="I106" s="110" t="s">
        <v>12</v>
      </c>
    </row>
    <row r="107" spans="1:9" ht="15.75" customHeight="1">
      <c r="A107" s="27"/>
      <c r="C107" s="12"/>
      <c r="D107" s="12"/>
      <c r="G107" s="12"/>
      <c r="H107" s="12"/>
    </row>
    <row r="108" spans="1:9" ht="15.75" customHeight="1">
      <c r="B108" s="112" t="s">
        <v>13</v>
      </c>
      <c r="C108" s="198"/>
      <c r="D108" s="198"/>
      <c r="E108" s="198"/>
      <c r="F108" s="88"/>
      <c r="I108" s="113"/>
    </row>
    <row r="109" spans="1:9" ht="15.75" customHeight="1">
      <c r="A109" s="111"/>
      <c r="C109" s="194" t="s">
        <v>11</v>
      </c>
      <c r="D109" s="194"/>
      <c r="E109" s="194"/>
      <c r="F109" s="111"/>
      <c r="I109" s="110" t="s">
        <v>12</v>
      </c>
    </row>
    <row r="110" spans="1:9" ht="15.75" customHeight="1">
      <c r="A110" s="4" t="s">
        <v>14</v>
      </c>
    </row>
    <row r="111" spans="1:9">
      <c r="A111" s="193" t="s">
        <v>15</v>
      </c>
      <c r="B111" s="193"/>
      <c r="C111" s="193"/>
      <c r="D111" s="193"/>
      <c r="E111" s="193"/>
      <c r="F111" s="193"/>
      <c r="G111" s="193"/>
      <c r="H111" s="193"/>
      <c r="I111" s="193"/>
    </row>
    <row r="112" spans="1:9" ht="45" customHeight="1">
      <c r="A112" s="189" t="s">
        <v>16</v>
      </c>
      <c r="B112" s="189"/>
      <c r="C112" s="189"/>
      <c r="D112" s="189"/>
      <c r="E112" s="189"/>
      <c r="F112" s="189"/>
      <c r="G112" s="189"/>
      <c r="H112" s="189"/>
      <c r="I112" s="189"/>
    </row>
    <row r="113" spans="1:9" ht="30" customHeight="1">
      <c r="A113" s="189" t="s">
        <v>17</v>
      </c>
      <c r="B113" s="189"/>
      <c r="C113" s="189"/>
      <c r="D113" s="189"/>
      <c r="E113" s="189"/>
      <c r="F113" s="189"/>
      <c r="G113" s="189"/>
      <c r="H113" s="189"/>
      <c r="I113" s="189"/>
    </row>
    <row r="114" spans="1:9" ht="30" customHeight="1">
      <c r="A114" s="189" t="s">
        <v>21</v>
      </c>
      <c r="B114" s="189"/>
      <c r="C114" s="189"/>
      <c r="D114" s="189"/>
      <c r="E114" s="189"/>
      <c r="F114" s="189"/>
      <c r="G114" s="189"/>
      <c r="H114" s="189"/>
      <c r="I114" s="189"/>
    </row>
    <row r="115" spans="1:9" ht="15" customHeight="1">
      <c r="A115" s="189" t="s">
        <v>20</v>
      </c>
      <c r="B115" s="189"/>
      <c r="C115" s="189"/>
      <c r="D115" s="189"/>
      <c r="E115" s="189"/>
      <c r="F115" s="189"/>
      <c r="G115" s="189"/>
      <c r="H115" s="189"/>
      <c r="I115" s="189"/>
    </row>
  </sheetData>
  <autoFilter ref="I12:I89"/>
  <mergeCells count="28">
    <mergeCell ref="A14:I14"/>
    <mergeCell ref="A3:I3"/>
    <mergeCell ref="A4:I4"/>
    <mergeCell ref="A5:I5"/>
    <mergeCell ref="A8:I8"/>
    <mergeCell ref="A10:I10"/>
    <mergeCell ref="A101:I101"/>
    <mergeCell ref="A15:I15"/>
    <mergeCell ref="A29:I29"/>
    <mergeCell ref="A45:I45"/>
    <mergeCell ref="A56:I56"/>
    <mergeCell ref="A86:I86"/>
    <mergeCell ref="A90:I90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04.20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'04.20'!Область_печати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2021-02-03T12:16:41Z</cp:lastPrinted>
  <dcterms:created xsi:type="dcterms:W3CDTF">2016-03-25T08:33:47Z</dcterms:created>
  <dcterms:modified xsi:type="dcterms:W3CDTF">2022-02-11T06:21:36Z</dcterms:modified>
</cp:coreProperties>
</file>