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225" windowWidth="15480" windowHeight="11280" activeTab="11"/>
  </bookViews>
  <sheets>
    <sheet name="01.18" sheetId="27" r:id="rId1"/>
    <sheet name="02.18" sheetId="28" r:id="rId2"/>
    <sheet name="03.18" sheetId="29" r:id="rId3"/>
    <sheet name="04.18" sheetId="30" r:id="rId4"/>
    <sheet name="05.18" sheetId="31" r:id="rId5"/>
    <sheet name="06.18" sheetId="32" r:id="rId6"/>
    <sheet name="07.18" sheetId="33" r:id="rId7"/>
    <sheet name="08.18" sheetId="34" r:id="rId8"/>
    <sheet name="09.18" sheetId="35" r:id="rId9"/>
    <sheet name="10.18" sheetId="36" r:id="rId10"/>
    <sheet name="11.18" sheetId="37" r:id="rId11"/>
    <sheet name="12.18" sheetId="38" r:id="rId12"/>
    <sheet name="юбьмрмить" sheetId="15" state="hidden" r:id="rId13"/>
  </sheets>
  <definedNames>
    <definedName name="_xlnm._FilterDatabase" localSheetId="0" hidden="1">'01.18'!$I$12:$I$80</definedName>
    <definedName name="_xlnm._FilterDatabase" localSheetId="1" hidden="1">'02.18'!$I$12:$I$80</definedName>
    <definedName name="_xlnm._FilterDatabase" localSheetId="2" hidden="1">'03.18'!$I$12:$I$80</definedName>
    <definedName name="_xlnm._FilterDatabase" localSheetId="3" hidden="1">'04.18'!$I$12:$I$80</definedName>
    <definedName name="_xlnm._FilterDatabase" localSheetId="4" hidden="1">'05.18'!$I$12:$I$80</definedName>
    <definedName name="_xlnm._FilterDatabase" localSheetId="5" hidden="1">'06.18'!$I$12:$I$80</definedName>
    <definedName name="_xlnm._FilterDatabase" localSheetId="6" hidden="1">'07.18'!$I$12:$I$80</definedName>
    <definedName name="_xlnm._FilterDatabase" localSheetId="7" hidden="1">'08.18'!$I$12:$I$80</definedName>
    <definedName name="_xlnm._FilterDatabase" localSheetId="8" hidden="1">'09.18'!$I$12:$I$80</definedName>
    <definedName name="_xlnm._FilterDatabase" localSheetId="9" hidden="1">'10.18'!$I$12:$I$80</definedName>
    <definedName name="_xlnm._FilterDatabase" localSheetId="10" hidden="1">'11.18'!$I$12:$I$80</definedName>
    <definedName name="_xlnm._FilterDatabase" localSheetId="11" hidden="1">'12.18'!$I$12:$I$80</definedName>
    <definedName name="_xlnm._FilterDatabase" localSheetId="12" hidden="1">юбьмрмить!$G$15:$G$76</definedName>
    <definedName name="_xlnm.Print_Area" localSheetId="0">'01.18'!$A$1:$I$112</definedName>
    <definedName name="_xlnm.Print_Area" localSheetId="1">'02.18'!$A$1:$I$112</definedName>
    <definedName name="_xlnm.Print_Area" localSheetId="2">'03.18'!$A$1:$I$110</definedName>
    <definedName name="_xlnm.Print_Area" localSheetId="3">'04.18'!$A$1:$I$125</definedName>
    <definedName name="_xlnm.Print_Area" localSheetId="4">'05.18'!$A$1:$I$110</definedName>
    <definedName name="_xlnm.Print_Area" localSheetId="5">'06.18'!$A$1:$I$111</definedName>
    <definedName name="_xlnm.Print_Area" localSheetId="6">'07.18'!$A$1:$I$112</definedName>
    <definedName name="_xlnm.Print_Area" localSheetId="7">'08.18'!$A$1:$I$118</definedName>
    <definedName name="_xlnm.Print_Area" localSheetId="8">'09.18'!$A$1:$I$115</definedName>
    <definedName name="_xlnm.Print_Area" localSheetId="9">'10.18'!$A$1:$I$112</definedName>
    <definedName name="_xlnm.Print_Area" localSheetId="10">'11.18'!$A$1:$I$112</definedName>
    <definedName name="_xlnm.Print_Area" localSheetId="11">'12.18'!$A$1:$I$111</definedName>
    <definedName name="_xlnm.Print_Area" localSheetId="12">юбьмрмить!$A$1:$G$188</definedName>
  </definedNames>
  <calcPr calcId="124519"/>
</workbook>
</file>

<file path=xl/calcChain.xml><?xml version="1.0" encoding="utf-8"?>
<calcChain xmlns="http://schemas.openxmlformats.org/spreadsheetml/2006/main">
  <c r="I84" i="38"/>
  <c r="I88"/>
  <c r="I87"/>
  <c r="I86"/>
  <c r="I61"/>
  <c r="H61"/>
  <c r="I44"/>
  <c r="I43"/>
  <c r="I84" i="37"/>
  <c r="I89"/>
  <c r="I88"/>
  <c r="I87"/>
  <c r="I86"/>
  <c r="I44"/>
  <c r="I43"/>
  <c r="I63" i="36" l="1"/>
  <c r="I88"/>
  <c r="I87"/>
  <c r="I86"/>
  <c r="I84" i="35" l="1"/>
  <c r="I92"/>
  <c r="I89"/>
  <c r="I88"/>
  <c r="I87"/>
  <c r="I86"/>
  <c r="I95" i="34"/>
  <c r="I92"/>
  <c r="I91"/>
  <c r="I90"/>
  <c r="I89"/>
  <c r="I88"/>
  <c r="I87"/>
  <c r="I86"/>
  <c r="I57" i="30" l="1"/>
  <c r="I84" i="29"/>
  <c r="I57" i="28"/>
  <c r="I84" i="27"/>
  <c r="I89" i="33" l="1"/>
  <c r="I84"/>
  <c r="I87"/>
  <c r="I86"/>
  <c r="I80"/>
  <c r="I84" i="32"/>
  <c r="I86" l="1"/>
  <c r="I87"/>
  <c r="I80"/>
  <c r="I70"/>
  <c r="I86" i="31"/>
  <c r="I19"/>
  <c r="I87" i="29"/>
  <c r="I86"/>
  <c r="I102" i="30" l="1"/>
  <c r="I84"/>
  <c r="I101" l="1"/>
  <c r="I100"/>
  <c r="I99"/>
  <c r="I97"/>
  <c r="G98"/>
  <c r="I98" s="1"/>
  <c r="I96"/>
  <c r="I95"/>
  <c r="I94"/>
  <c r="I93"/>
  <c r="I92"/>
  <c r="I91"/>
  <c r="I90"/>
  <c r="I89"/>
  <c r="I88"/>
  <c r="I86"/>
  <c r="I87"/>
  <c r="I61"/>
  <c r="I58"/>
  <c r="I44"/>
  <c r="F61" i="29"/>
  <c r="I44"/>
  <c r="I44" i="28"/>
  <c r="I43"/>
  <c r="I44" i="27"/>
  <c r="I43"/>
  <c r="I87" i="28" l="1"/>
  <c r="I86"/>
  <c r="H88"/>
  <c r="H87"/>
  <c r="H86"/>
  <c r="F61"/>
  <c r="I58"/>
  <c r="I89" i="27"/>
  <c r="I88"/>
  <c r="H88"/>
  <c r="I87"/>
  <c r="H87"/>
  <c r="I86"/>
  <c r="H86"/>
  <c r="I63"/>
  <c r="F61"/>
  <c r="H61" s="1"/>
  <c r="I89" i="28" l="1"/>
  <c r="I58" i="29" l="1"/>
  <c r="H86" i="38" l="1"/>
  <c r="F83"/>
  <c r="I83" s="1"/>
  <c r="F82"/>
  <c r="H82" s="1"/>
  <c r="I80"/>
  <c r="H80"/>
  <c r="H78"/>
  <c r="H76"/>
  <c r="H75"/>
  <c r="H74"/>
  <c r="F73"/>
  <c r="H73" s="1"/>
  <c r="F71"/>
  <c r="I71" s="1"/>
  <c r="I70"/>
  <c r="H70"/>
  <c r="F69"/>
  <c r="H69" s="1"/>
  <c r="F68"/>
  <c r="I68" s="1"/>
  <c r="F67"/>
  <c r="H67" s="1"/>
  <c r="F66"/>
  <c r="I66" s="1"/>
  <c r="F65"/>
  <c r="H65" s="1"/>
  <c r="F64"/>
  <c r="H64" s="1"/>
  <c r="I63"/>
  <c r="F63"/>
  <c r="H63" s="1"/>
  <c r="F60"/>
  <c r="H60" s="1"/>
  <c r="I58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44"/>
  <c r="F43"/>
  <c r="H43" s="1"/>
  <c r="F42"/>
  <c r="I42" s="1"/>
  <c r="F41"/>
  <c r="H41" s="1"/>
  <c r="H40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7" i="37"/>
  <c r="H86"/>
  <c r="I80"/>
  <c r="I63"/>
  <c r="I58"/>
  <c r="H88"/>
  <c r="F83"/>
  <c r="I83" s="1"/>
  <c r="F82"/>
  <c r="H82" s="1"/>
  <c r="H80"/>
  <c r="H78"/>
  <c r="H76"/>
  <c r="H75"/>
  <c r="H74"/>
  <c r="F73"/>
  <c r="H73" s="1"/>
  <c r="F71"/>
  <c r="H71" s="1"/>
  <c r="I70"/>
  <c r="H70"/>
  <c r="F69"/>
  <c r="I69" s="1"/>
  <c r="F68"/>
  <c r="H68" s="1"/>
  <c r="F67"/>
  <c r="I67" s="1"/>
  <c r="F66"/>
  <c r="H66" s="1"/>
  <c r="F65"/>
  <c r="I65" s="1"/>
  <c r="F64"/>
  <c r="H64" s="1"/>
  <c r="F63"/>
  <c r="H63" s="1"/>
  <c r="H6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H26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H18" s="1"/>
  <c r="F17"/>
  <c r="H17" s="1"/>
  <c r="F16"/>
  <c r="I16" s="1"/>
  <c r="H88" i="36"/>
  <c r="H87"/>
  <c r="H86"/>
  <c r="I89" l="1"/>
  <c r="I18" i="38"/>
  <c r="H18"/>
  <c r="I16"/>
  <c r="H17"/>
  <c r="I19"/>
  <c r="H20"/>
  <c r="I21"/>
  <c r="H22"/>
  <c r="I23"/>
  <c r="H24"/>
  <c r="I26"/>
  <c r="H27"/>
  <c r="I28"/>
  <c r="H31"/>
  <c r="I32"/>
  <c r="H33"/>
  <c r="H34"/>
  <c r="I39"/>
  <c r="I41"/>
  <c r="H42"/>
  <c r="H46"/>
  <c r="I47"/>
  <c r="H48"/>
  <c r="I49"/>
  <c r="H50"/>
  <c r="I51"/>
  <c r="H52"/>
  <c r="H57"/>
  <c r="I65"/>
  <c r="H66"/>
  <c r="I67"/>
  <c r="H68"/>
  <c r="I69"/>
  <c r="H71"/>
  <c r="I82"/>
  <c r="H83"/>
  <c r="H19" i="37"/>
  <c r="H23"/>
  <c r="H28"/>
  <c r="H51"/>
  <c r="H16"/>
  <c r="H21"/>
  <c r="H41"/>
  <c r="H83"/>
  <c r="H65"/>
  <c r="H69"/>
  <c r="H67"/>
  <c r="H47"/>
  <c r="H32"/>
  <c r="H39"/>
  <c r="H43"/>
  <c r="H49"/>
  <c r="I24"/>
  <c r="I27"/>
  <c r="I31"/>
  <c r="I34"/>
  <c r="I42"/>
  <c r="I46"/>
  <c r="I50"/>
  <c r="I52"/>
  <c r="I57"/>
  <c r="I61"/>
  <c r="I66"/>
  <c r="I68"/>
  <c r="I71"/>
  <c r="I82"/>
  <c r="I17"/>
  <c r="I18"/>
  <c r="I20"/>
  <c r="I22"/>
  <c r="I33"/>
  <c r="I48"/>
  <c r="I90" i="38" l="1"/>
  <c r="I91" i="37"/>
  <c r="F83" i="36" l="1"/>
  <c r="I83" s="1"/>
  <c r="F82"/>
  <c r="H82" s="1"/>
  <c r="H80"/>
  <c r="H78"/>
  <c r="H76"/>
  <c r="H75"/>
  <c r="H74"/>
  <c r="H73"/>
  <c r="F73"/>
  <c r="F71"/>
  <c r="H71" s="1"/>
  <c r="I70"/>
  <c r="H70"/>
  <c r="F69"/>
  <c r="I69" s="1"/>
  <c r="F68"/>
  <c r="H68" s="1"/>
  <c r="F67"/>
  <c r="I67" s="1"/>
  <c r="F66"/>
  <c r="H66" s="1"/>
  <c r="F65"/>
  <c r="I65" s="1"/>
  <c r="F64"/>
  <c r="H64" s="1"/>
  <c r="F63"/>
  <c r="H63" s="1"/>
  <c r="H6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H86" i="35"/>
  <c r="I70"/>
  <c r="H83"/>
  <c r="F83"/>
  <c r="I83" s="1"/>
  <c r="F82"/>
  <c r="H82" s="1"/>
  <c r="H80"/>
  <c r="H78"/>
  <c r="H76"/>
  <c r="H75"/>
  <c r="H74"/>
  <c r="H73"/>
  <c r="F73"/>
  <c r="F71"/>
  <c r="H71" s="1"/>
  <c r="H70"/>
  <c r="F69"/>
  <c r="H69" s="1"/>
  <c r="F68"/>
  <c r="I68" s="1"/>
  <c r="F67"/>
  <c r="H67" s="1"/>
  <c r="F66"/>
  <c r="I66" s="1"/>
  <c r="F65"/>
  <c r="H65" s="1"/>
  <c r="F64"/>
  <c r="H64" s="1"/>
  <c r="F63"/>
  <c r="H63" s="1"/>
  <c r="I61"/>
  <c r="F60"/>
  <c r="H60" s="1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I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F83" i="34"/>
  <c r="I83" s="1"/>
  <c r="F82"/>
  <c r="H82" s="1"/>
  <c r="H80"/>
  <c r="H78"/>
  <c r="H76"/>
  <c r="H75"/>
  <c r="H74"/>
  <c r="F73"/>
  <c r="H73" s="1"/>
  <c r="F71"/>
  <c r="H71" s="1"/>
  <c r="H70"/>
  <c r="F69"/>
  <c r="H69" s="1"/>
  <c r="F68"/>
  <c r="I68" s="1"/>
  <c r="F67"/>
  <c r="H67" s="1"/>
  <c r="F66"/>
  <c r="I66" s="1"/>
  <c r="F65"/>
  <c r="H65" s="1"/>
  <c r="F64"/>
  <c r="H64" s="1"/>
  <c r="F63"/>
  <c r="H63" s="1"/>
  <c r="I61"/>
  <c r="F60"/>
  <c r="H60" s="1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8" i="33"/>
  <c r="H87"/>
  <c r="H86"/>
  <c r="F83"/>
  <c r="I83" s="1"/>
  <c r="F82"/>
  <c r="H82" s="1"/>
  <c r="H80"/>
  <c r="H78"/>
  <c r="H76"/>
  <c r="H75"/>
  <c r="H74"/>
  <c r="F73"/>
  <c r="H73" s="1"/>
  <c r="F71"/>
  <c r="H71" s="1"/>
  <c r="H70"/>
  <c r="F69"/>
  <c r="H69" s="1"/>
  <c r="F68"/>
  <c r="I68" s="1"/>
  <c r="F67"/>
  <c r="H67" s="1"/>
  <c r="F66"/>
  <c r="I66" s="1"/>
  <c r="F65"/>
  <c r="H65" s="1"/>
  <c r="F64"/>
  <c r="H64" s="1"/>
  <c r="F63"/>
  <c r="H63" s="1"/>
  <c r="I61"/>
  <c r="F60"/>
  <c r="H60" s="1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I44"/>
  <c r="H44"/>
  <c r="F43"/>
  <c r="H43" s="1"/>
  <c r="F42"/>
  <c r="I42" s="1"/>
  <c r="F41"/>
  <c r="H41" s="1"/>
  <c r="H40"/>
  <c r="F39"/>
  <c r="H39" s="1"/>
  <c r="I38"/>
  <c r="H38"/>
  <c r="H36"/>
  <c r="H35"/>
  <c r="F34"/>
  <c r="I34" s="1"/>
  <c r="E34"/>
  <c r="F33"/>
  <c r="I33" s="1"/>
  <c r="F32"/>
  <c r="H32" s="1"/>
  <c r="F31"/>
  <c r="I31" s="1"/>
  <c r="F28"/>
  <c r="H28" s="1"/>
  <c r="F27"/>
  <c r="I27" s="1"/>
  <c r="F26"/>
  <c r="H26" s="1"/>
  <c r="I25"/>
  <c r="H25"/>
  <c r="F24"/>
  <c r="I24" s="1"/>
  <c r="F23"/>
  <c r="H23" s="1"/>
  <c r="F22"/>
  <c r="I22" s="1"/>
  <c r="F21"/>
  <c r="H21" s="1"/>
  <c r="F20"/>
  <c r="I20" s="1"/>
  <c r="F19"/>
  <c r="H19" s="1"/>
  <c r="E18"/>
  <c r="F18" s="1"/>
  <c r="F17"/>
  <c r="I17" s="1"/>
  <c r="F16"/>
  <c r="H16" s="1"/>
  <c r="H87" i="32"/>
  <c r="H86"/>
  <c r="F83"/>
  <c r="H83" s="1"/>
  <c r="F82"/>
  <c r="I82" s="1"/>
  <c r="H80"/>
  <c r="H78"/>
  <c r="H76"/>
  <c r="H75"/>
  <c r="H74"/>
  <c r="H73"/>
  <c r="F73"/>
  <c r="F71"/>
  <c r="I71" s="1"/>
  <c r="H70"/>
  <c r="F69"/>
  <c r="I69" s="1"/>
  <c r="F68"/>
  <c r="H68" s="1"/>
  <c r="F67"/>
  <c r="I67" s="1"/>
  <c r="F66"/>
  <c r="H66" s="1"/>
  <c r="F65"/>
  <c r="I65" s="1"/>
  <c r="F64"/>
  <c r="H64" s="1"/>
  <c r="F63"/>
  <c r="H63" s="1"/>
  <c r="H6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I26" s="1"/>
  <c r="I25"/>
  <c r="H25"/>
  <c r="F24"/>
  <c r="H24" s="1"/>
  <c r="F23"/>
  <c r="I23" s="1"/>
  <c r="F22"/>
  <c r="H22" s="1"/>
  <c r="F21"/>
  <c r="I21" s="1"/>
  <c r="F20"/>
  <c r="H20" s="1"/>
  <c r="F19"/>
  <c r="I19" s="1"/>
  <c r="E18"/>
  <c r="F18" s="1"/>
  <c r="F17"/>
  <c r="H17" s="1"/>
  <c r="F16"/>
  <c r="I16" s="1"/>
  <c r="I87" i="31"/>
  <c r="F86"/>
  <c r="H86" s="1"/>
  <c r="I25"/>
  <c r="F83"/>
  <c r="I83" s="1"/>
  <c r="F82"/>
  <c r="H82" s="1"/>
  <c r="H80"/>
  <c r="H78"/>
  <c r="H76"/>
  <c r="H75"/>
  <c r="H74"/>
  <c r="F73"/>
  <c r="H73" s="1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H6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I44"/>
  <c r="H44"/>
  <c r="F43"/>
  <c r="I43" s="1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H86" i="30"/>
  <c r="F83"/>
  <c r="I83" s="1"/>
  <c r="F82"/>
  <c r="H82" s="1"/>
  <c r="H80"/>
  <c r="H78"/>
  <c r="H76"/>
  <c r="H75"/>
  <c r="H74"/>
  <c r="F73"/>
  <c r="H73" s="1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1"/>
  <c r="H61" s="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I43" s="1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F83" i="29"/>
  <c r="H83" s="1"/>
  <c r="F82"/>
  <c r="I82" s="1"/>
  <c r="H80"/>
  <c r="H78"/>
  <c r="H76"/>
  <c r="H75"/>
  <c r="H74"/>
  <c r="F73"/>
  <c r="H73" s="1"/>
  <c r="F71"/>
  <c r="I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I61"/>
  <c r="F60"/>
  <c r="H60" s="1"/>
  <c r="H58"/>
  <c r="F57"/>
  <c r="I57" s="1"/>
  <c r="I54"/>
  <c r="F54"/>
  <c r="H54" s="1"/>
  <c r="I53"/>
  <c r="H53"/>
  <c r="F52"/>
  <c r="I52" s="1"/>
  <c r="F51"/>
  <c r="H51" s="1"/>
  <c r="F50"/>
  <c r="I50" s="1"/>
  <c r="F49"/>
  <c r="H49" s="1"/>
  <c r="F48"/>
  <c r="I48" s="1"/>
  <c r="F47"/>
  <c r="H47" s="1"/>
  <c r="F46"/>
  <c r="I46" s="1"/>
  <c r="H44"/>
  <c r="F43"/>
  <c r="I43" s="1"/>
  <c r="F42"/>
  <c r="I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H18" s="1"/>
  <c r="F17"/>
  <c r="H17" s="1"/>
  <c r="F16"/>
  <c r="I16" s="1"/>
  <c r="I88" i="28"/>
  <c r="F83"/>
  <c r="I83" s="1"/>
  <c r="F82"/>
  <c r="H82" s="1"/>
  <c r="H80"/>
  <c r="H78"/>
  <c r="H76"/>
  <c r="H75"/>
  <c r="H74"/>
  <c r="F73"/>
  <c r="H73" s="1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H61"/>
  <c r="F60"/>
  <c r="H60" s="1"/>
  <c r="H58"/>
  <c r="F57"/>
  <c r="H57" s="1"/>
  <c r="I54"/>
  <c r="F54"/>
  <c r="H54" s="1"/>
  <c r="I53"/>
  <c r="H53"/>
  <c r="F52"/>
  <c r="H52" s="1"/>
  <c r="F51"/>
  <c r="I51" s="1"/>
  <c r="F50"/>
  <c r="H50" s="1"/>
  <c r="F49"/>
  <c r="I49" s="1"/>
  <c r="F48"/>
  <c r="H48" s="1"/>
  <c r="F47"/>
  <c r="I47" s="1"/>
  <c r="F46"/>
  <c r="H46" s="1"/>
  <c r="H44"/>
  <c r="F43"/>
  <c r="F42"/>
  <c r="H42" s="1"/>
  <c r="F41"/>
  <c r="I41" s="1"/>
  <c r="H40"/>
  <c r="F39"/>
  <c r="I39" s="1"/>
  <c r="I38"/>
  <c r="H38"/>
  <c r="H36"/>
  <c r="H35"/>
  <c r="F34"/>
  <c r="H34" s="1"/>
  <c r="E34"/>
  <c r="F33"/>
  <c r="H33" s="1"/>
  <c r="F32"/>
  <c r="I32" s="1"/>
  <c r="F31"/>
  <c r="H31" s="1"/>
  <c r="F28"/>
  <c r="I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F83" i="27"/>
  <c r="F82"/>
  <c r="H82" s="1"/>
  <c r="H80"/>
  <c r="H78"/>
  <c r="H76"/>
  <c r="H75"/>
  <c r="H74"/>
  <c r="H73"/>
  <c r="F73"/>
  <c r="F71"/>
  <c r="H71" s="1"/>
  <c r="H70"/>
  <c r="F69"/>
  <c r="H69" s="1"/>
  <c r="F68"/>
  <c r="H68" s="1"/>
  <c r="F67"/>
  <c r="H67" s="1"/>
  <c r="F66"/>
  <c r="H66" s="1"/>
  <c r="F65"/>
  <c r="H65" s="1"/>
  <c r="F64"/>
  <c r="H64" s="1"/>
  <c r="F63"/>
  <c r="H63" s="1"/>
  <c r="F60"/>
  <c r="H60" s="1"/>
  <c r="H58"/>
  <c r="F57"/>
  <c r="I57" s="1"/>
  <c r="I53"/>
  <c r="I54"/>
  <c r="F54"/>
  <c r="H54" s="1"/>
  <c r="H53"/>
  <c r="F52"/>
  <c r="H52" s="1"/>
  <c r="F51"/>
  <c r="H51" s="1"/>
  <c r="F50"/>
  <c r="H50" s="1"/>
  <c r="F49"/>
  <c r="H49" s="1"/>
  <c r="F48"/>
  <c r="H48" s="1"/>
  <c r="F47"/>
  <c r="H47" s="1"/>
  <c r="F46"/>
  <c r="H46" s="1"/>
  <c r="H44"/>
  <c r="F43"/>
  <c r="H43" s="1"/>
  <c r="F42"/>
  <c r="I42" s="1"/>
  <c r="F41"/>
  <c r="H41" s="1"/>
  <c r="H40"/>
  <c r="F39"/>
  <c r="I39" s="1"/>
  <c r="I38"/>
  <c r="H38"/>
  <c r="H36"/>
  <c r="H35"/>
  <c r="F34"/>
  <c r="I34" s="1"/>
  <c r="E34"/>
  <c r="F33"/>
  <c r="H33" s="1"/>
  <c r="F32"/>
  <c r="H32" s="1"/>
  <c r="F31"/>
  <c r="H31" s="1"/>
  <c r="F28"/>
  <c r="H28" s="1"/>
  <c r="F27"/>
  <c r="H27" s="1"/>
  <c r="F26"/>
  <c r="H26" s="1"/>
  <c r="H25"/>
  <c r="F24"/>
  <c r="H24" s="1"/>
  <c r="F23"/>
  <c r="H23" s="1"/>
  <c r="F22"/>
  <c r="H22" s="1"/>
  <c r="F21"/>
  <c r="H21" s="1"/>
  <c r="F20"/>
  <c r="H20" s="1"/>
  <c r="F19"/>
  <c r="H19" s="1"/>
  <c r="E18"/>
  <c r="F18" s="1"/>
  <c r="F17"/>
  <c r="H17" s="1"/>
  <c r="F16"/>
  <c r="I16" s="1"/>
  <c r="H39" i="36" l="1"/>
  <c r="I88" i="32"/>
  <c r="H32" i="30"/>
  <c r="H41"/>
  <c r="H47"/>
  <c r="H51"/>
  <c r="H83" i="28"/>
  <c r="H28" i="30"/>
  <c r="H39"/>
  <c r="H43"/>
  <c r="H49"/>
  <c r="H83"/>
  <c r="H18" i="36"/>
  <c r="I18"/>
  <c r="H16"/>
  <c r="I17"/>
  <c r="H19"/>
  <c r="I20"/>
  <c r="H21"/>
  <c r="I22"/>
  <c r="H23"/>
  <c r="I24"/>
  <c r="H26"/>
  <c r="I27"/>
  <c r="H28"/>
  <c r="I31"/>
  <c r="H32"/>
  <c r="I33"/>
  <c r="I34"/>
  <c r="H41"/>
  <c r="I42"/>
  <c r="H43"/>
  <c r="I46"/>
  <c r="H47"/>
  <c r="I48"/>
  <c r="H49"/>
  <c r="I50"/>
  <c r="H51"/>
  <c r="I52"/>
  <c r="I57"/>
  <c r="I61"/>
  <c r="I84" s="1"/>
  <c r="H65"/>
  <c r="I66"/>
  <c r="H67"/>
  <c r="I68"/>
  <c r="H69"/>
  <c r="I71"/>
  <c r="I82"/>
  <c r="H83"/>
  <c r="H28" i="35"/>
  <c r="I18"/>
  <c r="H18"/>
  <c r="I16"/>
  <c r="H17"/>
  <c r="I19"/>
  <c r="H20"/>
  <c r="I21"/>
  <c r="H22"/>
  <c r="I23"/>
  <c r="H24"/>
  <c r="I26"/>
  <c r="H27"/>
  <c r="H31"/>
  <c r="I32"/>
  <c r="H33"/>
  <c r="H34"/>
  <c r="I39"/>
  <c r="I41"/>
  <c r="H42"/>
  <c r="I43"/>
  <c r="H46"/>
  <c r="I47"/>
  <c r="H48"/>
  <c r="I49"/>
  <c r="H50"/>
  <c r="I51"/>
  <c r="H52"/>
  <c r="H57"/>
  <c r="H61"/>
  <c r="I65"/>
  <c r="H66"/>
  <c r="I67"/>
  <c r="H68"/>
  <c r="I69"/>
  <c r="I71"/>
  <c r="I82"/>
  <c r="I18" i="34"/>
  <c r="H18"/>
  <c r="I16"/>
  <c r="H17"/>
  <c r="I19"/>
  <c r="H20"/>
  <c r="I21"/>
  <c r="H22"/>
  <c r="I23"/>
  <c r="H24"/>
  <c r="I26"/>
  <c r="H27"/>
  <c r="I28"/>
  <c r="H31"/>
  <c r="I32"/>
  <c r="H33"/>
  <c r="H34"/>
  <c r="I39"/>
  <c r="I41"/>
  <c r="H42"/>
  <c r="I43"/>
  <c r="H46"/>
  <c r="I47"/>
  <c r="H48"/>
  <c r="I49"/>
  <c r="H50"/>
  <c r="I51"/>
  <c r="H52"/>
  <c r="H57"/>
  <c r="H61"/>
  <c r="I65"/>
  <c r="H66"/>
  <c r="I67"/>
  <c r="H68"/>
  <c r="I69"/>
  <c r="I71"/>
  <c r="I82"/>
  <c r="H83"/>
  <c r="I18" i="33"/>
  <c r="H18"/>
  <c r="I16"/>
  <c r="H17"/>
  <c r="I19"/>
  <c r="H20"/>
  <c r="I21"/>
  <c r="H22"/>
  <c r="I23"/>
  <c r="H24"/>
  <c r="I26"/>
  <c r="H27"/>
  <c r="I28"/>
  <c r="H31"/>
  <c r="I32"/>
  <c r="H33"/>
  <c r="H34"/>
  <c r="I39"/>
  <c r="I41"/>
  <c r="H42"/>
  <c r="I43"/>
  <c r="H46"/>
  <c r="I47"/>
  <c r="H48"/>
  <c r="I49"/>
  <c r="H50"/>
  <c r="I51"/>
  <c r="H52"/>
  <c r="H57"/>
  <c r="H61"/>
  <c r="I65"/>
  <c r="H66"/>
  <c r="I67"/>
  <c r="H68"/>
  <c r="I69"/>
  <c r="I71"/>
  <c r="I82"/>
  <c r="H83"/>
  <c r="H18" i="32"/>
  <c r="I18"/>
  <c r="H16"/>
  <c r="I17"/>
  <c r="H19"/>
  <c r="I20"/>
  <c r="H21"/>
  <c r="I22"/>
  <c r="H23"/>
  <c r="I24"/>
  <c r="H26"/>
  <c r="I27"/>
  <c r="H28"/>
  <c r="I31"/>
  <c r="H32"/>
  <c r="I33"/>
  <c r="I34"/>
  <c r="H39"/>
  <c r="H41"/>
  <c r="I42"/>
  <c r="H43"/>
  <c r="I46"/>
  <c r="H47"/>
  <c r="I48"/>
  <c r="H49"/>
  <c r="I50"/>
  <c r="H51"/>
  <c r="I52"/>
  <c r="I57"/>
  <c r="I61"/>
  <c r="H65"/>
  <c r="I66"/>
  <c r="H67"/>
  <c r="I68"/>
  <c r="H69"/>
  <c r="H71"/>
  <c r="H82"/>
  <c r="I83"/>
  <c r="I20" i="31"/>
  <c r="I26"/>
  <c r="I24"/>
  <c r="I65"/>
  <c r="I69"/>
  <c r="I67"/>
  <c r="I21"/>
  <c r="I22"/>
  <c r="I23"/>
  <c r="I71"/>
  <c r="I68"/>
  <c r="I66"/>
  <c r="H18"/>
  <c r="I18"/>
  <c r="H16"/>
  <c r="I17"/>
  <c r="I27"/>
  <c r="H28"/>
  <c r="I31"/>
  <c r="H32"/>
  <c r="I33"/>
  <c r="I34"/>
  <c r="H39"/>
  <c r="H41"/>
  <c r="I42"/>
  <c r="H43"/>
  <c r="I46"/>
  <c r="H47"/>
  <c r="I48"/>
  <c r="H49"/>
  <c r="I50"/>
  <c r="H51"/>
  <c r="I52"/>
  <c r="I57"/>
  <c r="I61"/>
  <c r="I84" s="1"/>
  <c r="I89" s="1"/>
  <c r="I82"/>
  <c r="H83"/>
  <c r="H18" i="30"/>
  <c r="I18"/>
  <c r="H16"/>
  <c r="I17"/>
  <c r="I27"/>
  <c r="I31"/>
  <c r="I33"/>
  <c r="I34"/>
  <c r="I42"/>
  <c r="I46"/>
  <c r="I48"/>
  <c r="I50"/>
  <c r="I52"/>
  <c r="I71"/>
  <c r="I82"/>
  <c r="H16" i="29"/>
  <c r="H28"/>
  <c r="H39"/>
  <c r="H43"/>
  <c r="H32"/>
  <c r="H41"/>
  <c r="I17"/>
  <c r="I18"/>
  <c r="I27"/>
  <c r="I31"/>
  <c r="I33"/>
  <c r="I34"/>
  <c r="H42"/>
  <c r="H46"/>
  <c r="I47"/>
  <c r="H48"/>
  <c r="I49"/>
  <c r="H50"/>
  <c r="I51"/>
  <c r="H52"/>
  <c r="H57"/>
  <c r="H61"/>
  <c r="H71"/>
  <c r="H82"/>
  <c r="I83"/>
  <c r="H18" i="28"/>
  <c r="I18"/>
  <c r="H16"/>
  <c r="I17"/>
  <c r="I84" s="1"/>
  <c r="I27"/>
  <c r="H28"/>
  <c r="I31"/>
  <c r="H32"/>
  <c r="I33"/>
  <c r="I34"/>
  <c r="H39"/>
  <c r="H41"/>
  <c r="I42"/>
  <c r="H43"/>
  <c r="I46"/>
  <c r="H47"/>
  <c r="I48"/>
  <c r="H49"/>
  <c r="I50"/>
  <c r="H51"/>
  <c r="I52"/>
  <c r="I61"/>
  <c r="I71"/>
  <c r="I82"/>
  <c r="H83" i="27"/>
  <c r="I83"/>
  <c r="I82"/>
  <c r="H34"/>
  <c r="H39"/>
  <c r="H57"/>
  <c r="I71"/>
  <c r="I61"/>
  <c r="I49"/>
  <c r="I47"/>
  <c r="I48"/>
  <c r="I46"/>
  <c r="I51"/>
  <c r="I52"/>
  <c r="I50"/>
  <c r="I33"/>
  <c r="I31"/>
  <c r="I32"/>
  <c r="I41"/>
  <c r="H42"/>
  <c r="I28"/>
  <c r="I27"/>
  <c r="H18"/>
  <c r="I18"/>
  <c r="H16"/>
  <c r="I17"/>
  <c r="I91" i="36" l="1"/>
  <c r="I89" i="29"/>
  <c r="I91" i="28"/>
  <c r="I104" i="30"/>
  <c r="I94" i="35"/>
  <c r="I84" i="34"/>
  <c r="I97" s="1"/>
  <c r="I91" i="33"/>
  <c r="I90" i="32"/>
  <c r="I91" i="27" l="1"/>
  <c r="G79" i="15" l="1"/>
  <c r="D77"/>
  <c r="G74"/>
  <c r="G81" s="1"/>
  <c r="G57"/>
  <c r="G54"/>
  <c r="E25"/>
  <c r="I27" l="1"/>
  <c r="H71" l="1"/>
  <c r="H75" s="1"/>
</calcChain>
</file>

<file path=xl/sharedStrings.xml><?xml version="1.0" encoding="utf-8"?>
<sst xmlns="http://schemas.openxmlformats.org/spreadsheetml/2006/main" count="2811" uniqueCount="309">
  <si>
    <t>№ позиции</t>
  </si>
  <si>
    <r>
      <t>Наименование вида работы (услуги)</t>
    </r>
    <r>
      <rPr>
        <vertAlign val="superscript"/>
        <sz val="10"/>
        <rFont val="Times New Roman"/>
        <family val="1"/>
        <charset val="204"/>
      </rPr>
      <t>2</t>
    </r>
  </si>
  <si>
    <t>Единица измерения работы (услуги)</t>
  </si>
  <si>
    <t>Цена выполненной работы  (оказанной услуги), в рублях</t>
  </si>
  <si>
    <t>I. Санитарное содержание помещений общего пользования</t>
  </si>
  <si>
    <t>Зимняя уборка</t>
  </si>
  <si>
    <t>(прописью)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</si>
  <si>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</si>
  <si>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</si>
  <si>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Подписи Сторон:</t>
  </si>
  <si>
    <t>Исполнитель -</t>
  </si>
  <si>
    <t>(должность, ФИО)</t>
  </si>
  <si>
    <t>(подпись)</t>
  </si>
  <si>
    <t>Заказчик -</t>
  </si>
  <si>
    <t>________________</t>
  </si>
  <si>
    <t>Примечания:</t>
  </si>
  <si>
    <r>
      <t>1</t>
    </r>
    <r>
      <rPr>
        <sz val="10"/>
        <rFont val="Times New Roman"/>
        <family val="1"/>
        <charset val="204"/>
      </rPr>
      <t> В соответствии с пунктом 4 части 8 статьи 161.1 Жилищного кодекса Российской Федерации (Собрание законодательства Российской Федерации, 2005, N 1, ст.14; 2011, N 23, ст.3263; 2014, N 30, ст.4264, 2015, N 27, ст.3967)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  </r>
  </si>
  <si>
    <r>
      <t>2</t>
    </r>
    <r>
      <rPr>
        <sz val="10"/>
        <rFont val="Times New Roman"/>
        <family val="1"/>
        <charset val="204"/>
      </rPr>
      <t> 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года N 290.</t>
    </r>
  </si>
  <si>
    <t>Периодичность</t>
  </si>
  <si>
    <t>Количественный показатель выполненной работы (оказанной услуги)</t>
  </si>
  <si>
    <t xml:space="preserve">Приказ Министерства строительства и жилищно - коммунального хозяйства Российской Федерации от 26 октября 2015г. № 761/пр. </t>
  </si>
  <si>
    <r>
      <t>4</t>
    </r>
    <r>
      <rPr>
        <sz val="10"/>
        <rFont val="Times New Roman"/>
        <family val="1"/>
        <charset val="204"/>
      </rPr>
      <t xml:space="preserve"> Сметная стоимость за единицу выполненной работы по договору </t>
    </r>
    <r>
      <rPr>
        <sz val="10"/>
        <color rgb="FFFF0000"/>
        <rFont val="Times New Roman"/>
        <family val="1"/>
        <charset val="204"/>
      </rPr>
      <t xml:space="preserve">подряда </t>
    </r>
    <r>
      <rPr>
        <sz val="10"/>
        <rFont val="Times New Roman"/>
        <family val="1"/>
        <charset val="204"/>
      </rPr>
      <t>по выполнению работ по ремонту общего имущества в многоквартирном доме.</t>
    </r>
  </si>
  <si>
    <r>
      <t>3</t>
    </r>
    <r>
      <rPr>
        <sz val="10"/>
        <rFont val="Times New Roman"/>
        <family val="1"/>
        <charset val="204"/>
      </rPr>
      <t xml:space="preserve"> Стоимость за единицу выполненной работы (оказанной услуги) </t>
    </r>
    <r>
      <rPr>
        <sz val="10"/>
        <color rgb="FFFF0000"/>
        <rFont val="Times New Roman"/>
        <family val="1"/>
        <charset val="204"/>
      </rPr>
      <t xml:space="preserve">по договору управления </t>
    </r>
    <r>
      <rPr>
        <sz val="10"/>
        <rFont val="Times New Roman"/>
        <family val="1"/>
        <charset val="204"/>
      </rPr>
      <t xml:space="preserve">многоквартирным домом или </t>
    </r>
    <r>
      <rPr>
        <sz val="10"/>
        <color rgb="FFFF0000"/>
        <rFont val="Times New Roman"/>
        <family val="1"/>
        <charset val="204"/>
      </rPr>
      <t>договору оказания услуг</t>
    </r>
    <r>
      <rPr>
        <sz val="10"/>
        <rFont val="Times New Roman"/>
        <family val="1"/>
        <charset val="204"/>
      </rPr>
      <t xml:space="preserve"> по содержанию и (или) выполнению работ по ремонту общего имущества в многоквартирном доме.</t>
    </r>
  </si>
  <si>
    <t>Стоимость выполненной работы (оказанной услуги)  за единицу</t>
  </si>
  <si>
    <t>Вывоз ТБО и КГО</t>
  </si>
  <si>
    <t xml:space="preserve">кв. м </t>
  </si>
  <si>
    <t>ежедневно</t>
  </si>
  <si>
    <t>м2</t>
  </si>
  <si>
    <t>по необходим-ти</t>
  </si>
  <si>
    <t>Механизированная уборка дворовой территории</t>
  </si>
  <si>
    <t>Уборка газонов сильной загрязненности</t>
  </si>
  <si>
    <t>Летняя уборка</t>
  </si>
  <si>
    <t>1000 м2</t>
  </si>
  <si>
    <t>шт.</t>
  </si>
  <si>
    <t>м/час</t>
  </si>
  <si>
    <t>м3</t>
  </si>
  <si>
    <t>Осмотр шиферной  кровли</t>
  </si>
  <si>
    <t>Осмотр деревянных конструкций стропил</t>
  </si>
  <si>
    <t>100 м3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</si>
  <si>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</si>
  <si>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</si>
  <si>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</si>
  <si>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электросетей, арматуры и электрообору- дования на чердаках, подвалах и техэтажах</t>
  </si>
  <si>
    <t>Осмотр электросетей,арматуры и электооборудо- вания на лестничных клетках</t>
  </si>
  <si>
    <t>100 лест.</t>
  </si>
  <si>
    <t>Осмотр вводных электрических щитков</t>
  </si>
  <si>
    <t>100 шт.</t>
  </si>
  <si>
    <t>Проверка  дымоходов</t>
  </si>
  <si>
    <t>Проверка вентканалов</t>
  </si>
  <si>
    <t>2 раза в год</t>
  </si>
  <si>
    <t>Кровля</t>
  </si>
  <si>
    <t>Чердак, подвал, технический этаж</t>
  </si>
  <si>
    <t>Очистка от мусора</t>
  </si>
  <si>
    <t>Отопление</t>
  </si>
  <si>
    <t>Ликвидация воздушных пробок в стояках</t>
  </si>
  <si>
    <t>Ликвидация воздушных пробок в радиаторах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</si>
  <si>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</si>
  <si>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</si>
  <si>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</si>
  <si>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Визуальная проверка окраски и креплений наруж- ного (фасадного ) газопровода</t>
  </si>
  <si>
    <t>Итого текущий ремонт</t>
  </si>
  <si>
    <t>Итого годовые затраты</t>
  </si>
  <si>
    <t>100 м2</t>
  </si>
  <si>
    <t>1 раз в год</t>
  </si>
  <si>
    <t>1000 м3</t>
  </si>
  <si>
    <t>100 м</t>
  </si>
  <si>
    <t>Техническое обслуживание  наружных газопроводов</t>
  </si>
  <si>
    <t>10 м</t>
  </si>
  <si>
    <t>1 м2</t>
  </si>
  <si>
    <t>ежемесячно</t>
  </si>
  <si>
    <t xml:space="preserve">Осмотр СО </t>
  </si>
  <si>
    <t>Проверка на прогрев отопительных приборов</t>
  </si>
  <si>
    <t>прибор</t>
  </si>
  <si>
    <t>Обязательные работы по содержанию общего имущества собственников помещений в многоквартирном доме</t>
  </si>
  <si>
    <t xml:space="preserve"> Прочие услуги</t>
  </si>
  <si>
    <t>Работы по текущему ремонту и по заявкам</t>
  </si>
  <si>
    <t>весенне-осенний осмотр, 2 раза</t>
  </si>
  <si>
    <t>Содержание  общего  имущества  МКД</t>
  </si>
  <si>
    <t>5. Настоящий Акт составлен в 2 экземплярах, имеющих одинаковую юридическую силу, по одному для каждой из Сторон</t>
  </si>
  <si>
    <t>Проведение технических осмотров и мелкий ремонт</t>
  </si>
  <si>
    <t>пгт. Ярега</t>
  </si>
  <si>
    <t>Уборка газонов (дворовая территория)</t>
  </si>
  <si>
    <t xml:space="preserve">1 раз в год                      </t>
  </si>
  <si>
    <t>155 раз</t>
  </si>
  <si>
    <t>Подборка мусора на контейнерной площадке</t>
  </si>
  <si>
    <t xml:space="preserve">Погрузка травы, ветвей </t>
  </si>
  <si>
    <t>Вывоз смета, травы, ветвей и т.п.- м/ч</t>
  </si>
  <si>
    <t>по необходимости</t>
  </si>
  <si>
    <t xml:space="preserve">Сдвигание снега в дни снегопада </t>
  </si>
  <si>
    <t>18 раз за сезон</t>
  </si>
  <si>
    <t xml:space="preserve">Подметание снега с тротуара, крылец, конт. площадок </t>
  </si>
  <si>
    <t>70 раз за сезон</t>
  </si>
  <si>
    <t>Пескопосыпка территории: входные площадки</t>
  </si>
  <si>
    <t>45 раз за сезон</t>
  </si>
  <si>
    <t>Стоимость песка -100м2-0,002м3</t>
  </si>
  <si>
    <t>3 раза в год</t>
  </si>
  <si>
    <t>6 раз за сезон</t>
  </si>
  <si>
    <t>Вода для промывки системы отопления</t>
  </si>
  <si>
    <t>Спуск воды после промывки системы отопления в канализацию</t>
  </si>
  <si>
    <t>Электроснабжение</t>
  </si>
  <si>
    <t>Смена ламп накаливания</t>
  </si>
  <si>
    <t>Смена плавкой вставки в электрощите</t>
  </si>
  <si>
    <t>10 шт</t>
  </si>
  <si>
    <t>Вентканалы, дымоходы</t>
  </si>
  <si>
    <t xml:space="preserve"> - прочистка каналов</t>
  </si>
  <si>
    <t>100м</t>
  </si>
  <si>
    <t>Услуги по выпуску квитанций, сопровождение собраний, работа с должниками</t>
  </si>
  <si>
    <t xml:space="preserve">Непредвиденные расходы </t>
  </si>
  <si>
    <t>Осмотр и очистка оголовков дымоходов и вентканалов от наледи и снега (по необходимости) зимой</t>
  </si>
  <si>
    <t>2 раза в месяц</t>
  </si>
  <si>
    <t>Аварийное - диспетчерское обслуживание</t>
  </si>
  <si>
    <t>Ремонт групповых щитков на лестничной клетке без ремонта автоматов</t>
  </si>
  <si>
    <t>Итого:</t>
  </si>
  <si>
    <t>Уборка контейнерной площадки (от 16 кв.м. 1/3=5,33 м2)</t>
  </si>
  <si>
    <t xml:space="preserve">Очистка края кровли, оголовков дымоходов, вентканалов  от слежавшегося снега со сбрасы- ванием сосулек (10% от S кровли) </t>
  </si>
  <si>
    <t>Подключение и отключение сварочного аппарата</t>
  </si>
  <si>
    <t>Осмотр СО</t>
  </si>
  <si>
    <t>генеральный директор  Куканова И.Ю.</t>
  </si>
  <si>
    <t>Очистка территории 1-го класса с усовершенствованным покрытием под скребок: ступеньки и площадки крылец, контейнерные площадки</t>
  </si>
  <si>
    <t>место</t>
  </si>
  <si>
    <t>II. Уборка земельного участка</t>
  </si>
  <si>
    <t xml:space="preserve">ежедневно </t>
  </si>
  <si>
    <t xml:space="preserve">II. Уборка земельного участка </t>
  </si>
  <si>
    <t>2 р. в неделю</t>
  </si>
  <si>
    <t>3 р. в неделю</t>
  </si>
  <si>
    <t xml:space="preserve">Подметание территории с усовершенствованным   покрытием </t>
  </si>
  <si>
    <t>ООО «Жилсервис»</t>
  </si>
  <si>
    <t>АКТ №11</t>
  </si>
  <si>
    <t xml:space="preserve">приемки оказанных услуг и выполненных работ по содержанию и текущему ремонту
общего имущества в многоквартирном доме № 37 по  ул.Октябрьская  пгт. Ярега
</t>
  </si>
  <si>
    <t>за период с 01.11.2016 г. по 30.11.2016 г.</t>
  </si>
  <si>
    <t>шт</t>
  </si>
  <si>
    <t>Разборка оснований покрытия полов - простильных полов</t>
  </si>
  <si>
    <t>Смена дверных приборов - пружины</t>
  </si>
  <si>
    <t>2. Всего за период с 01.11.2016 по 30.11.2016 выполнено работ (оказано услуг) на общую сумму:  7532,40 руб.</t>
  </si>
  <si>
    <t>(семь тысяч пятьсот тридцать два рубля 40 копеек)</t>
  </si>
  <si>
    <r>
      <t xml:space="preserve">    Собственники   помещений   в многоквартирном доме, расположенном по адресу: пгт.Ярега, ул.Октябрьская, д.39,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   многоквартирном доме, действующего на основании решения от 01.09.2016г. стороны, и ООО «Жилсервис», именуемое в дальнейшем "Исполнитель", в лице генерального директора Куканова Юрия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</si>
  <si>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 xml:space="preserve">1. Исполнителем предъявлены к приемке следующие оказанные на основании Договора на содержание и ремонт многоквартирного дома  №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д.39</t>
    </r>
  </si>
  <si>
    <t>Влажное подметание лестничных клеток 1 этажа</t>
  </si>
  <si>
    <t>100м2</t>
  </si>
  <si>
    <t>3 раза в неделю 156 раз в год</t>
  </si>
  <si>
    <t>Влажное подметание лестничных клеток 2-4 этажа</t>
  </si>
  <si>
    <t>2 раза в неделю 104 раза в год</t>
  </si>
  <si>
    <t>Мытье лестничных  площадок и маршей 1-4 этаж.</t>
  </si>
  <si>
    <t xml:space="preserve">2 раза в месяц 24 раза в год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</si>
  <si>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</si>
  <si>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</si>
  <si>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Дератизация</t>
  </si>
  <si>
    <t>12 раз в год</t>
  </si>
  <si>
    <t>Техническое обслуживание наружных газопроводов</t>
  </si>
  <si>
    <t>ТО внутренних сетей водопровода и канализации</t>
  </si>
  <si>
    <t>руб/м2 в мес.</t>
  </si>
  <si>
    <t>Сдвигание снега в дни снегопада</t>
  </si>
  <si>
    <t>30 раз за сезон</t>
  </si>
  <si>
    <t>Вывоз снега с придомовой территории</t>
  </si>
  <si>
    <t>1м3</t>
  </si>
  <si>
    <t>155 раз за сезон</t>
  </si>
  <si>
    <t>1000м2</t>
  </si>
  <si>
    <t>35 раза за сезон</t>
  </si>
  <si>
    <t xml:space="preserve">Пескопосыпка территории: крыльца и тротуары </t>
  </si>
  <si>
    <t>20 раз за сезон</t>
  </si>
  <si>
    <t>1 шт</t>
  </si>
  <si>
    <t>Внеплановый осмотр электросетей, армазуры и электрооборудования на лестничных клетках</t>
  </si>
  <si>
    <r>
      <t>Наименование вида работы (услуги)</t>
    </r>
    <r>
      <rPr>
        <vertAlign val="superscript"/>
        <sz val="11"/>
        <rFont val="Times New Roman"/>
        <family val="1"/>
        <charset val="204"/>
      </rPr>
      <t>2</t>
    </r>
  </si>
  <si>
    <t>III. Проведение технических осмотров</t>
  </si>
  <si>
    <t>IV. Содержание общего имущества МКД</t>
  </si>
  <si>
    <t>V. Прочие услуги</t>
  </si>
  <si>
    <t>генеральный директор Куканов Ю.Л.</t>
  </si>
  <si>
    <t>АКТ №1</t>
  </si>
  <si>
    <t>Мытье окон</t>
  </si>
  <si>
    <t>10м2</t>
  </si>
  <si>
    <t xml:space="preserve">1 раз в год     </t>
  </si>
  <si>
    <t>Влажная протирка перил</t>
  </si>
  <si>
    <t>Влажная протирка почтовых ящиков</t>
  </si>
  <si>
    <t xml:space="preserve">Влажная уборка стен </t>
  </si>
  <si>
    <t>Влажная протирка дверей</t>
  </si>
  <si>
    <t>Влажная протирка подоконников</t>
  </si>
  <si>
    <t xml:space="preserve">1 раз в год  </t>
  </si>
  <si>
    <t>Влажная протирка шкафов для щитов и слаботочн. устройств</t>
  </si>
  <si>
    <t>Влажная протирка отопительных приборов</t>
  </si>
  <si>
    <t>Вывоз смета,травы,ветвей и т.п.- м/ч</t>
  </si>
  <si>
    <t>Осмотр шиферной кровли</t>
  </si>
  <si>
    <t>Очистка края кровли от слежавшегося снега со сбрасыванием сосулек (10% от S кровли и козырьки)</t>
  </si>
  <si>
    <t xml:space="preserve">6 раз за сезон </t>
  </si>
  <si>
    <t>Очистка чердака, подвала от мусора</t>
  </si>
  <si>
    <t>100м3</t>
  </si>
  <si>
    <t>1000м3</t>
  </si>
  <si>
    <t>Вода для промывки СО</t>
  </si>
  <si>
    <t>ТО внутридомового газ.оборудования</t>
  </si>
  <si>
    <t>Аварийно-диспетчерское обслуживание</t>
  </si>
  <si>
    <t>Работа автовышки</t>
  </si>
  <si>
    <t>Уборка газонов</t>
  </si>
  <si>
    <t>Подметание территории с усовершенствованным покрытием асф.: крыльца, контейнерн пл., проезд, тротуар</t>
  </si>
  <si>
    <t>Уборка контейнерной площадки (16 кв.м.)</t>
  </si>
  <si>
    <t>5 раз в год</t>
  </si>
  <si>
    <t>Прочистка каналов</t>
  </si>
  <si>
    <t>АКТ №2</t>
  </si>
  <si>
    <t>АКТ №3</t>
  </si>
  <si>
    <t>III. Содержание общего имущества МКД</t>
  </si>
  <si>
    <t>IV. Прочие услуги</t>
  </si>
  <si>
    <t>АКТ №4</t>
  </si>
  <si>
    <t>АКТ №5</t>
  </si>
  <si>
    <t>АКТ №6</t>
  </si>
  <si>
    <t>АКТ №7</t>
  </si>
  <si>
    <t>АКТ №8</t>
  </si>
  <si>
    <t>АКТ №9</t>
  </si>
  <si>
    <t xml:space="preserve">приемки оказанных услуг и выполненных работ по содержанию и текущему ремонту
общего имущества в многоквартирном доме №43 по ул.Октябрьская пгт.Ярега
</t>
  </si>
  <si>
    <r>
      <t xml:space="preserve">    Собственники помещений в многоквартирном доме, расположенном по адресу: пгт.Ярега, ул.Октябрьская, д.43,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«Жилсервис»,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</si>
  <si>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r>
      <t>1.   Исполнителем   предъявлены   к   приемке   следующие   оказанные   на   основании   Договора   на   содержание   и   ремонт   многоквартирного   дома   №</t>
    </r>
    <r>
      <rPr>
        <u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от</t>
    </r>
    <r>
      <rPr>
        <u/>
        <sz val="12"/>
        <rFont val="Times New Roman"/>
        <family val="1"/>
        <charset val="204"/>
      </rPr>
      <t xml:space="preserve">                     </t>
    </r>
    <r>
      <rPr>
        <sz val="12"/>
        <rFont val="Times New Roman"/>
        <family val="1"/>
        <charset val="204"/>
      </rPr>
      <t>20    г. (далее - "Договор") услуги и выполненные работы по содержанию и текущему ремонту общего имущества в многоквартирном доме, расположенном по адресу: г.Ухта, пгт.Ярега, ул.Октябрьская, д.43</t>
    </r>
  </si>
  <si>
    <t>156 раз в год</t>
  </si>
  <si>
    <t>104 раза в год</t>
  </si>
  <si>
    <t xml:space="preserve">24 раза в год </t>
  </si>
  <si>
    <t>52 раза в сезон</t>
  </si>
  <si>
    <t>78 раз за сезон</t>
  </si>
  <si>
    <t>маш-час</t>
  </si>
  <si>
    <t>Спуск воды после промывки СО в канализацию</t>
  </si>
  <si>
    <t>Смена светодиодных светильников</t>
  </si>
  <si>
    <t>1 шт.</t>
  </si>
  <si>
    <t>Стоимость светодиодного светильника</t>
  </si>
  <si>
    <t>руб.</t>
  </si>
  <si>
    <t>Итого затраты за месяц</t>
  </si>
  <si>
    <t xml:space="preserve">Уплотнение сгонов с применением льняной пряди или асбестового шнура (без разборки сгонов) </t>
  </si>
  <si>
    <t>1 соединение</t>
  </si>
  <si>
    <t>Смена арматуры - вентилей и клапанов обратных муфтовых диаметром до 20 мм</t>
  </si>
  <si>
    <t>Смена трубопроводов на полипропиленовые трубы PN25 диаметром 25мм</t>
  </si>
  <si>
    <t>1 м</t>
  </si>
  <si>
    <t>м</t>
  </si>
  <si>
    <t>АКТ №10</t>
  </si>
  <si>
    <t>АКТ №12</t>
  </si>
  <si>
    <t>за период с 01.01.2018 г. по 31.01.2018 г.</t>
  </si>
  <si>
    <t>Очистка канализационной сети внутренней</t>
  </si>
  <si>
    <t>1м</t>
  </si>
  <si>
    <t>Смена вентилей диаметром до 20 мм (без учёта материала)</t>
  </si>
  <si>
    <t>за период с 01.02.2018 г. по 28.02.2018 г.</t>
  </si>
  <si>
    <t>за период с 01.03.2018 г. по 31.03.2018 г.</t>
  </si>
  <si>
    <t>за период с 01.04.2018 г. по 30.04.2018 г.</t>
  </si>
  <si>
    <t>Смена дверных приборов /замки навесные)</t>
  </si>
  <si>
    <t>Простая масляная окраска ранее окрашенных входных металлических дверей (I, II,III под.)</t>
  </si>
  <si>
    <t>10 м2</t>
  </si>
  <si>
    <t>Смена трубопроводов на полипропиленовые трубы PN25 диаметром 20мм</t>
  </si>
  <si>
    <t>Муфта разъемная 20*1/2, ВР</t>
  </si>
  <si>
    <t>Муфта разъемная 25*3/4, ВР</t>
  </si>
  <si>
    <t>Муфта 25*20</t>
  </si>
  <si>
    <t>Колено 20-90</t>
  </si>
  <si>
    <t>Колено 20 - 45</t>
  </si>
  <si>
    <t>Тройник 20</t>
  </si>
  <si>
    <t>Вентиль (ш) ПП Dу20</t>
  </si>
  <si>
    <t>Смена внутренних трубопроводов из стальных труб диаметром до 50 мм (без стоимости креплений)</t>
  </si>
  <si>
    <t>Мелкий ремонт электропроводки</t>
  </si>
  <si>
    <t>Ремонт силового предохранительного шкафа (со стоимостью материалов)</t>
  </si>
  <si>
    <t>68м2</t>
  </si>
  <si>
    <t>кв 10, 4м</t>
  </si>
  <si>
    <t>2ч</t>
  </si>
  <si>
    <t>2. Всего за период с 01.04.2018 по 30.04.2018 выполнено работ (оказано услуг) на общую сумму: 60 860,99 руб.</t>
  </si>
  <si>
    <t>(шестьдесят тысяч восемьсот шестьдесят рублей 99 копеек)</t>
  </si>
  <si>
    <t>100 кв.</t>
  </si>
  <si>
    <t>Осмотр водопроводов, канализации, отопления в квартирах</t>
  </si>
  <si>
    <t>за период с 01.05.2018 г. по 31.05.2018 г.</t>
  </si>
  <si>
    <t>Внеплановая проверка вентканалов</t>
  </si>
  <si>
    <t>2. Всего за период с 01.05.2018 по 31.05.2018 выполнено работ (оказано услуг) на общую сумму: 107238,70 руб.</t>
  </si>
  <si>
    <t>(сто семь тысяч двести тридцать восемь рублей 70 копеек)</t>
  </si>
  <si>
    <t>за период с 01.06.2018 г. по 30.06.2018 г.</t>
  </si>
  <si>
    <t>Заделка подвальных окон фанерой</t>
  </si>
  <si>
    <t>Установка скамейки</t>
  </si>
  <si>
    <t>2. Всего за период с 01.06.2018 по 30.06.2018 выполнено работ (оказано услуг) на общую сумму: 35787,50 руб.</t>
  </si>
  <si>
    <t>(тридцать пять тысяч семьсот восемьдесят семь рублей 50 копеек)</t>
  </si>
  <si>
    <t>ООО «Движение»</t>
  </si>
  <si>
    <t>за период с 01.07.2018г. по 31.07.2018 г.</t>
  </si>
  <si>
    <r>
      <t xml:space="preserve">    Собственники помещений в многоквартирном доме, расположенном по адресу: пгт.Ярега, ул.Октябрьская, д.43, именуемые в дальнейшем "Заказчик", в лице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, являющегося собственником квартиры №</t>
    </r>
    <r>
      <rPr>
        <u/>
        <sz val="12"/>
        <color theme="1"/>
        <rFont val="Times New Roman"/>
        <family val="1"/>
        <charset val="204"/>
      </rPr>
      <t xml:space="preserve">          </t>
    </r>
    <r>
      <rPr>
        <sz val="12"/>
        <color theme="1"/>
        <rFont val="Times New Roman"/>
        <family val="1"/>
        <charset val="204"/>
      </rPr>
      <t>, находящихся в данном многоквартирном доме, действующего на основании решения от  15.08.2016г.  стороны, и ООО «Движение», именуемое в дальнейшем "Исполнитель", в лице генерального директора Куканова  Юрия  Леонидовича, действующего на основании Устава, с другой стороны, совместно именуемые "Стороны", составили настоящий Акт о нижеследующем:</t>
    </r>
  </si>
  <si>
    <t>Ремонт и регулировка доводчика ( без стоимости доводчика)</t>
  </si>
  <si>
    <t xml:space="preserve">Установка эластичной накладки с закреплением хомутов на болтах трубопровода диаметром до 50 мм           </t>
  </si>
  <si>
    <t>1 место</t>
  </si>
  <si>
    <t>2. Всего за период с 01.07.2018 по 31.07.2018 выполнено работ (оказано услуг) на общую сумму: 33058,95 руб.</t>
  </si>
  <si>
    <t>(тридцать три тысячи пятьдесят восемь рублей 95 копеек)</t>
  </si>
  <si>
    <t>2. Всего за период с 01.01.2018 по 31.01.2018 выполнено работ (оказано услуг) на общую сумму: 46837,05 руб.</t>
  </si>
  <si>
    <t>(сорок шесть тысяч восемьсот тридцать семь рублей 05 копеек)</t>
  </si>
  <si>
    <t>2. Всего за период с 01.02.2018 по 28.02.2018 выполнено работ (оказано услуг) на общую сумму: 41612,82 руб.</t>
  </si>
  <si>
    <t>(сорок одна тысяча шестьсот двенадцать рублей 82 копейки)</t>
  </si>
  <si>
    <t>2. Всего за период с 01.03.2018 по 31.03.2018 выполнено работ (оказано услуг) на общую сумму: 34377,82 руб.</t>
  </si>
  <si>
    <t>(тридцать четыре тысячи триста семьдесят семь рублей 82 копейки)</t>
  </si>
  <si>
    <t>за период с 01.08.2018 г. по 31.08.2018 г.</t>
  </si>
  <si>
    <t>Муфта переходная 32*25</t>
  </si>
  <si>
    <t>Муфта разъемная 25*3/4, НР</t>
  </si>
  <si>
    <t>Колено 32-90</t>
  </si>
  <si>
    <t>Смена трубопроводов на ПП 32*5,4 армир</t>
  </si>
  <si>
    <t xml:space="preserve"> Муфта разъемная с ВР 32х1</t>
  </si>
  <si>
    <t>2. Всего за период с 01.08.2018 по 31.08.2018 выполнено работ (оказано услуг) на общую сумму: 38365,49 руб.</t>
  </si>
  <si>
    <t>(тридцать восемь тысяч триста шестьдесят пять рублей 49 копеек)</t>
  </si>
  <si>
    <t>за период с 01.09.2018 г. по 30.09.2018 г.</t>
  </si>
  <si>
    <t>Смена трубопроводов на полипропиленовые трубы PN25 диаметром 25мм ( кв. 10)</t>
  </si>
  <si>
    <t>2м</t>
  </si>
  <si>
    <t>2. Всего за период с 01.09.2018 по 30.09.2018 выполнено работ (оказано услуг) на общую сумму: 48209,20 руб.</t>
  </si>
  <si>
    <t>(сорок восемь тысяч двести девять рублей 20 копеек)</t>
  </si>
  <si>
    <t>за период с 01.10.2018 г. по 31.10.2018 г.</t>
  </si>
  <si>
    <t>Смена  прокладок</t>
  </si>
  <si>
    <t>Ремонт отмостки</t>
  </si>
  <si>
    <t>Работа автопогрузчика</t>
  </si>
  <si>
    <t>3ч</t>
  </si>
  <si>
    <t>76,5м2</t>
  </si>
  <si>
    <t>2. Всего за период с 01.10.2018 по 31.10.2018 выполнено работ (оказано услуг) на общую сумму: 338743,43 руб.</t>
  </si>
  <si>
    <t>(триста тридцать восемь тысяч семьсот сорок три рубля 43 копейки)</t>
  </si>
  <si>
    <t>за период с 01.11.2018 г. по 30.11.2018 г.</t>
  </si>
  <si>
    <t>Установка хомута диаметром до 50 мм</t>
  </si>
  <si>
    <t>Очистка вручную от снега и наледи люков каналиационных и водопроводных колодцев</t>
  </si>
  <si>
    <t>Смена выключателей</t>
  </si>
  <si>
    <t>2. Всего за период с 01.11.2018 по 30.11.2018 выполнено работ (оказано услуг) на общую сумму: 27350,36 руб.</t>
  </si>
  <si>
    <t>(двадцать семь тысяч триста пятьдесят рублей 36 копеек)</t>
  </si>
  <si>
    <t>за период с 01.12.2018 г. по 31.12.2018 г.</t>
  </si>
  <si>
    <t>2. Всего за период с 01.12.2018 по 31.12.2018 выполнено работ (оказано услуг) на общую сумму: 31117,11 руб.</t>
  </si>
  <si>
    <t>(тридцать одна тысяча сто семнадцать рублей 11 копеек)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</si>
</sst>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0"/>
  </numFmts>
  <fonts count="2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wrapText="1"/>
    </xf>
    <xf numFmtId="0" fontId="2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10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3" fillId="0" borderId="3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65" fontId="0" fillId="0" borderId="0" xfId="0" applyNumberFormat="1" applyFill="1"/>
    <xf numFmtId="4" fontId="15" fillId="0" borderId="3" xfId="0" applyNumberFormat="1" applyFont="1" applyFill="1" applyBorder="1" applyAlignment="1">
      <alignment horizontal="center" vertical="center" wrapText="1"/>
    </xf>
    <xf numFmtId="4" fontId="13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/>
    <xf numFmtId="0" fontId="16" fillId="0" borderId="3" xfId="0" applyFont="1" applyFill="1" applyBorder="1"/>
    <xf numFmtId="4" fontId="13" fillId="2" borderId="3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3" fillId="0" borderId="3" xfId="0" applyFont="1" applyBorder="1"/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lef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wrapText="1"/>
    </xf>
    <xf numFmtId="0" fontId="1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1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4" fontId="13" fillId="0" borderId="5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/>
    </xf>
    <xf numFmtId="4" fontId="13" fillId="0" borderId="14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5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 wrapText="1"/>
    </xf>
    <xf numFmtId="4" fontId="13" fillId="2" borderId="12" xfId="0" applyNumberFormat="1" applyFont="1" applyFill="1" applyBorder="1" applyAlignment="1">
      <alignment horizontal="center" vertical="center"/>
    </xf>
    <xf numFmtId="4" fontId="13" fillId="2" borderId="14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/>
    </xf>
    <xf numFmtId="4" fontId="13" fillId="0" borderId="15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2" fontId="13" fillId="0" borderId="18" xfId="0" applyNumberFormat="1" applyFont="1" applyFill="1" applyBorder="1" applyAlignment="1">
      <alignment horizontal="center" vertical="center" wrapText="1"/>
    </xf>
    <xf numFmtId="4" fontId="13" fillId="2" borderId="15" xfId="0" applyNumberFormat="1" applyFont="1" applyFill="1" applyBorder="1" applyAlignment="1">
      <alignment horizontal="center" vertical="center"/>
    </xf>
    <xf numFmtId="4" fontId="13" fillId="2" borderId="16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 applyProtection="1">
      <alignment horizontal="left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2" borderId="15" xfId="0" applyNumberFormat="1" applyFont="1" applyFill="1" applyBorder="1" applyAlignment="1" applyProtection="1">
      <alignment horizontal="center" vertical="center" wrapText="1"/>
    </xf>
    <xf numFmtId="0" fontId="13" fillId="2" borderId="15" xfId="0" applyNumberFormat="1" applyFont="1" applyFill="1" applyBorder="1" applyAlignment="1" applyProtection="1">
      <alignment horizontal="left" vertical="center" wrapText="1"/>
    </xf>
    <xf numFmtId="0" fontId="13" fillId="2" borderId="15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4" fontId="23" fillId="2" borderId="3" xfId="0" applyNumberFormat="1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center" vertical="center"/>
    </xf>
    <xf numFmtId="0" fontId="13" fillId="2" borderId="20" xfId="0" applyNumberFormat="1" applyFont="1" applyFill="1" applyBorder="1" applyAlignment="1" applyProtection="1">
      <alignment horizontal="left" vertical="center" wrapText="1"/>
    </xf>
    <xf numFmtId="0" fontId="13" fillId="2" borderId="20" xfId="0" applyNumberFormat="1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>
      <alignment horizontal="center" wrapText="1"/>
    </xf>
    <xf numFmtId="0" fontId="13" fillId="0" borderId="2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13" fillId="0" borderId="20" xfId="0" applyNumberFormat="1" applyFont="1" applyFill="1" applyBorder="1" applyAlignment="1" applyProtection="1">
      <alignment horizontal="left" vertical="center" wrapText="1"/>
    </xf>
    <xf numFmtId="0" fontId="13" fillId="0" borderId="20" xfId="0" applyNumberFormat="1" applyFont="1" applyFill="1" applyBorder="1" applyAlignment="1" applyProtection="1">
      <alignment horizontal="center" vertical="center" wrapText="1"/>
    </xf>
    <xf numFmtId="0" fontId="13" fillId="2" borderId="20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left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/>
    </xf>
    <xf numFmtId="4" fontId="13" fillId="0" borderId="20" xfId="0" applyNumberFormat="1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/>
    </xf>
    <xf numFmtId="4" fontId="13" fillId="0" borderId="2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5" fillId="0" borderId="5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13" fillId="0" borderId="24" xfId="0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_Соддома № 13 по ул.Чибьюска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M115" sqref="M11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167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228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43131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206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1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1"/>
        <v>1.4609340719999999</v>
      </c>
      <c r="I32" s="19">
        <f t="shared" ref="I32:I34" si="2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1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1"/>
        <v>3.6445666666666665</v>
      </c>
      <c r="I34" s="19">
        <f t="shared" si="2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1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1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3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3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3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3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3"/>
        <v>6.3691072200000001</v>
      </c>
      <c r="I42" s="19">
        <f>F42/6*G42</f>
        <v>1061.5178699999999</v>
      </c>
      <c r="J42" s="36"/>
    </row>
    <row r="43" spans="1:13" ht="15.75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3"/>
        <v>0.62093579999999993</v>
      </c>
      <c r="I43" s="19">
        <f>F43/7.5*G43</f>
        <v>82.791439999999994</v>
      </c>
      <c r="J43" s="36"/>
    </row>
    <row r="44" spans="1:13" ht="15.75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3"/>
        <v>0.89367300000000005</v>
      </c>
      <c r="I44" s="19">
        <f>F44/7.5*G44</f>
        <v>119.15640000000002</v>
      </c>
      <c r="J44" s="36"/>
    </row>
    <row r="45" spans="1:13" ht="15.75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hidden="1" customHeight="1">
      <c r="A46" s="64">
        <v>15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4">SUM(F46*G46/1000)</f>
        <v>2.2622265960000001</v>
      </c>
      <c r="I46" s="19">
        <f t="shared" ref="I46:I48" si="5">F46/2*G46</f>
        <v>1131.113298</v>
      </c>
      <c r="J46" s="36"/>
    </row>
    <row r="47" spans="1:13" ht="15.75" hidden="1" customHeight="1">
      <c r="A47" s="64">
        <v>16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4"/>
        <v>3.2159742784000001</v>
      </c>
      <c r="I47" s="19">
        <f t="shared" si="5"/>
        <v>1607.9871392</v>
      </c>
      <c r="J47" s="36"/>
    </row>
    <row r="48" spans="1:13" ht="15.75" hidden="1" customHeight="1">
      <c r="A48" s="64">
        <v>17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4"/>
        <v>2.9431196201999996</v>
      </c>
      <c r="I48" s="19">
        <f t="shared" si="5"/>
        <v>1471.5598100999998</v>
      </c>
      <c r="J48" s="36"/>
    </row>
    <row r="49" spans="1:14" ht="15.75" hidden="1" customHeight="1">
      <c r="A49" s="64">
        <v>18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4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12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4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4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4"/>
        <v>0.92409600000000003</v>
      </c>
      <c r="I52" s="19">
        <f t="shared" ref="I52:I53" si="6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4"/>
        <v>0.1406626</v>
      </c>
      <c r="I53" s="19">
        <f t="shared" si="6"/>
        <v>70.331299999999999</v>
      </c>
      <c r="J53" s="36"/>
      <c r="L53" s="28"/>
      <c r="M53" s="29"/>
      <c r="N53" s="30"/>
    </row>
    <row r="54" spans="1:14" ht="15.75" customHeight="1">
      <c r="A54" s="64">
        <v>13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4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164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14</v>
      </c>
      <c r="B61" s="140" t="s">
        <v>146</v>
      </c>
      <c r="C61" s="141" t="s">
        <v>27</v>
      </c>
      <c r="D61" s="140" t="s">
        <v>147</v>
      </c>
      <c r="E61" s="142">
        <v>120</v>
      </c>
      <c r="F61" s="143">
        <f>E61*12</f>
        <v>1440</v>
      </c>
      <c r="G61" s="55">
        <v>1.2</v>
      </c>
      <c r="H61" s="144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customHeight="1">
      <c r="A63" s="64">
        <v>15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7">SUM(F63*G63/1000)</f>
        <v>0.55347999999999997</v>
      </c>
      <c r="I63" s="19">
        <f>G63*2</f>
        <v>553.48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7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8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7"/>
        <v>22.721619299999997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9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7"/>
        <v>1.7693409899999997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7"/>
        <v>35.366961000000003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11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7"/>
        <v>0.40806999999999999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12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7"/>
        <v>0.38072200000000006</v>
      </c>
      <c r="I69" s="19">
        <v>0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7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16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7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8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8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8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9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00" t="s">
        <v>165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17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18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I83+I82+I71+I63+I61+I54+I50+I44+I43+I42+I41+I39+I38+I28+I27+I18+I17+I16</f>
        <v>43996.113918333336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15.75" customHeight="1">
      <c r="A86" s="135">
        <v>19</v>
      </c>
      <c r="B86" s="88" t="s">
        <v>229</v>
      </c>
      <c r="C86" s="89" t="s">
        <v>230</v>
      </c>
      <c r="D86" s="21"/>
      <c r="E86" s="26"/>
      <c r="F86" s="19">
        <v>3</v>
      </c>
      <c r="G86" s="19">
        <v>134.12</v>
      </c>
      <c r="H86" s="102">
        <f t="shared" ref="H86" si="10">G86*F86/1000</f>
        <v>0.40236</v>
      </c>
      <c r="I86" s="145">
        <f>G86*(3)</f>
        <v>402.36</v>
      </c>
    </row>
    <row r="87" spans="1:21" ht="31.5" customHeight="1">
      <c r="A87" s="135">
        <v>20</v>
      </c>
      <c r="B87" s="88" t="s">
        <v>223</v>
      </c>
      <c r="C87" s="89" t="s">
        <v>224</v>
      </c>
      <c r="D87" s="75"/>
      <c r="E87" s="19"/>
      <c r="F87" s="19">
        <v>1.5</v>
      </c>
      <c r="G87" s="19">
        <v>1272</v>
      </c>
      <c r="H87" s="102">
        <f>G87*F87/1000</f>
        <v>1.9079999999999999</v>
      </c>
      <c r="I87" s="19">
        <f>G87*1.5</f>
        <v>1908</v>
      </c>
    </row>
    <row r="88" spans="1:21" ht="31.5" customHeight="1">
      <c r="A88" s="135">
        <v>21</v>
      </c>
      <c r="B88" s="88" t="s">
        <v>231</v>
      </c>
      <c r="C88" s="89" t="s">
        <v>160</v>
      </c>
      <c r="D88" s="75"/>
      <c r="E88" s="19"/>
      <c r="F88" s="19">
        <v>1</v>
      </c>
      <c r="G88" s="19">
        <v>530.58000000000004</v>
      </c>
      <c r="H88" s="102">
        <f t="shared" ref="H88" si="11">G88*F88/1000</f>
        <v>0.53058000000000005</v>
      </c>
      <c r="I88" s="19">
        <f>G88</f>
        <v>530.58000000000004</v>
      </c>
    </row>
    <row r="89" spans="1:21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SUM(I86:I88)</f>
        <v>2840.94</v>
      </c>
    </row>
    <row r="90" spans="1:21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21" ht="15.75" customHeight="1">
      <c r="A91" s="79"/>
      <c r="B91" s="70" t="s">
        <v>219</v>
      </c>
      <c r="C91" s="53"/>
      <c r="D91" s="53"/>
      <c r="E91" s="53"/>
      <c r="F91" s="53"/>
      <c r="G91" s="53"/>
      <c r="H91" s="53"/>
      <c r="I91" s="68">
        <f>I84+I89</f>
        <v>46837.053918333339</v>
      </c>
    </row>
    <row r="92" spans="1:21" ht="15.75">
      <c r="A92" s="190" t="s">
        <v>273</v>
      </c>
      <c r="B92" s="190"/>
      <c r="C92" s="190"/>
      <c r="D92" s="190"/>
      <c r="E92" s="190"/>
      <c r="F92" s="190"/>
      <c r="G92" s="190"/>
      <c r="H92" s="190"/>
      <c r="I92" s="190"/>
    </row>
    <row r="93" spans="1:21" ht="15.75" customHeight="1">
      <c r="A93" s="97"/>
      <c r="B93" s="191" t="s">
        <v>274</v>
      </c>
      <c r="C93" s="191"/>
      <c r="D93" s="191"/>
      <c r="E93" s="191"/>
      <c r="F93" s="191"/>
      <c r="G93" s="191"/>
      <c r="H93" s="101"/>
      <c r="I93" s="3"/>
    </row>
    <row r="94" spans="1:21">
      <c r="A94" s="123"/>
      <c r="B94" s="186" t="s">
        <v>6</v>
      </c>
      <c r="C94" s="186"/>
      <c r="D94" s="186"/>
      <c r="E94" s="186"/>
      <c r="F94" s="186"/>
      <c r="G94" s="186"/>
      <c r="H94" s="37"/>
      <c r="I94" s="5"/>
    </row>
    <row r="95" spans="1:21">
      <c r="A95" s="12"/>
      <c r="B95" s="12"/>
      <c r="C95" s="12"/>
      <c r="D95" s="12"/>
      <c r="E95" s="12"/>
      <c r="F95" s="12"/>
      <c r="G95" s="12"/>
      <c r="H95" s="12"/>
      <c r="I95" s="12"/>
    </row>
    <row r="96" spans="1:21" ht="15.75">
      <c r="A96" s="192" t="s">
        <v>7</v>
      </c>
      <c r="B96" s="192"/>
      <c r="C96" s="192"/>
      <c r="D96" s="192"/>
      <c r="E96" s="192"/>
      <c r="F96" s="192"/>
      <c r="G96" s="192"/>
      <c r="H96" s="192"/>
      <c r="I96" s="192"/>
    </row>
    <row r="97" spans="1:9" ht="16.5" customHeight="1">
      <c r="A97" s="192" t="s">
        <v>8</v>
      </c>
      <c r="B97" s="192"/>
      <c r="C97" s="192"/>
      <c r="D97" s="192"/>
      <c r="E97" s="192"/>
      <c r="F97" s="192"/>
      <c r="G97" s="192"/>
      <c r="H97" s="192"/>
      <c r="I97" s="192"/>
    </row>
    <row r="98" spans="1:9" ht="16.5" customHeight="1">
      <c r="A98" s="193" t="s">
        <v>78</v>
      </c>
      <c r="B98" s="193"/>
      <c r="C98" s="193"/>
      <c r="D98" s="193"/>
      <c r="E98" s="193"/>
      <c r="F98" s="193"/>
      <c r="G98" s="193"/>
      <c r="H98" s="193"/>
      <c r="I98" s="193"/>
    </row>
    <row r="99" spans="1:9" ht="15.75" customHeight="1">
      <c r="A99" s="13"/>
    </row>
    <row r="100" spans="1:9" ht="15.75" customHeight="1">
      <c r="A100" s="184" t="s">
        <v>9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>
      <c r="A101" s="4"/>
    </row>
    <row r="102" spans="1:9" ht="15.75" customHeight="1">
      <c r="B102" s="125" t="s">
        <v>10</v>
      </c>
      <c r="C102" s="185" t="s">
        <v>166</v>
      </c>
      <c r="D102" s="185"/>
      <c r="E102" s="185"/>
      <c r="F102" s="99"/>
      <c r="I102" s="122"/>
    </row>
    <row r="103" spans="1:9">
      <c r="A103" s="123"/>
      <c r="C103" s="186" t="s">
        <v>11</v>
      </c>
      <c r="D103" s="186"/>
      <c r="E103" s="186"/>
      <c r="F103" s="37"/>
      <c r="I103" s="124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25" t="s">
        <v>13</v>
      </c>
      <c r="C105" s="187"/>
      <c r="D105" s="187"/>
      <c r="E105" s="187"/>
      <c r="F105" s="100"/>
      <c r="I105" s="122"/>
    </row>
    <row r="106" spans="1:9">
      <c r="A106" s="123"/>
      <c r="C106" s="188" t="s">
        <v>11</v>
      </c>
      <c r="D106" s="188"/>
      <c r="E106" s="188"/>
      <c r="F106" s="123"/>
      <c r="I106" s="124" t="s">
        <v>12</v>
      </c>
    </row>
    <row r="107" spans="1:9" ht="15.75">
      <c r="A107" s="4" t="s">
        <v>14</v>
      </c>
    </row>
    <row r="108" spans="1:9">
      <c r="A108" s="189" t="s">
        <v>15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45" customHeight="1">
      <c r="A109" s="180" t="s">
        <v>16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30" customHeight="1">
      <c r="A110" s="180" t="s">
        <v>17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0" customHeight="1">
      <c r="A111" s="180" t="s">
        <v>22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" customHeight="1">
      <c r="A112" s="180" t="s">
        <v>21</v>
      </c>
      <c r="B112" s="180"/>
      <c r="C112" s="180"/>
      <c r="D112" s="180"/>
      <c r="E112" s="180"/>
      <c r="F112" s="180"/>
      <c r="G112" s="180"/>
      <c r="H112" s="180"/>
      <c r="I112" s="180"/>
    </row>
  </sheetData>
  <autoFilter ref="I12:I71"/>
  <mergeCells count="29">
    <mergeCell ref="R78:U78"/>
    <mergeCell ref="A81:I81"/>
    <mergeCell ref="A3:I3"/>
    <mergeCell ref="A4:I4"/>
    <mergeCell ref="A5:I5"/>
    <mergeCell ref="A8:I8"/>
    <mergeCell ref="A10:I10"/>
    <mergeCell ref="A14:I14"/>
    <mergeCell ref="A98:I98"/>
    <mergeCell ref="A15:I15"/>
    <mergeCell ref="A29:I29"/>
    <mergeCell ref="A45:I45"/>
    <mergeCell ref="A55:I55"/>
    <mergeCell ref="A109:I109"/>
    <mergeCell ref="A110:I110"/>
    <mergeCell ref="A111:I111"/>
    <mergeCell ref="A112:I112"/>
    <mergeCell ref="A85:I85"/>
    <mergeCell ref="A100:I100"/>
    <mergeCell ref="C102:E102"/>
    <mergeCell ref="C103:E103"/>
    <mergeCell ref="C105:E105"/>
    <mergeCell ref="C106:E106"/>
    <mergeCell ref="A108:I108"/>
    <mergeCell ref="A92:I92"/>
    <mergeCell ref="B93:G93"/>
    <mergeCell ref="B94:G94"/>
    <mergeCell ref="A96:I96"/>
    <mergeCell ref="A97:I97"/>
  </mergeCells>
  <pageMargins left="0.70866141732283472" right="0.23622047244094491" top="0.27559055118110237" bottom="0.27559055118110237" header="0.31496062992125984" footer="0.31496062992125984"/>
  <pageSetup paperSize="9" scale="59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V112"/>
  <sheetViews>
    <sheetView topLeftCell="A18" workbookViewId="0">
      <selection activeCell="M83" sqref="M8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265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226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292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43404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267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5"/>
        <v>0.89367300000000005</v>
      </c>
      <c r="I44" s="19">
        <f>F44/6*G44</f>
        <v>148.94550000000001</v>
      </c>
      <c r="J44" s="36"/>
    </row>
    <row r="45" spans="1:13" ht="20.25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32.25" hidden="1" customHeight="1">
      <c r="A46" s="64">
        <v>11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32.25" hidden="1" customHeight="1">
      <c r="A47" s="64">
        <v>12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6"/>
        <v>3.2159742784000001</v>
      </c>
      <c r="I47" s="19">
        <f t="shared" si="7"/>
        <v>1607.9871392</v>
      </c>
      <c r="J47" s="36"/>
    </row>
    <row r="48" spans="1:13" ht="36" hidden="1" customHeight="1">
      <c r="A48" s="64">
        <v>13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6"/>
        <v>2.9431196201999996</v>
      </c>
      <c r="I48" s="19">
        <f t="shared" si="7"/>
        <v>1471.5598100999998</v>
      </c>
      <c r="J48" s="36"/>
    </row>
    <row r="49" spans="1:14" ht="29.25" hidden="1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26.25" hidden="1" customHeight="1">
      <c r="A50" s="64">
        <v>15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0.75" customHeight="1">
      <c r="A51" s="64">
        <v>9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19.5" customHeight="1">
      <c r="A52" s="64">
        <v>10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23.25" customHeight="1">
      <c r="A53" s="64">
        <v>11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9.5" hidden="1" customHeight="1">
      <c r="A54" s="64">
        <v>16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164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12</v>
      </c>
      <c r="B61" s="113" t="s">
        <v>146</v>
      </c>
      <c r="C61" s="112" t="s">
        <v>27</v>
      </c>
      <c r="D61" s="113" t="s">
        <v>147</v>
      </c>
      <c r="E61" s="114">
        <v>140.4</v>
      </c>
      <c r="F61" s="107">
        <v>1440</v>
      </c>
      <c r="G61" s="19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8" customHeight="1">
      <c r="A63" s="64">
        <v>13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9">SUM(F63*G63/1000)</f>
        <v>0.55347999999999997</v>
      </c>
      <c r="I63" s="19">
        <f>G63*1</f>
        <v>276.74</v>
      </c>
      <c r="J63" s="36"/>
      <c r="L63" s="28"/>
      <c r="M63" s="29"/>
      <c r="N63" s="30"/>
    </row>
    <row r="64" spans="1:14" ht="18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9"/>
        <v>0.18978</v>
      </c>
      <c r="I64" s="19">
        <v>0</v>
      </c>
      <c r="J64" s="36"/>
      <c r="L64" s="28"/>
      <c r="M64" s="29"/>
      <c r="N64" s="30"/>
    </row>
    <row r="65" spans="1:22" ht="17.25" hidden="1" customHeight="1">
      <c r="A65" s="42">
        <v>25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7.25" hidden="1" customHeight="1">
      <c r="A66" s="42">
        <v>26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8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7.25" hidden="1" customHeight="1">
      <c r="A68" s="42">
        <v>28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8.75" hidden="1" customHeight="1">
      <c r="A69" s="42">
        <v>29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7.2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9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14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00" t="s">
        <v>165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15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16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I83+I82+I71+I63+I61+I53+I52+I51+I34+I32+I31+I28+I27+I18+I17+I16</f>
        <v>34627.313995777782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15.75" customHeight="1">
      <c r="A86" s="135">
        <v>17</v>
      </c>
      <c r="B86" s="166" t="s">
        <v>293</v>
      </c>
      <c r="C86" s="173" t="s">
        <v>160</v>
      </c>
      <c r="D86" s="75"/>
      <c r="E86" s="19"/>
      <c r="F86" s="19">
        <v>0.04</v>
      </c>
      <c r="G86" s="165">
        <v>165.12</v>
      </c>
      <c r="H86" s="102">
        <f t="shared" ref="H86:H88" si="13">G86*F86/1000</f>
        <v>6.6048000000000001E-3</v>
      </c>
      <c r="I86" s="136">
        <f>G86*1</f>
        <v>165.12</v>
      </c>
    </row>
    <row r="87" spans="1:21" ht="15.75" customHeight="1">
      <c r="A87" s="135">
        <v>18</v>
      </c>
      <c r="B87" s="166" t="s">
        <v>294</v>
      </c>
      <c r="C87" s="173" t="s">
        <v>27</v>
      </c>
      <c r="D87" s="59" t="s">
        <v>297</v>
      </c>
      <c r="E87" s="55"/>
      <c r="F87" s="55">
        <v>3</v>
      </c>
      <c r="G87" s="165">
        <v>3904</v>
      </c>
      <c r="H87" s="102">
        <f t="shared" si="13"/>
        <v>11.712</v>
      </c>
      <c r="I87" s="136">
        <f>G87*76.5</f>
        <v>298656</v>
      </c>
    </row>
    <row r="88" spans="1:21" ht="18.75" customHeight="1">
      <c r="A88" s="135">
        <v>19</v>
      </c>
      <c r="B88" s="166" t="s">
        <v>295</v>
      </c>
      <c r="C88" s="173" t="s">
        <v>213</v>
      </c>
      <c r="D88" s="23" t="s">
        <v>296</v>
      </c>
      <c r="E88" s="55"/>
      <c r="F88" s="55">
        <v>10.5</v>
      </c>
      <c r="G88" s="165">
        <v>1765</v>
      </c>
      <c r="H88" s="137">
        <f t="shared" si="13"/>
        <v>18.532499999999999</v>
      </c>
      <c r="I88" s="136">
        <f>G88*3</f>
        <v>5295</v>
      </c>
    </row>
    <row r="89" spans="1:21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SUM(I86:I88)</f>
        <v>304116.12</v>
      </c>
    </row>
    <row r="90" spans="1:21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21" ht="15.75" customHeight="1">
      <c r="A91" s="79"/>
      <c r="B91" s="70" t="s">
        <v>219</v>
      </c>
      <c r="C91" s="53"/>
      <c r="D91" s="53"/>
      <c r="E91" s="53"/>
      <c r="F91" s="53"/>
      <c r="G91" s="53"/>
      <c r="H91" s="53"/>
      <c r="I91" s="68">
        <f>I84+I89</f>
        <v>338743.4339957778</v>
      </c>
    </row>
    <row r="92" spans="1:21" ht="15.75">
      <c r="A92" s="190" t="s">
        <v>298</v>
      </c>
      <c r="B92" s="190"/>
      <c r="C92" s="190"/>
      <c r="D92" s="190"/>
      <c r="E92" s="190"/>
      <c r="F92" s="190"/>
      <c r="G92" s="190"/>
      <c r="H92" s="190"/>
      <c r="I92" s="190"/>
    </row>
    <row r="93" spans="1:21" ht="15.75" customHeight="1">
      <c r="A93" s="97"/>
      <c r="B93" s="191" t="s">
        <v>299</v>
      </c>
      <c r="C93" s="191"/>
      <c r="D93" s="191"/>
      <c r="E93" s="191"/>
      <c r="F93" s="191"/>
      <c r="G93" s="191"/>
      <c r="H93" s="101"/>
      <c r="I93" s="3"/>
    </row>
    <row r="94" spans="1:21">
      <c r="A94" s="123"/>
      <c r="B94" s="186" t="s">
        <v>6</v>
      </c>
      <c r="C94" s="186"/>
      <c r="D94" s="186"/>
      <c r="E94" s="186"/>
      <c r="F94" s="186"/>
      <c r="G94" s="186"/>
      <c r="H94" s="37"/>
      <c r="I94" s="5"/>
    </row>
    <row r="95" spans="1:21" ht="15.75" customHeight="1">
      <c r="A95" s="12"/>
      <c r="B95" s="12"/>
      <c r="C95" s="12"/>
      <c r="D95" s="12"/>
      <c r="E95" s="12"/>
      <c r="F95" s="12"/>
      <c r="G95" s="12"/>
      <c r="H95" s="12"/>
      <c r="I95" s="12"/>
    </row>
    <row r="96" spans="1:21" ht="15.75">
      <c r="A96" s="192" t="s">
        <v>7</v>
      </c>
      <c r="B96" s="192"/>
      <c r="C96" s="192"/>
      <c r="D96" s="192"/>
      <c r="E96" s="192"/>
      <c r="F96" s="192"/>
      <c r="G96" s="192"/>
      <c r="H96" s="192"/>
      <c r="I96" s="192"/>
    </row>
    <row r="97" spans="1:9" ht="16.5" customHeight="1">
      <c r="A97" s="192" t="s">
        <v>8</v>
      </c>
      <c r="B97" s="192"/>
      <c r="C97" s="192"/>
      <c r="D97" s="192"/>
      <c r="E97" s="192"/>
      <c r="F97" s="192"/>
      <c r="G97" s="192"/>
      <c r="H97" s="192"/>
      <c r="I97" s="192"/>
    </row>
    <row r="98" spans="1:9" ht="16.5" customHeight="1">
      <c r="A98" s="193" t="s">
        <v>78</v>
      </c>
      <c r="B98" s="193"/>
      <c r="C98" s="193"/>
      <c r="D98" s="193"/>
      <c r="E98" s="193"/>
      <c r="F98" s="193"/>
      <c r="G98" s="193"/>
      <c r="H98" s="193"/>
      <c r="I98" s="193"/>
    </row>
    <row r="99" spans="1:9" ht="15.75" customHeight="1">
      <c r="A99" s="13"/>
    </row>
    <row r="100" spans="1:9" ht="15.75" customHeight="1">
      <c r="A100" s="184" t="s">
        <v>9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>
      <c r="A101" s="4"/>
    </row>
    <row r="102" spans="1:9" ht="15.75" customHeight="1">
      <c r="B102" s="125" t="s">
        <v>10</v>
      </c>
      <c r="C102" s="185" t="s">
        <v>166</v>
      </c>
      <c r="D102" s="185"/>
      <c r="E102" s="185"/>
      <c r="F102" s="99"/>
      <c r="I102" s="122"/>
    </row>
    <row r="103" spans="1:9">
      <c r="A103" s="123"/>
      <c r="C103" s="186" t="s">
        <v>11</v>
      </c>
      <c r="D103" s="186"/>
      <c r="E103" s="186"/>
      <c r="F103" s="37"/>
      <c r="I103" s="124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25" t="s">
        <v>13</v>
      </c>
      <c r="C105" s="187"/>
      <c r="D105" s="187"/>
      <c r="E105" s="187"/>
      <c r="F105" s="100"/>
      <c r="I105" s="122"/>
    </row>
    <row r="106" spans="1:9">
      <c r="A106" s="123"/>
      <c r="C106" s="188" t="s">
        <v>11</v>
      </c>
      <c r="D106" s="188"/>
      <c r="E106" s="188"/>
      <c r="F106" s="123"/>
      <c r="I106" s="124" t="s">
        <v>12</v>
      </c>
    </row>
    <row r="107" spans="1:9" ht="15.75">
      <c r="A107" s="4" t="s">
        <v>14</v>
      </c>
    </row>
    <row r="108" spans="1:9">
      <c r="A108" s="189" t="s">
        <v>15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45" customHeight="1">
      <c r="A109" s="180" t="s">
        <v>16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30" customHeight="1">
      <c r="A110" s="180" t="s">
        <v>17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0" customHeight="1">
      <c r="A111" s="180" t="s">
        <v>22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" customHeight="1">
      <c r="A112" s="180" t="s">
        <v>21</v>
      </c>
      <c r="B112" s="180"/>
      <c r="C112" s="180"/>
      <c r="D112" s="180"/>
      <c r="E112" s="180"/>
      <c r="F112" s="180"/>
      <c r="G112" s="180"/>
      <c r="H112" s="180"/>
      <c r="I112" s="18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V112"/>
  <sheetViews>
    <sheetView topLeftCell="A44" workbookViewId="0">
      <selection activeCell="B61" sqref="B61:I6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4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265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127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300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32"/>
      <c r="C6" s="132"/>
      <c r="D6" s="132"/>
      <c r="E6" s="132"/>
      <c r="F6" s="132"/>
      <c r="G6" s="132"/>
      <c r="H6" s="132"/>
      <c r="I6" s="43">
        <v>43434</v>
      </c>
      <c r="J6" s="2"/>
      <c r="K6" s="2"/>
      <c r="L6" s="2"/>
      <c r="M6" s="2"/>
    </row>
    <row r="7" spans="1:13" ht="15.75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267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3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5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6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7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5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8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5"/>
        <v>6.3691072200000001</v>
      </c>
      <c r="I42" s="19">
        <f>F42/6*G42</f>
        <v>1061.5178699999999</v>
      </c>
      <c r="J42" s="36"/>
    </row>
    <row r="43" spans="1:13" ht="15.75" customHeight="1">
      <c r="A43" s="52">
        <v>9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5"/>
        <v>0.62093579999999993</v>
      </c>
      <c r="I43" s="19">
        <f>F43/7.5*G43</f>
        <v>82.791439999999994</v>
      </c>
      <c r="J43" s="36"/>
    </row>
    <row r="44" spans="1:13" ht="15.75" customHeight="1">
      <c r="A44" s="52">
        <v>10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5"/>
        <v>0.89367300000000005</v>
      </c>
      <c r="I44" s="19">
        <f>F44/7.5*G44</f>
        <v>119.15640000000002</v>
      </c>
      <c r="J44" s="36"/>
    </row>
    <row r="45" spans="1:13" ht="15.75" hidden="1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hidden="1" customHeight="1">
      <c r="A46" s="64">
        <v>11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12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13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15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16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197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31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15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16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3" t="s">
        <v>51</v>
      </c>
      <c r="C59" s="133"/>
      <c r="D59" s="133"/>
      <c r="E59" s="133"/>
      <c r="F59" s="133"/>
      <c r="G59" s="133"/>
      <c r="H59" s="133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11</v>
      </c>
      <c r="B61" s="113" t="s">
        <v>146</v>
      </c>
      <c r="C61" s="112" t="s">
        <v>27</v>
      </c>
      <c r="D61" s="113" t="s">
        <v>147</v>
      </c>
      <c r="E61" s="114">
        <v>140.4</v>
      </c>
      <c r="F61" s="107">
        <v>1440</v>
      </c>
      <c r="G61" s="19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33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18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9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9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12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31"/>
      <c r="B79" s="133" t="s">
        <v>148</v>
      </c>
      <c r="C79" s="117"/>
      <c r="D79" s="47"/>
      <c r="E79" s="117"/>
      <c r="F79" s="117"/>
      <c r="G79" s="117"/>
      <c r="H79" s="134"/>
      <c r="I79" s="26"/>
    </row>
    <row r="80" spans="1:22" ht="15.75" hidden="1" customHeight="1">
      <c r="A80" s="42">
        <v>20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f>G80</f>
        <v>8177.4</v>
      </c>
    </row>
    <row r="81" spans="1:21" ht="15.75" customHeight="1">
      <c r="A81" s="200" t="s">
        <v>198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13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14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31"/>
      <c r="B84" s="62" t="s">
        <v>112</v>
      </c>
      <c r="C84" s="64"/>
      <c r="D84" s="22"/>
      <c r="E84" s="22"/>
      <c r="F84" s="22"/>
      <c r="G84" s="26"/>
      <c r="H84" s="26"/>
      <c r="I84" s="49">
        <f>I83+I82+I71+I61+I44+I43+I42+I41+I39+I38+I27+I18+I17+I16</f>
        <v>26954.183918333332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16.5" customHeight="1">
      <c r="A86" s="135">
        <v>15</v>
      </c>
      <c r="B86" s="166" t="s">
        <v>301</v>
      </c>
      <c r="C86" s="173" t="s">
        <v>119</v>
      </c>
      <c r="D86" s="75"/>
      <c r="E86" s="19"/>
      <c r="F86" s="19">
        <v>5</v>
      </c>
      <c r="G86" s="165">
        <v>203.68</v>
      </c>
      <c r="H86" s="102">
        <f t="shared" ref="H86:H87" si="13">G86*F86/1000</f>
        <v>1.0184000000000002</v>
      </c>
      <c r="I86" s="136">
        <f>G86*1</f>
        <v>203.68</v>
      </c>
    </row>
    <row r="87" spans="1:21" ht="31.5" customHeight="1">
      <c r="A87" s="135">
        <v>16</v>
      </c>
      <c r="B87" s="166" t="s">
        <v>302</v>
      </c>
      <c r="C87" s="173" t="s">
        <v>32</v>
      </c>
      <c r="D87" s="75"/>
      <c r="E87" s="55"/>
      <c r="F87" s="55">
        <v>10.5</v>
      </c>
      <c r="G87" s="165">
        <v>18798.34</v>
      </c>
      <c r="H87" s="137">
        <f t="shared" si="13"/>
        <v>197.38257000000002</v>
      </c>
      <c r="I87" s="136">
        <f>G87*0.599*5/1000</f>
        <v>56.301028299999999</v>
      </c>
    </row>
    <row r="88" spans="1:21" ht="15.75" customHeight="1">
      <c r="A88" s="135">
        <v>17</v>
      </c>
      <c r="B88" s="166" t="s">
        <v>303</v>
      </c>
      <c r="C88" s="173" t="s">
        <v>130</v>
      </c>
      <c r="D88" s="75"/>
      <c r="E88" s="55"/>
      <c r="F88" s="55">
        <v>2</v>
      </c>
      <c r="G88" s="165">
        <v>136.19999999999999</v>
      </c>
      <c r="H88" s="137">
        <f>G88*F88/1000</f>
        <v>0.27239999999999998</v>
      </c>
      <c r="I88" s="136">
        <f>G88*1</f>
        <v>136.19999999999999</v>
      </c>
    </row>
    <row r="89" spans="1:21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SUM(I86:I88)</f>
        <v>396.18102829999998</v>
      </c>
    </row>
    <row r="90" spans="1:21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21" ht="15.75" customHeight="1">
      <c r="A91" s="79"/>
      <c r="B91" s="70" t="s">
        <v>219</v>
      </c>
      <c r="C91" s="53"/>
      <c r="D91" s="53"/>
      <c r="E91" s="53"/>
      <c r="F91" s="53"/>
      <c r="G91" s="53"/>
      <c r="H91" s="53"/>
      <c r="I91" s="68">
        <f>I84+I89</f>
        <v>27350.364946633334</v>
      </c>
    </row>
    <row r="92" spans="1:21" ht="15.75">
      <c r="A92" s="190" t="s">
        <v>304</v>
      </c>
      <c r="B92" s="190"/>
      <c r="C92" s="190"/>
      <c r="D92" s="190"/>
      <c r="E92" s="190"/>
      <c r="F92" s="190"/>
      <c r="G92" s="190"/>
      <c r="H92" s="190"/>
      <c r="I92" s="190"/>
    </row>
    <row r="93" spans="1:21" ht="15.75" customHeight="1">
      <c r="A93" s="97"/>
      <c r="B93" s="191" t="s">
        <v>305</v>
      </c>
      <c r="C93" s="191"/>
      <c r="D93" s="191"/>
      <c r="E93" s="191"/>
      <c r="F93" s="191"/>
      <c r="G93" s="191"/>
      <c r="H93" s="101"/>
      <c r="I93" s="3"/>
    </row>
    <row r="94" spans="1:21">
      <c r="A94" s="129"/>
      <c r="B94" s="186" t="s">
        <v>6</v>
      </c>
      <c r="C94" s="186"/>
      <c r="D94" s="186"/>
      <c r="E94" s="186"/>
      <c r="F94" s="186"/>
      <c r="G94" s="186"/>
      <c r="H94" s="37"/>
      <c r="I94" s="5"/>
    </row>
    <row r="95" spans="1:21" ht="15.75" customHeight="1">
      <c r="A95" s="12"/>
      <c r="B95" s="12"/>
      <c r="C95" s="12"/>
      <c r="D95" s="12"/>
      <c r="E95" s="12"/>
      <c r="F95" s="12"/>
      <c r="G95" s="12"/>
      <c r="H95" s="12"/>
      <c r="I95" s="12"/>
    </row>
    <row r="96" spans="1:21" ht="15.75">
      <c r="A96" s="192" t="s">
        <v>7</v>
      </c>
      <c r="B96" s="192"/>
      <c r="C96" s="192"/>
      <c r="D96" s="192"/>
      <c r="E96" s="192"/>
      <c r="F96" s="192"/>
      <c r="G96" s="192"/>
      <c r="H96" s="192"/>
      <c r="I96" s="192"/>
    </row>
    <row r="97" spans="1:9" ht="16.5" customHeight="1">
      <c r="A97" s="192" t="s">
        <v>8</v>
      </c>
      <c r="B97" s="192"/>
      <c r="C97" s="192"/>
      <c r="D97" s="192"/>
      <c r="E97" s="192"/>
      <c r="F97" s="192"/>
      <c r="G97" s="192"/>
      <c r="H97" s="192"/>
      <c r="I97" s="192"/>
    </row>
    <row r="98" spans="1:9" ht="16.5" customHeight="1">
      <c r="A98" s="193" t="s">
        <v>78</v>
      </c>
      <c r="B98" s="193"/>
      <c r="C98" s="193"/>
      <c r="D98" s="193"/>
      <c r="E98" s="193"/>
      <c r="F98" s="193"/>
      <c r="G98" s="193"/>
      <c r="H98" s="193"/>
      <c r="I98" s="193"/>
    </row>
    <row r="99" spans="1:9" ht="15.75" customHeight="1">
      <c r="A99" s="13"/>
    </row>
    <row r="100" spans="1:9" ht="15.75" customHeight="1">
      <c r="A100" s="184" t="s">
        <v>9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>
      <c r="A101" s="4"/>
    </row>
    <row r="102" spans="1:9" ht="15.75" customHeight="1">
      <c r="B102" s="130" t="s">
        <v>10</v>
      </c>
      <c r="C102" s="185" t="s">
        <v>166</v>
      </c>
      <c r="D102" s="185"/>
      <c r="E102" s="185"/>
      <c r="F102" s="99"/>
      <c r="I102" s="128"/>
    </row>
    <row r="103" spans="1:9">
      <c r="A103" s="129"/>
      <c r="C103" s="186" t="s">
        <v>11</v>
      </c>
      <c r="D103" s="186"/>
      <c r="E103" s="186"/>
      <c r="F103" s="37"/>
      <c r="I103" s="127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30" t="s">
        <v>13</v>
      </c>
      <c r="C105" s="187"/>
      <c r="D105" s="187"/>
      <c r="E105" s="187"/>
      <c r="F105" s="100"/>
      <c r="I105" s="128"/>
    </row>
    <row r="106" spans="1:9">
      <c r="A106" s="129"/>
      <c r="C106" s="188" t="s">
        <v>11</v>
      </c>
      <c r="D106" s="188"/>
      <c r="E106" s="188"/>
      <c r="F106" s="129"/>
      <c r="I106" s="127" t="s">
        <v>12</v>
      </c>
    </row>
    <row r="107" spans="1:9" ht="15.75">
      <c r="A107" s="4" t="s">
        <v>14</v>
      </c>
    </row>
    <row r="108" spans="1:9">
      <c r="A108" s="189" t="s">
        <v>15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45" customHeight="1">
      <c r="A109" s="180" t="s">
        <v>16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30" customHeight="1">
      <c r="A110" s="180" t="s">
        <v>17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0" customHeight="1">
      <c r="A111" s="180" t="s">
        <v>22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" customHeight="1">
      <c r="A112" s="180" t="s">
        <v>21</v>
      </c>
      <c r="B112" s="180"/>
      <c r="C112" s="180"/>
      <c r="D112" s="180"/>
      <c r="E112" s="180"/>
      <c r="F112" s="180"/>
      <c r="G112" s="180"/>
      <c r="H112" s="180"/>
      <c r="I112" s="180"/>
    </row>
  </sheetData>
  <autoFilter ref="I12:I71"/>
  <mergeCells count="29">
    <mergeCell ref="A108:I108"/>
    <mergeCell ref="A109:I109"/>
    <mergeCell ref="A110:I110"/>
    <mergeCell ref="A111:I111"/>
    <mergeCell ref="A112:I112"/>
    <mergeCell ref="R78:U78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V111"/>
  <sheetViews>
    <sheetView tabSelected="1" topLeftCell="A50" workbookViewId="0">
      <selection activeCell="A95" sqref="A95: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265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227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306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32"/>
      <c r="C6" s="132"/>
      <c r="D6" s="132"/>
      <c r="E6" s="132"/>
      <c r="F6" s="132"/>
      <c r="G6" s="132"/>
      <c r="H6" s="132"/>
      <c r="I6" s="43">
        <v>43465</v>
      </c>
      <c r="J6" s="2"/>
      <c r="K6" s="2"/>
      <c r="L6" s="2"/>
      <c r="M6" s="2"/>
    </row>
    <row r="7" spans="1:13" ht="15.75">
      <c r="B7" s="130"/>
      <c r="C7" s="130"/>
      <c r="D7" s="130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267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4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5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hidden="1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3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5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6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7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5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8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5"/>
        <v>6.3691072200000001</v>
      </c>
      <c r="I42" s="19">
        <f>F42/6*G42</f>
        <v>1061.5178699999999</v>
      </c>
      <c r="J42" s="36"/>
    </row>
    <row r="43" spans="1:13" ht="15.75" customHeight="1">
      <c r="A43" s="52">
        <v>9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5"/>
        <v>0.62093579999999993</v>
      </c>
      <c r="I43" s="19">
        <f>F43/7.5*1.5*G43</f>
        <v>124.18715999999999</v>
      </c>
      <c r="J43" s="36"/>
    </row>
    <row r="44" spans="1:13" ht="15.75" customHeight="1">
      <c r="A44" s="52">
        <v>10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5"/>
        <v>0.89367300000000005</v>
      </c>
      <c r="I44" s="19">
        <f>F44/7.5*1.5*G44</f>
        <v>178.73460000000003</v>
      </c>
      <c r="J44" s="36"/>
    </row>
    <row r="45" spans="1:13" ht="15.75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hidden="1" customHeight="1">
      <c r="A46" s="64">
        <v>11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12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13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11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16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164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31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13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16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33" t="s">
        <v>51</v>
      </c>
      <c r="C59" s="133"/>
      <c r="D59" s="133"/>
      <c r="E59" s="133"/>
      <c r="F59" s="133"/>
      <c r="G59" s="133"/>
      <c r="H59" s="133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12</v>
      </c>
      <c r="B61" s="113" t="s">
        <v>146</v>
      </c>
      <c r="C61" s="112" t="s">
        <v>27</v>
      </c>
      <c r="D61" s="113" t="s">
        <v>147</v>
      </c>
      <c r="E61" s="114">
        <v>140.4</v>
      </c>
      <c r="F61" s="107">
        <v>1440</v>
      </c>
      <c r="G61" s="19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33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18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9">SUM(F63*G63/1000)</f>
        <v>0.55347999999999997</v>
      </c>
      <c r="I63" s="19">
        <f>G63*3</f>
        <v>830.22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9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13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31"/>
      <c r="B79" s="133" t="s">
        <v>148</v>
      </c>
      <c r="C79" s="117"/>
      <c r="D79" s="47"/>
      <c r="E79" s="117"/>
      <c r="F79" s="117"/>
      <c r="G79" s="117"/>
      <c r="H79" s="134"/>
      <c r="I79" s="26"/>
    </row>
    <row r="80" spans="1:22" ht="15.75" hidden="1" customHeight="1">
      <c r="A80" s="42">
        <v>20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f>G80</f>
        <v>8177.4</v>
      </c>
    </row>
    <row r="81" spans="1:21" ht="15.75" customHeight="1">
      <c r="A81" s="200" t="s">
        <v>165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14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15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31"/>
      <c r="B84" s="62" t="s">
        <v>112</v>
      </c>
      <c r="C84" s="64"/>
      <c r="D84" s="22"/>
      <c r="E84" s="22"/>
      <c r="F84" s="22"/>
      <c r="G84" s="26"/>
      <c r="H84" s="26"/>
      <c r="I84" s="49">
        <f>I83+I82+I71+I61+I50+I44+I43+I42+I41+I39+I38+I27+I18+I17+I16</f>
        <v>30584.672838333332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31.5" customHeight="1">
      <c r="A86" s="135">
        <v>16</v>
      </c>
      <c r="B86" s="166" t="s">
        <v>302</v>
      </c>
      <c r="C86" s="173" t="s">
        <v>32</v>
      </c>
      <c r="D86" s="75"/>
      <c r="E86" s="19"/>
      <c r="F86" s="19">
        <v>3</v>
      </c>
      <c r="G86" s="165">
        <v>18798.34</v>
      </c>
      <c r="H86" s="102">
        <f t="shared" ref="H86" si="13">G86*F86/1000</f>
        <v>56.395020000000002</v>
      </c>
      <c r="I86" s="136">
        <f>G86*0.599*10/1000</f>
        <v>112.6020566</v>
      </c>
    </row>
    <row r="87" spans="1:21" ht="31.5" customHeight="1">
      <c r="A87" s="214">
        <v>17</v>
      </c>
      <c r="B87" s="166" t="s">
        <v>268</v>
      </c>
      <c r="C87" s="167" t="s">
        <v>130</v>
      </c>
      <c r="D87" s="176"/>
      <c r="E87" s="177"/>
      <c r="F87" s="177"/>
      <c r="G87" s="165">
        <v>419.84</v>
      </c>
      <c r="H87" s="215"/>
      <c r="I87" s="216">
        <f>G87*1</f>
        <v>419.84</v>
      </c>
    </row>
    <row r="88" spans="1:21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SUM(I86:I87)</f>
        <v>532.4420566</v>
      </c>
    </row>
    <row r="89" spans="1:21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21" ht="15.75" customHeight="1">
      <c r="A90" s="79"/>
      <c r="B90" s="70" t="s">
        <v>219</v>
      </c>
      <c r="C90" s="53"/>
      <c r="D90" s="53"/>
      <c r="E90" s="53"/>
      <c r="F90" s="53"/>
      <c r="G90" s="53"/>
      <c r="H90" s="53"/>
      <c r="I90" s="68">
        <f>I84+I88</f>
        <v>31117.114894933333</v>
      </c>
    </row>
    <row r="91" spans="1:21" ht="15.75">
      <c r="A91" s="190" t="s">
        <v>307</v>
      </c>
      <c r="B91" s="190"/>
      <c r="C91" s="190"/>
      <c r="D91" s="190"/>
      <c r="E91" s="190"/>
      <c r="F91" s="190"/>
      <c r="G91" s="190"/>
      <c r="H91" s="190"/>
      <c r="I91" s="190"/>
    </row>
    <row r="92" spans="1:21" ht="15.75" customHeight="1">
      <c r="A92" s="97"/>
      <c r="B92" s="191" t="s">
        <v>308</v>
      </c>
      <c r="C92" s="191"/>
      <c r="D92" s="191"/>
      <c r="E92" s="191"/>
      <c r="F92" s="191"/>
      <c r="G92" s="191"/>
      <c r="H92" s="101"/>
      <c r="I92" s="3"/>
    </row>
    <row r="93" spans="1:21">
      <c r="A93" s="129"/>
      <c r="B93" s="186" t="s">
        <v>6</v>
      </c>
      <c r="C93" s="186"/>
      <c r="D93" s="186"/>
      <c r="E93" s="186"/>
      <c r="F93" s="186"/>
      <c r="G93" s="186"/>
      <c r="H93" s="37"/>
      <c r="I93" s="5"/>
    </row>
    <row r="94" spans="1:21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21" ht="15.75">
      <c r="A95" s="192" t="s">
        <v>7</v>
      </c>
      <c r="B95" s="192"/>
      <c r="C95" s="192"/>
      <c r="D95" s="192"/>
      <c r="E95" s="192"/>
      <c r="F95" s="192"/>
      <c r="G95" s="192"/>
      <c r="H95" s="192"/>
      <c r="I95" s="192"/>
    </row>
    <row r="96" spans="1:21" ht="16.5" customHeight="1">
      <c r="A96" s="192" t="s">
        <v>8</v>
      </c>
      <c r="B96" s="192"/>
      <c r="C96" s="192"/>
      <c r="D96" s="192"/>
      <c r="E96" s="192"/>
      <c r="F96" s="192"/>
      <c r="G96" s="192"/>
      <c r="H96" s="192"/>
      <c r="I96" s="192"/>
    </row>
    <row r="97" spans="1:9" ht="16.5" customHeight="1">
      <c r="A97" s="193" t="s">
        <v>78</v>
      </c>
      <c r="B97" s="193"/>
      <c r="C97" s="193"/>
      <c r="D97" s="193"/>
      <c r="E97" s="193"/>
      <c r="F97" s="193"/>
      <c r="G97" s="193"/>
      <c r="H97" s="193"/>
      <c r="I97" s="193"/>
    </row>
    <row r="98" spans="1:9" ht="15.75" customHeight="1">
      <c r="A98" s="13"/>
    </row>
    <row r="99" spans="1:9" ht="15.75" customHeight="1">
      <c r="A99" s="184" t="s">
        <v>9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4"/>
    </row>
    <row r="101" spans="1:9" ht="15.75" customHeight="1">
      <c r="B101" s="130" t="s">
        <v>10</v>
      </c>
      <c r="C101" s="185" t="s">
        <v>166</v>
      </c>
      <c r="D101" s="185"/>
      <c r="E101" s="185"/>
      <c r="F101" s="99"/>
      <c r="I101" s="128"/>
    </row>
    <row r="102" spans="1:9">
      <c r="A102" s="129"/>
      <c r="C102" s="186" t="s">
        <v>11</v>
      </c>
      <c r="D102" s="186"/>
      <c r="E102" s="186"/>
      <c r="F102" s="37"/>
      <c r="I102" s="127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30" t="s">
        <v>13</v>
      </c>
      <c r="C104" s="187"/>
      <c r="D104" s="187"/>
      <c r="E104" s="187"/>
      <c r="F104" s="100"/>
      <c r="I104" s="128"/>
    </row>
    <row r="105" spans="1:9">
      <c r="A105" s="129"/>
      <c r="C105" s="188" t="s">
        <v>11</v>
      </c>
      <c r="D105" s="188"/>
      <c r="E105" s="188"/>
      <c r="F105" s="129"/>
      <c r="I105" s="127" t="s">
        <v>12</v>
      </c>
    </row>
    <row r="106" spans="1:9" ht="15.75">
      <c r="A106" s="4" t="s">
        <v>14</v>
      </c>
    </row>
    <row r="107" spans="1:9">
      <c r="A107" s="189" t="s">
        <v>15</v>
      </c>
      <c r="B107" s="189"/>
      <c r="C107" s="189"/>
      <c r="D107" s="189"/>
      <c r="E107" s="189"/>
      <c r="F107" s="189"/>
      <c r="G107" s="189"/>
      <c r="H107" s="189"/>
      <c r="I107" s="189"/>
    </row>
    <row r="108" spans="1:9" ht="45" customHeight="1">
      <c r="A108" s="180" t="s">
        <v>16</v>
      </c>
      <c r="B108" s="180"/>
      <c r="C108" s="180"/>
      <c r="D108" s="180"/>
      <c r="E108" s="180"/>
      <c r="F108" s="180"/>
      <c r="G108" s="180"/>
      <c r="H108" s="180"/>
      <c r="I108" s="180"/>
    </row>
    <row r="109" spans="1:9" ht="30" customHeight="1">
      <c r="A109" s="180" t="s">
        <v>17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30" customHeight="1">
      <c r="A110" s="180" t="s">
        <v>22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15" customHeight="1">
      <c r="A111" s="180" t="s">
        <v>21</v>
      </c>
      <c r="B111" s="180"/>
      <c r="C111" s="180"/>
      <c r="D111" s="180"/>
      <c r="E111" s="180"/>
      <c r="F111" s="180"/>
      <c r="G111" s="180"/>
      <c r="H111" s="180"/>
      <c r="I111" s="180"/>
    </row>
  </sheetData>
  <autoFilter ref="I12:I71"/>
  <mergeCells count="29">
    <mergeCell ref="A107:I107"/>
    <mergeCell ref="A108:I108"/>
    <mergeCell ref="A109:I109"/>
    <mergeCell ref="A110:I110"/>
    <mergeCell ref="A111:I111"/>
    <mergeCell ref="R78:U7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3:I3"/>
    <mergeCell ref="A4:I4"/>
    <mergeCell ref="A5:I5"/>
    <mergeCell ref="A8:I8"/>
    <mergeCell ref="A10:I10"/>
    <mergeCell ref="A14:I14"/>
    <mergeCell ref="A15:I15"/>
    <mergeCell ref="A29:I29"/>
    <mergeCell ref="A45:I45"/>
    <mergeCell ref="A55:I5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0"/>
  <sheetViews>
    <sheetView view="pageLayout" zoomScale="50" zoomScaleSheetLayoutView="106" zoomScalePageLayoutView="50" workbookViewId="0">
      <selection sqref="A1:G191"/>
    </sheetView>
  </sheetViews>
  <sheetFormatPr defaultRowHeight="15"/>
  <cols>
    <col min="1" max="1" width="6" customWidth="1"/>
    <col min="2" max="2" width="49.42578125" customWidth="1"/>
    <col min="3" max="3" width="17.28515625" customWidth="1"/>
    <col min="4" max="4" width="16.85546875" customWidth="1"/>
    <col min="5" max="5" width="0.140625" customWidth="1"/>
    <col min="6" max="7" width="21" customWidth="1"/>
    <col min="8" max="8" width="11.140625" customWidth="1"/>
    <col min="9" max="9" width="9.5703125" bestFit="1" customWidth="1"/>
  </cols>
  <sheetData>
    <row r="1" spans="1:12" ht="15.75">
      <c r="B1" s="40" t="s">
        <v>126</v>
      </c>
      <c r="G1" s="39"/>
      <c r="H1" s="3"/>
    </row>
    <row r="2" spans="1:12" ht="15.75">
      <c r="B2" s="41" t="s">
        <v>80</v>
      </c>
      <c r="H2" s="5"/>
      <c r="I2" s="5"/>
      <c r="J2" s="45"/>
      <c r="K2" s="45"/>
    </row>
    <row r="3" spans="1:12" ht="15.75">
      <c r="A3" s="203" t="s">
        <v>127</v>
      </c>
      <c r="B3" s="203"/>
      <c r="C3" s="203"/>
      <c r="D3" s="203"/>
      <c r="E3" s="203"/>
      <c r="F3" s="203"/>
      <c r="G3" s="203"/>
      <c r="H3" s="3"/>
      <c r="I3" s="3"/>
      <c r="J3" s="3"/>
      <c r="K3" s="3"/>
      <c r="L3" s="38"/>
    </row>
    <row r="4" spans="1:12" ht="15.75">
      <c r="A4" s="204" t="s">
        <v>128</v>
      </c>
      <c r="B4" s="204"/>
      <c r="C4" s="204"/>
      <c r="D4" s="204"/>
      <c r="E4" s="204"/>
      <c r="F4" s="204"/>
      <c r="G4" s="204"/>
      <c r="H4" s="5"/>
      <c r="I4" s="5"/>
      <c r="J4" s="5"/>
      <c r="L4" s="188"/>
    </row>
    <row r="5" spans="1:12" ht="13.5" customHeight="1">
      <c r="A5" s="203" t="s">
        <v>129</v>
      </c>
      <c r="B5" s="205"/>
      <c r="C5" s="205"/>
      <c r="D5" s="205"/>
      <c r="E5" s="205"/>
      <c r="F5" s="205"/>
      <c r="G5" s="205"/>
      <c r="H5" s="6"/>
      <c r="I5" s="6"/>
      <c r="J5" s="6"/>
      <c r="L5" s="188"/>
    </row>
    <row r="6" spans="1:12" ht="31.5" customHeight="1">
      <c r="A6" s="2"/>
      <c r="B6" s="84"/>
      <c r="C6" s="84"/>
      <c r="D6" s="84"/>
      <c r="E6" s="84"/>
      <c r="F6" s="84"/>
      <c r="G6" s="43">
        <v>42704</v>
      </c>
      <c r="H6" s="3"/>
      <c r="I6" s="3"/>
      <c r="J6" s="3"/>
      <c r="K6" s="3"/>
      <c r="L6" s="38"/>
    </row>
    <row r="7" spans="1:12" ht="15.75">
      <c r="B7" s="80"/>
      <c r="C7" s="80"/>
      <c r="D7" s="80"/>
      <c r="E7" s="3"/>
      <c r="F7" s="3"/>
      <c r="I7" s="5"/>
      <c r="J7" s="5"/>
      <c r="K7" s="45"/>
    </row>
    <row r="8" spans="1:12" ht="86.25" customHeight="1">
      <c r="A8" s="206" t="s">
        <v>135</v>
      </c>
      <c r="B8" s="206"/>
      <c r="C8" s="206"/>
      <c r="D8" s="206"/>
      <c r="E8" s="206"/>
      <c r="F8" s="206"/>
      <c r="G8" s="206"/>
      <c r="H8" s="2"/>
      <c r="I8" s="2"/>
      <c r="J8" s="2"/>
      <c r="K8" s="2"/>
    </row>
    <row r="9" spans="1:12" ht="17.25" customHeight="1">
      <c r="A9" s="4"/>
    </row>
    <row r="10" spans="1:12" ht="51.75" customHeight="1">
      <c r="A10" s="207" t="s">
        <v>136</v>
      </c>
      <c r="B10" s="207"/>
      <c r="C10" s="207"/>
      <c r="D10" s="207"/>
      <c r="E10" s="207"/>
      <c r="F10" s="207"/>
      <c r="G10" s="207"/>
      <c r="H10" s="2"/>
      <c r="I10" s="2"/>
      <c r="J10" s="2"/>
      <c r="K10" s="2"/>
    </row>
    <row r="11" spans="1:12" ht="16.5" customHeight="1">
      <c r="A11" s="3"/>
      <c r="B11" s="3"/>
      <c r="C11" s="37"/>
      <c r="D11" s="37"/>
      <c r="E11" s="37"/>
      <c r="F11" s="37"/>
      <c r="G11" s="37"/>
      <c r="H11" s="2"/>
      <c r="I11" s="2"/>
      <c r="J11" s="2"/>
      <c r="K11" s="2"/>
    </row>
    <row r="12" spans="1:12" ht="17.25" customHeight="1">
      <c r="A12" s="4"/>
      <c r="H12" s="2"/>
      <c r="I12" s="2"/>
      <c r="J12" s="2"/>
      <c r="K12" s="2"/>
    </row>
    <row r="13" spans="1:12" ht="60" customHeight="1">
      <c r="A13" s="8" t="s">
        <v>0</v>
      </c>
      <c r="B13" s="8" t="s">
        <v>1</v>
      </c>
      <c r="C13" s="8" t="s">
        <v>2</v>
      </c>
      <c r="D13" s="8" t="s">
        <v>18</v>
      </c>
      <c r="E13" s="8" t="s">
        <v>19</v>
      </c>
      <c r="F13" s="8" t="s">
        <v>23</v>
      </c>
      <c r="G13" s="8" t="s">
        <v>3</v>
      </c>
      <c r="H13" s="7"/>
      <c r="I13" s="7"/>
      <c r="J13" s="7"/>
      <c r="K13" s="7"/>
    </row>
    <row r="14" spans="1:12" ht="17.25" customHeigh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5</v>
      </c>
      <c r="G14" s="9">
        <v>6</v>
      </c>
    </row>
    <row r="15" spans="1:12" ht="18" customHeight="1">
      <c r="A15" s="208" t="s">
        <v>73</v>
      </c>
      <c r="B15" s="208"/>
      <c r="C15" s="208"/>
      <c r="D15" s="208"/>
      <c r="E15" s="208"/>
      <c r="F15" s="208"/>
      <c r="G15" s="208"/>
    </row>
    <row r="16" spans="1:12" ht="16.5" customHeight="1">
      <c r="A16" s="208" t="s">
        <v>4</v>
      </c>
      <c r="B16" s="208"/>
      <c r="C16" s="208"/>
      <c r="D16" s="208"/>
      <c r="E16" s="208"/>
      <c r="F16" s="208"/>
      <c r="G16" s="208"/>
      <c r="H16" s="10"/>
      <c r="I16" s="10"/>
      <c r="J16" s="10"/>
      <c r="K16" s="10"/>
    </row>
    <row r="17" spans="1:11" ht="30" customHeight="1">
      <c r="A17" s="42">
        <v>1</v>
      </c>
      <c r="B17" s="51" t="s">
        <v>137</v>
      </c>
      <c r="C17" s="63" t="s">
        <v>138</v>
      </c>
      <c r="D17" s="51" t="s">
        <v>139</v>
      </c>
      <c r="E17" s="42"/>
      <c r="F17" s="50">
        <v>218.21</v>
      </c>
      <c r="G17" s="42">
        <v>1080.79</v>
      </c>
      <c r="H17" s="10"/>
      <c r="I17" s="10"/>
      <c r="J17" s="10"/>
      <c r="K17" s="10"/>
    </row>
    <row r="18" spans="1:11" ht="33" customHeight="1">
      <c r="A18" s="42">
        <v>2</v>
      </c>
      <c r="B18" s="51" t="s">
        <v>140</v>
      </c>
      <c r="C18" s="63" t="s">
        <v>138</v>
      </c>
      <c r="D18" s="51" t="s">
        <v>141</v>
      </c>
      <c r="E18" s="42"/>
      <c r="F18" s="50">
        <v>218.21</v>
      </c>
      <c r="G18" s="42">
        <v>2163.48</v>
      </c>
      <c r="H18" s="10"/>
      <c r="I18" s="10"/>
      <c r="J18" s="10"/>
      <c r="K18" s="10"/>
    </row>
    <row r="19" spans="1:11" ht="33" customHeight="1">
      <c r="A19" s="42">
        <v>3</v>
      </c>
      <c r="B19" s="51" t="s">
        <v>142</v>
      </c>
      <c r="C19" s="63" t="s">
        <v>138</v>
      </c>
      <c r="D19" s="51" t="s">
        <v>143</v>
      </c>
      <c r="E19" s="42"/>
      <c r="F19" s="50">
        <v>627.77</v>
      </c>
      <c r="G19" s="42">
        <v>1914.7</v>
      </c>
      <c r="H19" s="10"/>
      <c r="I19" s="10"/>
      <c r="J19" s="10"/>
      <c r="K19" s="10"/>
    </row>
    <row r="20" spans="1:11" ht="15" customHeight="1">
      <c r="A20" s="64">
        <v>4</v>
      </c>
      <c r="B20" s="58" t="s">
        <v>84</v>
      </c>
      <c r="C20" s="59" t="s">
        <v>35</v>
      </c>
      <c r="D20" s="58" t="s">
        <v>26</v>
      </c>
      <c r="E20" s="25">
        <v>506.1</v>
      </c>
      <c r="F20" s="50">
        <v>182.96</v>
      </c>
      <c r="G20" s="26">
        <v>556.5</v>
      </c>
      <c r="H20" s="10"/>
      <c r="I20" s="10"/>
      <c r="J20" s="10"/>
      <c r="K20" s="10"/>
    </row>
    <row r="21" spans="1:11" ht="15" customHeight="1">
      <c r="A21" s="64">
        <v>5</v>
      </c>
      <c r="B21" s="16" t="s">
        <v>24</v>
      </c>
      <c r="C21" s="17" t="s">
        <v>25</v>
      </c>
      <c r="D21" s="42"/>
      <c r="E21" s="25">
        <v>506.1</v>
      </c>
      <c r="F21" s="50">
        <v>3.43</v>
      </c>
      <c r="G21" s="26">
        <v>7074.38</v>
      </c>
      <c r="H21" s="10"/>
      <c r="I21" s="10"/>
      <c r="J21" s="10"/>
      <c r="K21" s="10"/>
    </row>
    <row r="22" spans="1:11" ht="15" customHeight="1">
      <c r="A22" s="208" t="s">
        <v>122</v>
      </c>
      <c r="B22" s="208"/>
      <c r="C22" s="208"/>
      <c r="D22" s="208"/>
      <c r="E22" s="208"/>
      <c r="F22" s="208"/>
      <c r="G22" s="208"/>
      <c r="H22" s="10"/>
      <c r="I22" s="10"/>
      <c r="J22" s="10"/>
      <c r="K22" s="10"/>
    </row>
    <row r="23" spans="1:11" ht="15.75" customHeight="1">
      <c r="A23" s="64"/>
      <c r="B23" s="74" t="s">
        <v>31</v>
      </c>
      <c r="C23" s="74"/>
      <c r="D23" s="74"/>
      <c r="E23" s="74"/>
      <c r="F23" s="74"/>
      <c r="G23" s="26"/>
      <c r="H23" s="10"/>
      <c r="I23" s="10"/>
      <c r="J23" s="10"/>
      <c r="K23" s="44"/>
    </row>
    <row r="24" spans="1:11" ht="16.5" customHeight="1">
      <c r="A24" s="64">
        <v>2</v>
      </c>
      <c r="B24" s="21" t="s">
        <v>81</v>
      </c>
      <c r="C24" s="23" t="s">
        <v>32</v>
      </c>
      <c r="D24" s="42" t="s">
        <v>123</v>
      </c>
      <c r="E24" s="20">
        <v>2.31</v>
      </c>
      <c r="F24" s="55">
        <v>155.88999999999999</v>
      </c>
      <c r="G24" s="19">
        <v>187.63</v>
      </c>
      <c r="H24" s="10"/>
      <c r="I24" s="10"/>
      <c r="J24" s="10"/>
      <c r="K24" s="10"/>
    </row>
    <row r="25" spans="1:11" ht="28.5" customHeight="1">
      <c r="A25" s="64">
        <v>3</v>
      </c>
      <c r="B25" s="21" t="s">
        <v>125</v>
      </c>
      <c r="C25" s="23" t="s">
        <v>32</v>
      </c>
      <c r="D25" s="42" t="s">
        <v>124</v>
      </c>
      <c r="E25" s="19">
        <f>0.0024*3*4.5</f>
        <v>3.2399999999999998E-2</v>
      </c>
      <c r="F25" s="55">
        <v>258.63</v>
      </c>
      <c r="G25" s="26">
        <v>836.01</v>
      </c>
      <c r="H25" s="10"/>
      <c r="I25" s="10"/>
      <c r="J25" s="10"/>
      <c r="K25" s="10"/>
    </row>
    <row r="26" spans="1:11" ht="16.5" customHeight="1">
      <c r="A26" s="64">
        <v>4</v>
      </c>
      <c r="B26" s="58" t="s">
        <v>85</v>
      </c>
      <c r="C26" s="59" t="s">
        <v>35</v>
      </c>
      <c r="D26" s="64" t="s">
        <v>28</v>
      </c>
      <c r="E26" s="24">
        <v>0</v>
      </c>
      <c r="F26" s="55">
        <v>191.32</v>
      </c>
      <c r="G26" s="26">
        <v>0</v>
      </c>
      <c r="H26" s="10"/>
      <c r="I26" s="10"/>
      <c r="J26" s="10"/>
      <c r="K26" s="10"/>
    </row>
    <row r="27" spans="1:11" ht="16.5" customHeight="1">
      <c r="A27" s="64">
        <v>5</v>
      </c>
      <c r="B27" s="21" t="s">
        <v>30</v>
      </c>
      <c r="C27" s="23" t="s">
        <v>32</v>
      </c>
      <c r="D27" s="42" t="s">
        <v>82</v>
      </c>
      <c r="E27" s="24">
        <v>0</v>
      </c>
      <c r="F27" s="19">
        <v>3020.33</v>
      </c>
      <c r="G27" s="26">
        <v>0</v>
      </c>
      <c r="H27" s="10"/>
      <c r="I27" s="48">
        <f>0.8952/2</f>
        <v>0.4476</v>
      </c>
      <c r="J27" s="10"/>
      <c r="K27" s="10"/>
    </row>
    <row r="28" spans="1:11" ht="18.75" customHeight="1">
      <c r="A28" s="64">
        <v>4</v>
      </c>
      <c r="B28" s="21" t="s">
        <v>113</v>
      </c>
      <c r="C28" s="23" t="s">
        <v>33</v>
      </c>
      <c r="D28" s="42" t="s">
        <v>83</v>
      </c>
      <c r="E28" s="19">
        <v>3.75</v>
      </c>
      <c r="F28" s="55">
        <v>56.69</v>
      </c>
      <c r="G28" s="19">
        <v>488.16</v>
      </c>
      <c r="H28" s="10"/>
      <c r="I28" s="10"/>
      <c r="J28" s="10"/>
      <c r="K28" s="10"/>
    </row>
    <row r="29" spans="1:11" ht="15" customHeight="1">
      <c r="A29" s="42">
        <v>7</v>
      </c>
      <c r="B29" s="58" t="s">
        <v>84</v>
      </c>
      <c r="C29" s="59" t="s">
        <v>35</v>
      </c>
      <c r="D29" s="64" t="s">
        <v>121</v>
      </c>
      <c r="E29" s="19">
        <v>0</v>
      </c>
      <c r="F29" s="55">
        <v>147.03</v>
      </c>
      <c r="G29" s="19">
        <v>447.22</v>
      </c>
      <c r="H29" s="10"/>
      <c r="I29" s="10"/>
      <c r="J29" s="10"/>
      <c r="K29" s="10"/>
    </row>
    <row r="30" spans="1:11" ht="15" customHeight="1">
      <c r="A30" s="42">
        <v>8</v>
      </c>
      <c r="B30" s="58" t="s">
        <v>86</v>
      </c>
      <c r="C30" s="59" t="s">
        <v>34</v>
      </c>
      <c r="D30" s="64" t="s">
        <v>28</v>
      </c>
      <c r="E30" s="19"/>
      <c r="F30" s="55">
        <v>1136.33</v>
      </c>
      <c r="G30" s="19">
        <v>0</v>
      </c>
      <c r="H30" s="10"/>
      <c r="I30" s="10"/>
      <c r="J30" s="10"/>
      <c r="K30" s="10"/>
    </row>
    <row r="31" spans="1:11" ht="15" customHeight="1">
      <c r="A31" s="64"/>
      <c r="B31" s="72" t="s">
        <v>5</v>
      </c>
      <c r="C31" s="72"/>
      <c r="D31" s="72"/>
      <c r="E31" s="19"/>
      <c r="F31" s="20"/>
      <c r="G31" s="26"/>
      <c r="H31" s="10"/>
      <c r="I31" s="10"/>
      <c r="J31" s="10"/>
      <c r="K31" s="10"/>
    </row>
    <row r="32" spans="1:11" ht="16.5" customHeight="1">
      <c r="A32" s="52">
        <v>3</v>
      </c>
      <c r="B32" s="21" t="s">
        <v>29</v>
      </c>
      <c r="C32" s="23" t="s">
        <v>34</v>
      </c>
      <c r="D32" s="42" t="s">
        <v>28</v>
      </c>
      <c r="E32" s="19">
        <v>0</v>
      </c>
      <c r="F32" s="55">
        <v>1527.22</v>
      </c>
      <c r="G32" s="19">
        <v>381.81</v>
      </c>
      <c r="H32" s="10"/>
      <c r="I32" s="10"/>
      <c r="J32" s="10"/>
      <c r="K32" s="10"/>
    </row>
    <row r="33" spans="1:12" ht="16.5" customHeight="1">
      <c r="A33" s="52">
        <v>4</v>
      </c>
      <c r="B33" s="21" t="s">
        <v>88</v>
      </c>
      <c r="C33" s="23" t="s">
        <v>32</v>
      </c>
      <c r="D33" s="93" t="s">
        <v>89</v>
      </c>
      <c r="E33" s="19">
        <v>0</v>
      </c>
      <c r="F33" s="56">
        <v>2102.71</v>
      </c>
      <c r="G33" s="19">
        <v>1140.72</v>
      </c>
      <c r="H33" s="10"/>
      <c r="I33" s="10"/>
      <c r="J33" s="10"/>
      <c r="K33" s="10"/>
    </row>
    <row r="34" spans="1:12" ht="31.5" customHeight="1">
      <c r="A34" s="52">
        <v>5</v>
      </c>
      <c r="B34" s="58" t="s">
        <v>90</v>
      </c>
      <c r="C34" s="23" t="s">
        <v>32</v>
      </c>
      <c r="D34" s="64" t="s">
        <v>91</v>
      </c>
      <c r="E34" s="19">
        <v>0</v>
      </c>
      <c r="F34" s="55">
        <v>350.75</v>
      </c>
      <c r="G34" s="19">
        <v>28.06</v>
      </c>
      <c r="H34" s="10"/>
      <c r="I34" s="10"/>
      <c r="J34" s="10"/>
      <c r="K34" s="10"/>
    </row>
    <row r="35" spans="1:12" ht="60">
      <c r="A35" s="52">
        <v>6</v>
      </c>
      <c r="B35" s="58" t="s">
        <v>118</v>
      </c>
      <c r="C35" s="23" t="s">
        <v>32</v>
      </c>
      <c r="D35" s="64" t="s">
        <v>91</v>
      </c>
      <c r="E35" s="19">
        <v>0</v>
      </c>
      <c r="F35" s="55">
        <v>5803.28</v>
      </c>
      <c r="G35" s="19">
        <v>203.11</v>
      </c>
      <c r="H35" s="10"/>
      <c r="I35" s="10"/>
      <c r="J35" s="10"/>
      <c r="K35" s="10"/>
    </row>
    <row r="36" spans="1:12">
      <c r="A36" s="52">
        <v>7</v>
      </c>
      <c r="B36" s="87" t="s">
        <v>92</v>
      </c>
      <c r="C36" s="17" t="s">
        <v>32</v>
      </c>
      <c r="D36" s="64" t="s">
        <v>93</v>
      </c>
      <c r="E36" s="19">
        <v>0</v>
      </c>
      <c r="F36" s="55">
        <v>428.7</v>
      </c>
      <c r="G36" s="19">
        <v>57.87</v>
      </c>
      <c r="H36" s="10"/>
      <c r="I36" s="10"/>
      <c r="J36" s="10"/>
      <c r="K36" s="10"/>
    </row>
    <row r="37" spans="1:12" ht="13.5" customHeight="1">
      <c r="A37" s="52">
        <v>8</v>
      </c>
      <c r="B37" s="94" t="s">
        <v>94</v>
      </c>
      <c r="C37" s="17" t="s">
        <v>35</v>
      </c>
      <c r="D37" s="87"/>
      <c r="E37" s="19">
        <v>0</v>
      </c>
      <c r="F37" s="56">
        <v>798</v>
      </c>
      <c r="G37" s="19">
        <v>26.6</v>
      </c>
      <c r="H37" s="10"/>
      <c r="I37" s="10"/>
      <c r="J37" s="10"/>
      <c r="K37" s="10"/>
    </row>
    <row r="38" spans="1:12" ht="15" customHeight="1">
      <c r="A38" s="209" t="s">
        <v>79</v>
      </c>
      <c r="B38" s="210"/>
      <c r="C38" s="210"/>
      <c r="D38" s="210"/>
      <c r="E38" s="210"/>
      <c r="F38" s="210"/>
      <c r="G38" s="211"/>
      <c r="H38" s="10"/>
      <c r="I38" s="10"/>
    </row>
    <row r="39" spans="1:12" ht="27" customHeight="1">
      <c r="A39" s="64">
        <v>15</v>
      </c>
      <c r="B39" s="21" t="s">
        <v>36</v>
      </c>
      <c r="C39" s="23" t="s">
        <v>32</v>
      </c>
      <c r="D39" s="42" t="s">
        <v>76</v>
      </c>
      <c r="E39" s="26">
        <v>0.42</v>
      </c>
      <c r="F39" s="55">
        <v>809.74</v>
      </c>
      <c r="G39" s="27">
        <v>0</v>
      </c>
    </row>
    <row r="40" spans="1:12" ht="31.5" customHeight="1">
      <c r="A40" s="64">
        <v>16</v>
      </c>
      <c r="B40" s="21" t="s">
        <v>37</v>
      </c>
      <c r="C40" s="23" t="s">
        <v>38</v>
      </c>
      <c r="D40" s="42" t="s">
        <v>76</v>
      </c>
      <c r="E40" s="26">
        <v>1.35</v>
      </c>
      <c r="F40" s="55">
        <v>72.81</v>
      </c>
      <c r="G40" s="27">
        <v>0</v>
      </c>
    </row>
    <row r="41" spans="1:12" ht="31.5" customHeight="1">
      <c r="A41" s="64">
        <v>17</v>
      </c>
      <c r="B41" s="21" t="s">
        <v>39</v>
      </c>
      <c r="C41" s="23" t="s">
        <v>32</v>
      </c>
      <c r="D41" s="42" t="s">
        <v>76</v>
      </c>
      <c r="E41" s="26">
        <v>0.03</v>
      </c>
      <c r="F41" s="55">
        <v>579.48</v>
      </c>
      <c r="G41" s="27">
        <v>0</v>
      </c>
    </row>
    <row r="42" spans="1:12" ht="29.25" customHeight="1">
      <c r="A42" s="64">
        <v>18</v>
      </c>
      <c r="B42" s="21" t="s">
        <v>40</v>
      </c>
      <c r="C42" s="23" t="s">
        <v>32</v>
      </c>
      <c r="D42" s="42" t="s">
        <v>76</v>
      </c>
      <c r="E42" s="26">
        <v>0.33</v>
      </c>
      <c r="F42" s="55">
        <v>579.48</v>
      </c>
      <c r="G42" s="27">
        <v>0</v>
      </c>
    </row>
    <row r="43" spans="1:12" ht="27.75" customHeight="1">
      <c r="A43" s="64">
        <v>19</v>
      </c>
      <c r="B43" s="21" t="s">
        <v>116</v>
      </c>
      <c r="C43" s="23" t="s">
        <v>32</v>
      </c>
      <c r="D43" s="42" t="s">
        <v>76</v>
      </c>
      <c r="E43" s="26">
        <v>0.22</v>
      </c>
      <c r="F43" s="55">
        <v>1213.55</v>
      </c>
      <c r="G43" s="19">
        <v>0</v>
      </c>
    </row>
    <row r="44" spans="1:12" ht="30.75" customHeight="1">
      <c r="A44" s="64">
        <v>9</v>
      </c>
      <c r="B44" s="21" t="s">
        <v>42</v>
      </c>
      <c r="C44" s="23" t="s">
        <v>32</v>
      </c>
      <c r="D44" s="42" t="s">
        <v>76</v>
      </c>
      <c r="E44" s="26">
        <v>0.22</v>
      </c>
      <c r="F44" s="55">
        <v>1213.55</v>
      </c>
      <c r="G44" s="27">
        <v>309.7</v>
      </c>
    </row>
    <row r="45" spans="1:12" ht="30.75" customHeight="1">
      <c r="A45" s="64">
        <v>10</v>
      </c>
      <c r="B45" s="21" t="s">
        <v>43</v>
      </c>
      <c r="C45" s="23" t="s">
        <v>44</v>
      </c>
      <c r="D45" s="42" t="s">
        <v>76</v>
      </c>
      <c r="E45" s="26">
        <v>0.02</v>
      </c>
      <c r="F45" s="55">
        <v>2730.49</v>
      </c>
      <c r="G45" s="27">
        <v>54.61</v>
      </c>
      <c r="J45" s="28"/>
      <c r="K45" s="29"/>
      <c r="L45" s="30"/>
    </row>
    <row r="46" spans="1:12" ht="28.5" customHeight="1">
      <c r="A46" s="64">
        <v>11</v>
      </c>
      <c r="B46" s="21" t="s">
        <v>45</v>
      </c>
      <c r="C46" s="23" t="s">
        <v>46</v>
      </c>
      <c r="D46" s="42" t="s">
        <v>76</v>
      </c>
      <c r="E46" s="26">
        <v>0.01</v>
      </c>
      <c r="F46" s="55">
        <v>5652.13</v>
      </c>
      <c r="G46" s="27">
        <v>56.52</v>
      </c>
      <c r="J46" s="28"/>
      <c r="K46" s="29"/>
      <c r="L46" s="30"/>
    </row>
    <row r="47" spans="1:12" ht="14.25" customHeight="1">
      <c r="A47" s="64">
        <v>23</v>
      </c>
      <c r="B47" s="21" t="s">
        <v>47</v>
      </c>
      <c r="C47" s="23" t="s">
        <v>33</v>
      </c>
      <c r="D47" s="64" t="s">
        <v>95</v>
      </c>
      <c r="E47" s="26">
        <v>8</v>
      </c>
      <c r="F47" s="56">
        <v>141.12</v>
      </c>
      <c r="G47" s="19">
        <v>0</v>
      </c>
      <c r="J47" s="28"/>
      <c r="K47" s="29"/>
      <c r="L47" s="30"/>
    </row>
    <row r="48" spans="1:12" ht="16.5" customHeight="1">
      <c r="A48" s="64">
        <v>24</v>
      </c>
      <c r="B48" s="21" t="s">
        <v>48</v>
      </c>
      <c r="C48" s="23" t="s">
        <v>33</v>
      </c>
      <c r="D48" s="64" t="s">
        <v>95</v>
      </c>
      <c r="E48" s="26">
        <v>16</v>
      </c>
      <c r="F48" s="56">
        <v>65.67</v>
      </c>
      <c r="G48" s="19">
        <v>0</v>
      </c>
      <c r="J48" s="28"/>
      <c r="K48" s="29"/>
      <c r="L48" s="30"/>
    </row>
    <row r="49" spans="1:12" ht="15" customHeight="1">
      <c r="A49" s="209" t="s">
        <v>77</v>
      </c>
      <c r="B49" s="210"/>
      <c r="C49" s="210"/>
      <c r="D49" s="210"/>
      <c r="E49" s="210"/>
      <c r="F49" s="210"/>
      <c r="G49" s="211"/>
      <c r="J49" s="28"/>
      <c r="K49" s="29"/>
      <c r="L49" s="30"/>
    </row>
    <row r="50" spans="1:12" ht="13.5" customHeight="1">
      <c r="A50" s="76"/>
      <c r="B50" s="71" t="s">
        <v>50</v>
      </c>
      <c r="C50" s="23"/>
      <c r="D50" s="31"/>
      <c r="E50" s="31"/>
      <c r="F50" s="46"/>
      <c r="G50" s="26"/>
      <c r="J50" s="28"/>
      <c r="K50" s="29"/>
      <c r="L50" s="30"/>
    </row>
    <row r="51" spans="1:12" ht="44.25" customHeight="1">
      <c r="A51" s="64">
        <v>12</v>
      </c>
      <c r="B51" s="21" t="s">
        <v>114</v>
      </c>
      <c r="C51" s="23" t="s">
        <v>62</v>
      </c>
      <c r="D51" s="22" t="s">
        <v>96</v>
      </c>
      <c r="E51" s="26">
        <v>0</v>
      </c>
      <c r="F51" s="55">
        <v>1547.28</v>
      </c>
      <c r="G51" s="27">
        <v>508.59</v>
      </c>
      <c r="J51" s="28"/>
      <c r="K51" s="29"/>
      <c r="L51" s="30"/>
    </row>
    <row r="52" spans="1:12" ht="15.75" customHeight="1">
      <c r="A52" s="64">
        <v>26</v>
      </c>
      <c r="B52" s="58" t="s">
        <v>108</v>
      </c>
      <c r="C52" s="23" t="s">
        <v>62</v>
      </c>
      <c r="D52" s="22" t="s">
        <v>109</v>
      </c>
      <c r="E52" s="26"/>
      <c r="F52" s="55">
        <v>1547.28</v>
      </c>
      <c r="G52" s="27">
        <v>0</v>
      </c>
      <c r="J52" s="28"/>
      <c r="K52" s="29"/>
      <c r="L52" s="30"/>
    </row>
    <row r="53" spans="1:12" ht="15.75" customHeight="1">
      <c r="A53" s="64"/>
      <c r="B53" s="209" t="s">
        <v>51</v>
      </c>
      <c r="C53" s="210"/>
      <c r="D53" s="210"/>
      <c r="E53" s="210"/>
      <c r="F53" s="211"/>
      <c r="G53" s="54"/>
      <c r="J53" s="28"/>
      <c r="K53" s="29"/>
      <c r="L53" s="30"/>
    </row>
    <row r="54" spans="1:12" ht="14.25" customHeight="1">
      <c r="A54" s="64">
        <v>27</v>
      </c>
      <c r="B54" s="21" t="s">
        <v>52</v>
      </c>
      <c r="C54" s="23" t="s">
        <v>62</v>
      </c>
      <c r="D54" s="42" t="s">
        <v>63</v>
      </c>
      <c r="E54" s="26">
        <v>0</v>
      </c>
      <c r="F54" s="55">
        <v>793.61</v>
      </c>
      <c r="G54" s="27">
        <f>E54/2</f>
        <v>0</v>
      </c>
      <c r="J54" s="28"/>
      <c r="K54" s="29"/>
      <c r="L54" s="30"/>
    </row>
    <row r="55" spans="1:12" ht="16.5" customHeight="1">
      <c r="A55" s="64"/>
      <c r="B55" s="86" t="s">
        <v>53</v>
      </c>
      <c r="C55" s="23"/>
      <c r="D55" s="22"/>
      <c r="E55" s="22"/>
      <c r="F55" s="42"/>
      <c r="G55" s="26"/>
      <c r="J55" s="28"/>
      <c r="K55" s="29"/>
      <c r="L55" s="30"/>
    </row>
    <row r="56" spans="1:12" ht="15" customHeight="1">
      <c r="A56" s="64">
        <v>28</v>
      </c>
      <c r="B56" s="21" t="s">
        <v>54</v>
      </c>
      <c r="C56" s="23" t="s">
        <v>33</v>
      </c>
      <c r="D56" s="22" t="s">
        <v>28</v>
      </c>
      <c r="E56" s="26">
        <v>0</v>
      </c>
      <c r="F56" s="55">
        <v>222.4</v>
      </c>
      <c r="G56" s="27">
        <v>0</v>
      </c>
      <c r="J56" s="28"/>
      <c r="K56" s="29"/>
      <c r="L56" s="30"/>
    </row>
    <row r="57" spans="1:12" ht="15.75" customHeight="1">
      <c r="A57" s="42">
        <v>29</v>
      </c>
      <c r="B57" s="21" t="s">
        <v>55</v>
      </c>
      <c r="C57" s="23" t="s">
        <v>33</v>
      </c>
      <c r="D57" s="22" t="s">
        <v>28</v>
      </c>
      <c r="E57" s="26">
        <v>0</v>
      </c>
      <c r="F57" s="55">
        <v>76.25</v>
      </c>
      <c r="G57" s="27">
        <f>E57/2</f>
        <v>0</v>
      </c>
      <c r="J57" s="28"/>
      <c r="K57" s="29"/>
      <c r="L57" s="30"/>
    </row>
    <row r="58" spans="1:12" ht="15.75" customHeight="1">
      <c r="A58" s="42">
        <v>8</v>
      </c>
      <c r="B58" s="21" t="s">
        <v>56</v>
      </c>
      <c r="C58" s="23" t="s">
        <v>38</v>
      </c>
      <c r="D58" s="42" t="s">
        <v>63</v>
      </c>
      <c r="E58" s="26">
        <v>13.47</v>
      </c>
      <c r="F58" s="55">
        <v>212.15</v>
      </c>
      <c r="G58" s="26">
        <v>7955.63</v>
      </c>
      <c r="J58" s="28"/>
      <c r="K58" s="29"/>
      <c r="L58" s="30"/>
    </row>
    <row r="59" spans="1:12" ht="15.75" customHeight="1">
      <c r="A59" s="42">
        <v>9</v>
      </c>
      <c r="B59" s="21" t="s">
        <v>57</v>
      </c>
      <c r="C59" s="23" t="s">
        <v>64</v>
      </c>
      <c r="D59" s="42" t="s">
        <v>63</v>
      </c>
      <c r="E59" s="26">
        <v>1.35</v>
      </c>
      <c r="F59" s="55">
        <v>165.21</v>
      </c>
      <c r="G59" s="26">
        <v>619.54</v>
      </c>
      <c r="J59" s="28"/>
      <c r="K59" s="29"/>
      <c r="L59" s="30"/>
    </row>
    <row r="60" spans="1:12" ht="15.75" customHeight="1">
      <c r="A60" s="42">
        <v>10</v>
      </c>
      <c r="B60" s="87" t="s">
        <v>58</v>
      </c>
      <c r="C60" s="23" t="s">
        <v>65</v>
      </c>
      <c r="D60" s="42" t="s">
        <v>63</v>
      </c>
      <c r="E60" s="26">
        <v>0</v>
      </c>
      <c r="F60" s="55">
        <v>2074.63</v>
      </c>
      <c r="G60" s="26">
        <v>12447.78</v>
      </c>
      <c r="J60" s="28"/>
      <c r="K60" s="29"/>
      <c r="L60" s="30"/>
    </row>
    <row r="61" spans="1:12" ht="15.75" customHeight="1">
      <c r="A61" s="42">
        <v>11</v>
      </c>
      <c r="B61" s="87" t="s">
        <v>71</v>
      </c>
      <c r="C61" s="23" t="s">
        <v>72</v>
      </c>
      <c r="D61" s="42" t="s">
        <v>63</v>
      </c>
      <c r="E61" s="18">
        <v>0</v>
      </c>
      <c r="F61" s="55">
        <v>49.88</v>
      </c>
      <c r="G61" s="26">
        <v>0</v>
      </c>
      <c r="J61" s="28"/>
      <c r="K61" s="29"/>
      <c r="L61" s="30"/>
    </row>
    <row r="62" spans="1:12" ht="30.75" customHeight="1">
      <c r="A62" s="42">
        <v>12</v>
      </c>
      <c r="B62" s="77" t="s">
        <v>97</v>
      </c>
      <c r="C62" s="59" t="s">
        <v>35</v>
      </c>
      <c r="D62" s="42"/>
      <c r="E62" s="18"/>
      <c r="F62" s="55">
        <v>45.32</v>
      </c>
      <c r="G62" s="26">
        <v>543.84</v>
      </c>
      <c r="J62" s="28"/>
      <c r="K62" s="29"/>
      <c r="L62" s="30"/>
    </row>
    <row r="63" spans="1:12" ht="15.75" customHeight="1">
      <c r="A63" s="42">
        <v>13</v>
      </c>
      <c r="B63" s="77" t="s">
        <v>98</v>
      </c>
      <c r="C63" s="59" t="s">
        <v>35</v>
      </c>
      <c r="D63" s="42"/>
      <c r="E63" s="18"/>
      <c r="F63" s="55">
        <v>42.28</v>
      </c>
      <c r="G63" s="26">
        <v>507.36</v>
      </c>
      <c r="J63" s="28"/>
      <c r="K63" s="29"/>
      <c r="L63" s="30"/>
    </row>
    <row r="64" spans="1:12" ht="29.25" customHeight="1">
      <c r="A64" s="76"/>
      <c r="B64" s="209" t="s">
        <v>66</v>
      </c>
      <c r="C64" s="210"/>
      <c r="D64" s="210"/>
      <c r="E64" s="210"/>
      <c r="F64" s="211"/>
      <c r="G64" s="26"/>
      <c r="J64" s="28"/>
      <c r="K64" s="29"/>
      <c r="L64" s="30"/>
    </row>
    <row r="65" spans="1:20" ht="17.25" customHeight="1">
      <c r="A65" s="42">
        <v>36</v>
      </c>
      <c r="B65" s="21" t="s">
        <v>59</v>
      </c>
      <c r="C65" s="23" t="s">
        <v>67</v>
      </c>
      <c r="D65" s="42" t="s">
        <v>63</v>
      </c>
      <c r="E65" s="26">
        <v>0</v>
      </c>
      <c r="F65" s="57">
        <v>3779.8</v>
      </c>
      <c r="G65" s="26">
        <v>0</v>
      </c>
      <c r="J65" s="28"/>
      <c r="K65" s="29"/>
      <c r="L65" s="30"/>
    </row>
    <row r="66" spans="1:20" ht="15.75" customHeight="1">
      <c r="A66" s="42"/>
      <c r="B66" s="72" t="s">
        <v>99</v>
      </c>
      <c r="C66" s="72"/>
      <c r="D66" s="72"/>
      <c r="E66" s="26"/>
      <c r="F66" s="42"/>
      <c r="G66" s="26"/>
      <c r="J66" s="28"/>
      <c r="K66" s="29"/>
      <c r="L66" s="30"/>
    </row>
    <row r="67" spans="1:20" ht="14.25" customHeight="1">
      <c r="A67" s="42">
        <v>37</v>
      </c>
      <c r="B67" s="58" t="s">
        <v>100</v>
      </c>
      <c r="C67" s="59" t="s">
        <v>102</v>
      </c>
      <c r="D67" s="42"/>
      <c r="E67" s="26"/>
      <c r="F67" s="55">
        <v>501.62</v>
      </c>
      <c r="G67" s="26">
        <v>0</v>
      </c>
      <c r="J67" s="28"/>
      <c r="K67" s="29"/>
      <c r="L67" s="30"/>
    </row>
    <row r="68" spans="1:20" ht="15.75" customHeight="1">
      <c r="A68" s="42">
        <v>38</v>
      </c>
      <c r="B68" s="58" t="s">
        <v>101</v>
      </c>
      <c r="C68" s="59" t="s">
        <v>33</v>
      </c>
      <c r="D68" s="42"/>
      <c r="E68" s="26"/>
      <c r="F68" s="55">
        <v>852.99</v>
      </c>
      <c r="G68" s="26">
        <v>0</v>
      </c>
      <c r="J68" s="28"/>
      <c r="K68" s="29"/>
      <c r="L68" s="30"/>
    </row>
    <row r="69" spans="1:20" ht="15.75" customHeight="1">
      <c r="A69" s="42"/>
      <c r="B69" s="73" t="s">
        <v>103</v>
      </c>
      <c r="C69" s="59"/>
      <c r="D69" s="42"/>
      <c r="E69" s="26"/>
      <c r="F69" s="55"/>
      <c r="G69" s="26"/>
      <c r="J69" s="28"/>
      <c r="K69" s="29"/>
      <c r="L69" s="30"/>
    </row>
    <row r="70" spans="1:20" ht="16.5" customHeight="1">
      <c r="A70" s="42">
        <v>39</v>
      </c>
      <c r="B70" s="60" t="s">
        <v>104</v>
      </c>
      <c r="C70" s="61" t="s">
        <v>105</v>
      </c>
      <c r="D70" s="53"/>
      <c r="E70" s="26"/>
      <c r="F70" s="56">
        <v>2759.44</v>
      </c>
      <c r="G70" s="26">
        <v>0</v>
      </c>
      <c r="J70" s="28"/>
      <c r="K70" s="29"/>
      <c r="L70" s="30"/>
    </row>
    <row r="71" spans="1:20" ht="15" customHeight="1">
      <c r="A71" s="42"/>
      <c r="B71" s="86" t="s">
        <v>74</v>
      </c>
      <c r="C71" s="86"/>
      <c r="D71" s="86"/>
      <c r="E71" s="26"/>
      <c r="F71" s="42"/>
      <c r="G71" s="26"/>
      <c r="H71" s="32">
        <f>G21+G24+G25+G26+G27+G28+G29+G30+G32+G33+G34+G35+G36+G37+G39+G40+G41+G42+G43+G44+G45+G46+G47+G48+G51+G53+G55+G56+G57+G58+G59+G60+G61+G62+G64+G66+G67+G69+G71+G72</f>
        <v>34234.239999999998</v>
      </c>
      <c r="J71" s="28"/>
      <c r="K71" s="29"/>
      <c r="L71" s="30"/>
    </row>
    <row r="72" spans="1:20" ht="27.75" customHeight="1">
      <c r="A72" s="42">
        <v>13</v>
      </c>
      <c r="B72" s="47" t="s">
        <v>110</v>
      </c>
      <c r="C72" s="23" t="s">
        <v>68</v>
      </c>
      <c r="D72" s="22" t="s">
        <v>69</v>
      </c>
      <c r="E72" s="22">
        <v>327.9</v>
      </c>
      <c r="F72" s="55">
        <v>2.1</v>
      </c>
      <c r="G72" s="19">
        <v>866.46</v>
      </c>
      <c r="H72" s="32"/>
      <c r="J72" s="28"/>
      <c r="K72" s="29"/>
      <c r="L72" s="30"/>
    </row>
    <row r="73" spans="1:20" ht="15" customHeight="1">
      <c r="A73" s="42">
        <v>14</v>
      </c>
      <c r="B73" s="58" t="s">
        <v>106</v>
      </c>
      <c r="C73" s="23"/>
      <c r="D73" s="22"/>
      <c r="E73" s="22"/>
      <c r="F73" s="55">
        <v>1.63</v>
      </c>
      <c r="G73" s="19">
        <v>672.54</v>
      </c>
      <c r="H73" s="32"/>
      <c r="J73" s="28"/>
      <c r="K73" s="29"/>
      <c r="L73" s="30"/>
    </row>
    <row r="74" spans="1:20" ht="15" customHeight="1">
      <c r="A74" s="76"/>
      <c r="B74" s="62" t="s">
        <v>112</v>
      </c>
      <c r="C74" s="64"/>
      <c r="D74" s="22"/>
      <c r="E74" s="22"/>
      <c r="F74" s="26"/>
      <c r="G74" s="49">
        <f>SUM(G20+G21+G32+G33+G34+G35+G36+G37+G44+G45+G46+G51+G72+G73)</f>
        <v>11937.470000000005</v>
      </c>
      <c r="H74" s="32"/>
      <c r="J74" s="28"/>
      <c r="K74" s="29"/>
      <c r="L74" s="30"/>
    </row>
    <row r="75" spans="1:20">
      <c r="A75" s="76"/>
      <c r="B75" s="95" t="s">
        <v>75</v>
      </c>
      <c r="C75" s="95"/>
      <c r="D75" s="95"/>
      <c r="E75" s="95"/>
      <c r="F75" s="95"/>
      <c r="G75" s="95"/>
      <c r="H75" s="33">
        <f>SUM(H21:H72)</f>
        <v>34234.239999999998</v>
      </c>
      <c r="J75" s="33"/>
    </row>
    <row r="76" spans="1:20">
      <c r="A76" s="42">
        <v>15</v>
      </c>
      <c r="B76" s="88" t="s">
        <v>115</v>
      </c>
      <c r="C76" s="89" t="s">
        <v>130</v>
      </c>
      <c r="D76" s="19">
        <v>1</v>
      </c>
      <c r="E76" s="22"/>
      <c r="F76" s="19">
        <v>180.15</v>
      </c>
      <c r="G76" s="19">
        <v>180.15</v>
      </c>
    </row>
    <row r="77" spans="1:20" ht="30">
      <c r="A77" s="42">
        <v>16</v>
      </c>
      <c r="B77" s="90" t="s">
        <v>131</v>
      </c>
      <c r="C77" s="91" t="s">
        <v>68</v>
      </c>
      <c r="D77" s="19">
        <f>0.2</f>
        <v>0.2</v>
      </c>
      <c r="E77" s="22"/>
      <c r="F77" s="19">
        <v>64.599999999999994</v>
      </c>
      <c r="G77" s="19">
        <v>12.92</v>
      </c>
    </row>
    <row r="78" spans="1:20" ht="15.75" customHeight="1">
      <c r="A78" s="42">
        <v>17</v>
      </c>
      <c r="B78" s="92" t="s">
        <v>132</v>
      </c>
      <c r="C78" s="89" t="s">
        <v>130</v>
      </c>
      <c r="D78" s="19">
        <v>1</v>
      </c>
      <c r="E78" s="22"/>
      <c r="F78" s="19">
        <v>295.58999999999997</v>
      </c>
      <c r="G78" s="19">
        <v>295.58999999999997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1"/>
    </row>
    <row r="79" spans="1:20" ht="15.75" customHeight="1">
      <c r="A79" s="42"/>
      <c r="B79" s="69" t="s">
        <v>60</v>
      </c>
      <c r="C79" s="65"/>
      <c r="D79" s="78"/>
      <c r="E79" s="65">
        <v>1</v>
      </c>
      <c r="F79" s="65"/>
      <c r="G79" s="49">
        <f>SUM(G76+G77+G78)</f>
        <v>488.65999999999997</v>
      </c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</row>
    <row r="80" spans="1:20">
      <c r="A80" s="42"/>
      <c r="B80" s="75" t="s">
        <v>107</v>
      </c>
      <c r="C80" s="22"/>
      <c r="D80" s="22"/>
      <c r="E80" s="66"/>
      <c r="F80" s="67"/>
      <c r="G80" s="25">
        <v>0</v>
      </c>
      <c r="H80" s="5"/>
      <c r="I80" s="5"/>
      <c r="J80" s="5"/>
      <c r="K80" s="5"/>
      <c r="L80" s="5"/>
      <c r="M80" s="5"/>
      <c r="N80" s="5"/>
      <c r="O80" s="5"/>
      <c r="P80" s="188"/>
      <c r="Q80" s="188"/>
      <c r="R80" s="188"/>
      <c r="S80" s="188"/>
    </row>
    <row r="81" spans="1:19">
      <c r="A81" s="79"/>
      <c r="B81" s="70" t="s">
        <v>61</v>
      </c>
      <c r="C81" s="53"/>
      <c r="D81" s="53"/>
      <c r="E81" s="53"/>
      <c r="F81" s="53"/>
      <c r="G81" s="68">
        <f>G74+G79</f>
        <v>12426.130000000005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5.75" customHeight="1">
      <c r="A82" s="190" t="s">
        <v>133</v>
      </c>
      <c r="B82" s="190"/>
      <c r="C82" s="190"/>
      <c r="D82" s="190"/>
      <c r="E82" s="190"/>
      <c r="F82" s="190"/>
      <c r="G82" s="190"/>
    </row>
    <row r="83" spans="1:19" ht="15.75" customHeight="1">
      <c r="A83" s="85"/>
      <c r="B83" s="191" t="s">
        <v>134</v>
      </c>
      <c r="C83" s="191"/>
      <c r="D83" s="191"/>
      <c r="E83" s="191"/>
      <c r="F83" s="191"/>
      <c r="G83" s="3"/>
    </row>
    <row r="84" spans="1:19" ht="15.75" customHeight="1">
      <c r="A84" s="82"/>
      <c r="B84" s="186" t="s">
        <v>6</v>
      </c>
      <c r="C84" s="186"/>
      <c r="D84" s="186"/>
      <c r="E84" s="186"/>
      <c r="F84" s="186"/>
      <c r="G84" s="5"/>
    </row>
    <row r="85" spans="1:19">
      <c r="A85" s="12"/>
      <c r="B85" s="12"/>
      <c r="C85" s="12"/>
      <c r="D85" s="12"/>
      <c r="E85" s="12"/>
      <c r="F85" s="12"/>
      <c r="G85" s="12"/>
    </row>
    <row r="86" spans="1:19" ht="15.75">
      <c r="A86" s="192" t="s">
        <v>7</v>
      </c>
      <c r="B86" s="192"/>
      <c r="C86" s="192"/>
      <c r="D86" s="192"/>
      <c r="E86" s="192"/>
      <c r="F86" s="192"/>
      <c r="G86" s="192"/>
    </row>
    <row r="87" spans="1:19" ht="15.75">
      <c r="A87" s="192" t="s">
        <v>8</v>
      </c>
      <c r="B87" s="192"/>
      <c r="C87" s="192"/>
      <c r="D87" s="192"/>
      <c r="E87" s="192"/>
      <c r="F87" s="192"/>
      <c r="G87" s="192"/>
    </row>
    <row r="88" spans="1:19" ht="15.75" customHeight="1">
      <c r="A88" s="193" t="s">
        <v>78</v>
      </c>
      <c r="B88" s="193"/>
      <c r="C88" s="193"/>
      <c r="D88" s="193"/>
      <c r="E88" s="193"/>
      <c r="F88" s="193"/>
      <c r="G88" s="193"/>
    </row>
    <row r="89" spans="1:19" ht="15.75">
      <c r="A89" s="13"/>
    </row>
    <row r="90" spans="1:19" ht="15.75" customHeight="1">
      <c r="A90" s="184" t="s">
        <v>9</v>
      </c>
      <c r="B90" s="184"/>
      <c r="C90" s="184"/>
      <c r="D90" s="184"/>
      <c r="E90" s="184"/>
      <c r="F90" s="184"/>
      <c r="G90" s="184"/>
    </row>
    <row r="91" spans="1:19" ht="15.75" customHeight="1">
      <c r="A91" s="4"/>
    </row>
    <row r="92" spans="1:19" ht="15.75" customHeight="1">
      <c r="B92" s="80" t="s">
        <v>10</v>
      </c>
      <c r="C92" s="213" t="s">
        <v>117</v>
      </c>
      <c r="D92" s="213"/>
      <c r="E92" s="213"/>
      <c r="G92" s="83"/>
    </row>
    <row r="93" spans="1:19">
      <c r="A93" s="82"/>
      <c r="C93" s="186" t="s">
        <v>11</v>
      </c>
      <c r="D93" s="186"/>
      <c r="E93" s="186"/>
      <c r="G93" s="81" t="s">
        <v>12</v>
      </c>
    </row>
    <row r="94" spans="1:19" ht="15.75">
      <c r="A94" s="38"/>
      <c r="C94" s="14"/>
      <c r="D94" s="14"/>
      <c r="F94" s="14"/>
    </row>
    <row r="95" spans="1:19" ht="15.75">
      <c r="B95" s="80" t="s">
        <v>13</v>
      </c>
      <c r="C95" s="187"/>
      <c r="D95" s="187"/>
      <c r="E95" s="187"/>
      <c r="G95" s="83"/>
    </row>
    <row r="96" spans="1:19">
      <c r="A96" s="82"/>
      <c r="C96" s="188" t="s">
        <v>11</v>
      </c>
      <c r="D96" s="188"/>
      <c r="E96" s="188"/>
      <c r="G96" s="81" t="s">
        <v>12</v>
      </c>
    </row>
    <row r="98" spans="1:7" ht="15.75">
      <c r="A98" s="4" t="s">
        <v>14</v>
      </c>
    </row>
    <row r="111" spans="1:7" ht="15.75">
      <c r="A111" s="4" t="s">
        <v>14</v>
      </c>
    </row>
    <row r="112" spans="1:7">
      <c r="A112" s="189" t="s">
        <v>15</v>
      </c>
      <c r="B112" s="189"/>
      <c r="C112" s="189"/>
      <c r="D112" s="189"/>
      <c r="E112" s="189"/>
      <c r="F112" s="189"/>
      <c r="G112" s="189"/>
    </row>
    <row r="113" spans="1:7" ht="16.5">
      <c r="A113" s="212" t="s">
        <v>16</v>
      </c>
      <c r="B113" s="212"/>
      <c r="C113" s="212"/>
      <c r="D113" s="212"/>
      <c r="E113" s="212"/>
      <c r="F113" s="212"/>
      <c r="G113" s="212"/>
    </row>
    <row r="114" spans="1:7" ht="16.5">
      <c r="A114" s="212" t="s">
        <v>17</v>
      </c>
      <c r="B114" s="212"/>
      <c r="C114" s="212"/>
      <c r="D114" s="212"/>
      <c r="E114" s="212"/>
      <c r="F114" s="212"/>
      <c r="G114" s="212"/>
    </row>
    <row r="115" spans="1:7" ht="16.5">
      <c r="A115" s="212" t="s">
        <v>22</v>
      </c>
      <c r="B115" s="212"/>
      <c r="C115" s="212"/>
      <c r="D115" s="212"/>
      <c r="E115" s="212"/>
      <c r="F115" s="212"/>
      <c r="G115" s="212"/>
    </row>
    <row r="116" spans="1:7" ht="16.5">
      <c r="A116" s="212" t="s">
        <v>21</v>
      </c>
      <c r="B116" s="212"/>
      <c r="C116" s="212"/>
      <c r="D116" s="212"/>
      <c r="E116" s="212"/>
      <c r="F116" s="212"/>
      <c r="G116" s="212"/>
    </row>
    <row r="183" spans="1:7" ht="15.75" customHeight="1">
      <c r="A183" s="4" t="s">
        <v>14</v>
      </c>
    </row>
    <row r="184" spans="1:7">
      <c r="A184" s="189" t="s">
        <v>15</v>
      </c>
      <c r="B184" s="189"/>
      <c r="C184" s="189"/>
      <c r="D184" s="189"/>
      <c r="E184" s="189"/>
      <c r="F184" s="189"/>
      <c r="G184" s="189"/>
    </row>
    <row r="185" spans="1:7" ht="16.5">
      <c r="A185" s="212" t="s">
        <v>16</v>
      </c>
      <c r="B185" s="212"/>
      <c r="C185" s="212"/>
      <c r="D185" s="212"/>
      <c r="E185" s="212"/>
      <c r="F185" s="212"/>
      <c r="G185" s="212"/>
    </row>
    <row r="186" spans="1:7" ht="16.5">
      <c r="A186" s="212" t="s">
        <v>17</v>
      </c>
      <c r="B186" s="212"/>
      <c r="C186" s="212"/>
      <c r="D186" s="212"/>
      <c r="E186" s="212"/>
      <c r="F186" s="212"/>
      <c r="G186" s="212"/>
    </row>
    <row r="187" spans="1:7" ht="35.25" customHeight="1">
      <c r="A187" s="212" t="s">
        <v>22</v>
      </c>
      <c r="B187" s="212"/>
      <c r="C187" s="212"/>
      <c r="D187" s="212"/>
      <c r="E187" s="212"/>
      <c r="F187" s="212"/>
      <c r="G187" s="212"/>
    </row>
    <row r="188" spans="1:7" ht="37.5" customHeight="1">
      <c r="A188" s="212" t="s">
        <v>21</v>
      </c>
      <c r="B188" s="212"/>
      <c r="C188" s="212"/>
      <c r="D188" s="212"/>
      <c r="E188" s="212"/>
      <c r="F188" s="212"/>
      <c r="G188" s="212"/>
    </row>
    <row r="190" spans="1:7" ht="27.75" customHeight="1">
      <c r="A190" s="15" t="s">
        <v>20</v>
      </c>
      <c r="B190" s="15"/>
      <c r="C190" s="15"/>
      <c r="D190" s="15"/>
      <c r="E190" s="15"/>
      <c r="F190" s="15"/>
    </row>
  </sheetData>
  <autoFilter ref="G15:G76"/>
  <mergeCells count="35">
    <mergeCell ref="L4:L5"/>
    <mergeCell ref="A5:G5"/>
    <mergeCell ref="A10:G10"/>
    <mergeCell ref="A188:G188"/>
    <mergeCell ref="C92:E92"/>
    <mergeCell ref="A184:G184"/>
    <mergeCell ref="A185:G185"/>
    <mergeCell ref="A186:G186"/>
    <mergeCell ref="A187:G187"/>
    <mergeCell ref="A112:G112"/>
    <mergeCell ref="A113:G113"/>
    <mergeCell ref="A114:G114"/>
    <mergeCell ref="A115:G115"/>
    <mergeCell ref="A116:G116"/>
    <mergeCell ref="C93:E93"/>
    <mergeCell ref="C96:E96"/>
    <mergeCell ref="P80:S80"/>
    <mergeCell ref="A82:G82"/>
    <mergeCell ref="B83:F83"/>
    <mergeCell ref="B84:F84"/>
    <mergeCell ref="A87:G87"/>
    <mergeCell ref="A90:G90"/>
    <mergeCell ref="C95:E95"/>
    <mergeCell ref="A88:G88"/>
    <mergeCell ref="A86:G86"/>
    <mergeCell ref="A22:G22"/>
    <mergeCell ref="A38:G38"/>
    <mergeCell ref="A49:G49"/>
    <mergeCell ref="B53:F53"/>
    <mergeCell ref="B64:F64"/>
    <mergeCell ref="A3:G3"/>
    <mergeCell ref="A4:G4"/>
    <mergeCell ref="A8:G8"/>
    <mergeCell ref="A15:G15"/>
    <mergeCell ref="A16:G16"/>
  </mergeCells>
  <pageMargins left="0.70866141732283472" right="0.23622047244094491" top="0.31496062992125984" bottom="0.27559055118110237" header="0.31496062992125984" footer="0.31496062992125984"/>
  <pageSetup paperSize="9" scale="38" fitToHeight="0" orientation="portrait" r:id="rId1"/>
  <rowBreaks count="3" manualBreakCount="3">
    <brk id="30" max="6" man="1"/>
    <brk id="53" max="6" man="1"/>
    <brk id="81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I95" sqref="I95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195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232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43159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206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1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1"/>
        <v>1.4609340719999999</v>
      </c>
      <c r="I32" s="19">
        <f t="shared" ref="I32:I34" si="2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1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1"/>
        <v>3.6445666666666665</v>
      </c>
      <c r="I34" s="19">
        <f t="shared" si="2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1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1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3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3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3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3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3"/>
        <v>6.3691072200000001</v>
      </c>
      <c r="I42" s="19">
        <f>F42/6*G42</f>
        <v>1061.5178699999999</v>
      </c>
      <c r="J42" s="36"/>
    </row>
    <row r="43" spans="1:13" ht="15.75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3"/>
        <v>0.62093579999999993</v>
      </c>
      <c r="I43" s="19">
        <f>F43/7.5*G43</f>
        <v>82.791439999999994</v>
      </c>
      <c r="J43" s="36"/>
    </row>
    <row r="44" spans="1:13" ht="15.75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3"/>
        <v>0.89367300000000005</v>
      </c>
      <c r="I44" s="19">
        <f>F44/7.5*G44</f>
        <v>119.15640000000002</v>
      </c>
      <c r="J44" s="36"/>
    </row>
    <row r="45" spans="1:13" ht="15.75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hidden="1" customHeight="1">
      <c r="A46" s="64">
        <v>15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4">SUM(F46*G46/1000)</f>
        <v>2.2622265960000001</v>
      </c>
      <c r="I46" s="19">
        <f t="shared" ref="I46:I48" si="5">F46/2*G46</f>
        <v>1131.113298</v>
      </c>
      <c r="J46" s="36"/>
    </row>
    <row r="47" spans="1:13" ht="15.75" hidden="1" customHeight="1">
      <c r="A47" s="64">
        <v>16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4"/>
        <v>3.2159742784000001</v>
      </c>
      <c r="I47" s="19">
        <f t="shared" si="5"/>
        <v>1607.9871392</v>
      </c>
      <c r="J47" s="36"/>
    </row>
    <row r="48" spans="1:13" ht="15.75" hidden="1" customHeight="1">
      <c r="A48" s="64">
        <v>17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4"/>
        <v>2.9431196201999996</v>
      </c>
      <c r="I48" s="19">
        <f t="shared" si="5"/>
        <v>1471.5598100999998</v>
      </c>
      <c r="J48" s="36"/>
    </row>
    <row r="49" spans="1:14" ht="15.75" hidden="1" customHeight="1">
      <c r="A49" s="64">
        <v>18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4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12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4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4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4"/>
        <v>0.92409600000000003</v>
      </c>
      <c r="I52" s="19">
        <f t="shared" ref="I52:I53" si="6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4"/>
        <v>0.1406626</v>
      </c>
      <c r="I53" s="19">
        <f t="shared" si="6"/>
        <v>70.331299999999999</v>
      </c>
      <c r="J53" s="36"/>
      <c r="L53" s="28"/>
      <c r="M53" s="29"/>
      <c r="N53" s="30"/>
    </row>
    <row r="54" spans="1:14" ht="15.75" hidden="1" customHeight="1">
      <c r="A54" s="64">
        <v>13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4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164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customHeight="1">
      <c r="A57" s="64">
        <v>13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G57*0.18</f>
        <v>415.19159999999994</v>
      </c>
      <c r="J57" s="36"/>
      <c r="L57" s="28"/>
      <c r="M57" s="29"/>
      <c r="N57" s="30"/>
    </row>
    <row r="58" spans="1:14" ht="15.75" customHeight="1">
      <c r="A58" s="64">
        <v>14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G58*1.5</f>
        <v>2251.5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15</v>
      </c>
      <c r="B61" s="140" t="s">
        <v>146</v>
      </c>
      <c r="C61" s="141" t="s">
        <v>27</v>
      </c>
      <c r="D61" s="140" t="s">
        <v>147</v>
      </c>
      <c r="E61" s="142">
        <v>120</v>
      </c>
      <c r="F61" s="143">
        <f>E61*12</f>
        <v>1440</v>
      </c>
      <c r="G61" s="55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7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7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8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7"/>
        <v>22.721619299999997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9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7"/>
        <v>1.7693409899999997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7"/>
        <v>35.366961000000003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11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7"/>
        <v>0.40806999999999999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12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7"/>
        <v>0.38072200000000006</v>
      </c>
      <c r="I69" s="19">
        <v>0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7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16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7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8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8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8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9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00" t="s">
        <v>165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17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18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SUM(I16+I17+I18+I27+I28+I38+I39+I41+I42+I43+I44+I50+I57+I58+I61+I71+I82+I83)</f>
        <v>40224.765518333334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31.5" customHeight="1">
      <c r="A86" s="135">
        <v>19</v>
      </c>
      <c r="B86" s="88" t="s">
        <v>222</v>
      </c>
      <c r="C86" s="89" t="s">
        <v>160</v>
      </c>
      <c r="D86" s="139"/>
      <c r="E86" s="55"/>
      <c r="F86" s="55">
        <v>2</v>
      </c>
      <c r="G86" s="55">
        <v>613.44000000000005</v>
      </c>
      <c r="H86" s="137">
        <f t="shared" ref="H86:H88" si="10">G86*F86/1000</f>
        <v>1.2268800000000002</v>
      </c>
      <c r="I86" s="136">
        <f>G86*(1+1)</f>
        <v>1226.8800000000001</v>
      </c>
    </row>
    <row r="87" spans="1:21" ht="31.5" customHeight="1">
      <c r="A87" s="135">
        <v>20</v>
      </c>
      <c r="B87" s="88" t="s">
        <v>161</v>
      </c>
      <c r="C87" s="89" t="s">
        <v>44</v>
      </c>
      <c r="D87" s="58"/>
      <c r="E87" s="25"/>
      <c r="F87" s="55">
        <v>0.02</v>
      </c>
      <c r="G87" s="55">
        <v>3724.37</v>
      </c>
      <c r="H87" s="137">
        <f t="shared" si="10"/>
        <v>7.4487399999999995E-2</v>
      </c>
      <c r="I87" s="136">
        <f>G87*0.02</f>
        <v>74.487399999999994</v>
      </c>
    </row>
    <row r="88" spans="1:21" ht="31.5" customHeight="1">
      <c r="A88" s="135">
        <v>21</v>
      </c>
      <c r="B88" s="88" t="s">
        <v>111</v>
      </c>
      <c r="C88" s="89" t="s">
        <v>130</v>
      </c>
      <c r="D88" s="58"/>
      <c r="E88" s="25"/>
      <c r="F88" s="55">
        <v>1</v>
      </c>
      <c r="G88" s="55">
        <v>86.69</v>
      </c>
      <c r="H88" s="137">
        <f t="shared" si="10"/>
        <v>8.6690000000000003E-2</v>
      </c>
      <c r="I88" s="136">
        <f>G88</f>
        <v>86.69</v>
      </c>
    </row>
    <row r="89" spans="1:21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SUM(I86:I88)</f>
        <v>1388.0574000000001</v>
      </c>
    </row>
    <row r="90" spans="1:21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21" ht="15.75" customHeight="1">
      <c r="A91" s="79"/>
      <c r="B91" s="70" t="s">
        <v>219</v>
      </c>
      <c r="C91" s="53"/>
      <c r="D91" s="53"/>
      <c r="E91" s="53"/>
      <c r="F91" s="53"/>
      <c r="G91" s="53"/>
      <c r="H91" s="53"/>
      <c r="I91" s="68">
        <f>I84+I89</f>
        <v>41612.822918333331</v>
      </c>
    </row>
    <row r="92" spans="1:21" ht="15.75">
      <c r="A92" s="190" t="s">
        <v>275</v>
      </c>
      <c r="B92" s="190"/>
      <c r="C92" s="190"/>
      <c r="D92" s="190"/>
      <c r="E92" s="190"/>
      <c r="F92" s="190"/>
      <c r="G92" s="190"/>
      <c r="H92" s="190"/>
      <c r="I92" s="190"/>
    </row>
    <row r="93" spans="1:21" ht="15.75" customHeight="1">
      <c r="A93" s="97"/>
      <c r="B93" s="191" t="s">
        <v>276</v>
      </c>
      <c r="C93" s="191"/>
      <c r="D93" s="191"/>
      <c r="E93" s="191"/>
      <c r="F93" s="191"/>
      <c r="G93" s="191"/>
      <c r="H93" s="101"/>
      <c r="I93" s="3"/>
    </row>
    <row r="94" spans="1:21">
      <c r="A94" s="123"/>
      <c r="B94" s="186" t="s">
        <v>6</v>
      </c>
      <c r="C94" s="186"/>
      <c r="D94" s="186"/>
      <c r="E94" s="186"/>
      <c r="F94" s="186"/>
      <c r="G94" s="186"/>
      <c r="H94" s="37"/>
      <c r="I94" s="5"/>
    </row>
    <row r="95" spans="1:21">
      <c r="A95" s="12"/>
      <c r="B95" s="12"/>
      <c r="C95" s="12"/>
      <c r="D95" s="12"/>
      <c r="E95" s="12"/>
      <c r="F95" s="12"/>
      <c r="G95" s="12"/>
      <c r="H95" s="12"/>
      <c r="I95" s="12"/>
    </row>
    <row r="96" spans="1:21" ht="15.75">
      <c r="A96" s="192" t="s">
        <v>7</v>
      </c>
      <c r="B96" s="192"/>
      <c r="C96" s="192"/>
      <c r="D96" s="192"/>
      <c r="E96" s="192"/>
      <c r="F96" s="192"/>
      <c r="G96" s="192"/>
      <c r="H96" s="192"/>
      <c r="I96" s="192"/>
    </row>
    <row r="97" spans="1:9" ht="16.5" customHeight="1">
      <c r="A97" s="192" t="s">
        <v>8</v>
      </c>
      <c r="B97" s="192"/>
      <c r="C97" s="192"/>
      <c r="D97" s="192"/>
      <c r="E97" s="192"/>
      <c r="F97" s="192"/>
      <c r="G97" s="192"/>
      <c r="H97" s="192"/>
      <c r="I97" s="192"/>
    </row>
    <row r="98" spans="1:9" ht="16.5" customHeight="1">
      <c r="A98" s="193" t="s">
        <v>78</v>
      </c>
      <c r="B98" s="193"/>
      <c r="C98" s="193"/>
      <c r="D98" s="193"/>
      <c r="E98" s="193"/>
      <c r="F98" s="193"/>
      <c r="G98" s="193"/>
      <c r="H98" s="193"/>
      <c r="I98" s="193"/>
    </row>
    <row r="99" spans="1:9" ht="15.75" customHeight="1">
      <c r="A99" s="13"/>
    </row>
    <row r="100" spans="1:9" ht="15.75" customHeight="1">
      <c r="A100" s="184" t="s">
        <v>9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>
      <c r="A101" s="4"/>
    </row>
    <row r="102" spans="1:9" ht="15.75" customHeight="1">
      <c r="B102" s="125" t="s">
        <v>10</v>
      </c>
      <c r="C102" s="185" t="s">
        <v>166</v>
      </c>
      <c r="D102" s="185"/>
      <c r="E102" s="185"/>
      <c r="F102" s="99"/>
      <c r="I102" s="122"/>
    </row>
    <row r="103" spans="1:9">
      <c r="A103" s="123"/>
      <c r="C103" s="186" t="s">
        <v>11</v>
      </c>
      <c r="D103" s="186"/>
      <c r="E103" s="186"/>
      <c r="F103" s="37"/>
      <c r="I103" s="124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25" t="s">
        <v>13</v>
      </c>
      <c r="C105" s="187"/>
      <c r="D105" s="187"/>
      <c r="E105" s="187"/>
      <c r="F105" s="100"/>
      <c r="I105" s="122"/>
    </row>
    <row r="106" spans="1:9">
      <c r="A106" s="123"/>
      <c r="C106" s="188" t="s">
        <v>11</v>
      </c>
      <c r="D106" s="188"/>
      <c r="E106" s="188"/>
      <c r="F106" s="123"/>
      <c r="I106" s="124" t="s">
        <v>12</v>
      </c>
    </row>
    <row r="107" spans="1:9" ht="15.75">
      <c r="A107" s="4" t="s">
        <v>14</v>
      </c>
    </row>
    <row r="108" spans="1:9">
      <c r="A108" s="189" t="s">
        <v>15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45" customHeight="1">
      <c r="A109" s="180" t="s">
        <v>16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30" customHeight="1">
      <c r="A110" s="180" t="s">
        <v>17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0" customHeight="1">
      <c r="A111" s="180" t="s">
        <v>22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" customHeight="1">
      <c r="A112" s="180" t="s">
        <v>21</v>
      </c>
      <c r="B112" s="180"/>
      <c r="C112" s="180"/>
      <c r="D112" s="180"/>
      <c r="E112" s="180"/>
      <c r="F112" s="180"/>
      <c r="G112" s="180"/>
      <c r="H112" s="180"/>
      <c r="I112" s="18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B91" sqref="B91:G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196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233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43190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206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1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1"/>
        <v>1.4609340719999999</v>
      </c>
      <c r="I32" s="19">
        <f t="shared" ref="I32:I34" si="2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1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1"/>
        <v>3.6445666666666665</v>
      </c>
      <c r="I34" s="19">
        <f t="shared" si="2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1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1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3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3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3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3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3"/>
        <v>6.3691072200000001</v>
      </c>
      <c r="I42" s="19">
        <f>F42/6*G42</f>
        <v>1061.5178699999999</v>
      </c>
      <c r="J42" s="36"/>
    </row>
    <row r="43" spans="1:13" ht="15.75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3"/>
        <v>0.62093579999999993</v>
      </c>
      <c r="I43" s="19">
        <f>(F43/7.5*1.5)*G43</f>
        <v>124.18715999999999</v>
      </c>
      <c r="J43" s="36"/>
    </row>
    <row r="44" spans="1:13" ht="15.75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3"/>
        <v>0.89367300000000005</v>
      </c>
      <c r="I44" s="19">
        <f>(F44/7.5*1.5)*G44</f>
        <v>178.73460000000003</v>
      </c>
      <c r="J44" s="36"/>
    </row>
    <row r="45" spans="1:13" ht="15.75" hidden="1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hidden="1" customHeight="1">
      <c r="A46" s="64">
        <v>15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4">SUM(F46*G46/1000)</f>
        <v>2.2622265960000001</v>
      </c>
      <c r="I46" s="19">
        <f t="shared" ref="I46:I48" si="5">F46/2*G46</f>
        <v>1131.113298</v>
      </c>
      <c r="J46" s="36"/>
    </row>
    <row r="47" spans="1:13" ht="15.75" hidden="1" customHeight="1">
      <c r="A47" s="64">
        <v>16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4"/>
        <v>3.2159742784000001</v>
      </c>
      <c r="I47" s="19">
        <f t="shared" si="5"/>
        <v>1607.9871392</v>
      </c>
      <c r="J47" s="36"/>
    </row>
    <row r="48" spans="1:13" ht="15.75" hidden="1" customHeight="1">
      <c r="A48" s="64">
        <v>17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4"/>
        <v>2.9431196201999996</v>
      </c>
      <c r="I48" s="19">
        <f t="shared" si="5"/>
        <v>1471.5598100999998</v>
      </c>
      <c r="J48" s="36"/>
    </row>
    <row r="49" spans="1:14" ht="15.75" hidden="1" customHeight="1">
      <c r="A49" s="64">
        <v>18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4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12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4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4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4"/>
        <v>0.92409600000000003</v>
      </c>
      <c r="I52" s="19">
        <f t="shared" ref="I52:I53" si="6">F52/2*G52</f>
        <v>462.048</v>
      </c>
      <c r="J52" s="36"/>
      <c r="L52" s="28"/>
      <c r="M52" s="29"/>
      <c r="N52" s="30"/>
    </row>
    <row r="53" spans="1:14" ht="15.75" hidden="1" customHeight="1">
      <c r="A53" s="64">
        <v>12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4"/>
        <v>0.1406626</v>
      </c>
      <c r="I53" s="19">
        <f t="shared" si="6"/>
        <v>70.331299999999999</v>
      </c>
      <c r="J53" s="36"/>
      <c r="L53" s="28"/>
      <c r="M53" s="29"/>
      <c r="N53" s="30"/>
    </row>
    <row r="54" spans="1:14" ht="15.75" hidden="1" customHeight="1">
      <c r="A54" s="64">
        <v>13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4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197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12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14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</f>
        <v>1501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12</v>
      </c>
      <c r="B61" s="113" t="s">
        <v>146</v>
      </c>
      <c r="C61" s="112" t="s">
        <v>27</v>
      </c>
      <c r="D61" s="140" t="s">
        <v>147</v>
      </c>
      <c r="E61" s="142">
        <v>120</v>
      </c>
      <c r="F61" s="143">
        <f>E61*12</f>
        <v>1440</v>
      </c>
      <c r="G61" s="55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7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7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8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7"/>
        <v>22.721619299999997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9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7"/>
        <v>1.7693409899999997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7"/>
        <v>35.366961000000003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11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7"/>
        <v>0.40806999999999999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12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7"/>
        <v>0.38072200000000006</v>
      </c>
      <c r="I69" s="19">
        <v>0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7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13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7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8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8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8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9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00" t="s">
        <v>198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14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15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I83+I82+I71+I61+I44+I43+I42+I41+I39+I38+I28+I27+I18+I17+I16</f>
        <v>34129.532838333333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38.25" customHeight="1">
      <c r="A86" s="146">
        <v>16</v>
      </c>
      <c r="B86" s="90" t="s">
        <v>255</v>
      </c>
      <c r="C86" s="91" t="s">
        <v>254</v>
      </c>
      <c r="D86" s="71"/>
      <c r="E86" s="71"/>
      <c r="F86" s="71"/>
      <c r="G86" s="159">
        <v>24829.08</v>
      </c>
      <c r="H86" s="71"/>
      <c r="I86" s="160">
        <f>G86*0.01</f>
        <v>248.29080000000002</v>
      </c>
    </row>
    <row r="87" spans="1:21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I86</f>
        <v>248.29080000000002</v>
      </c>
    </row>
    <row r="88" spans="1:21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21" ht="15.75" customHeight="1">
      <c r="A89" s="79"/>
      <c r="B89" s="70" t="s">
        <v>219</v>
      </c>
      <c r="C89" s="53"/>
      <c r="D89" s="53"/>
      <c r="E89" s="53"/>
      <c r="F89" s="53"/>
      <c r="G89" s="53"/>
      <c r="H89" s="53"/>
      <c r="I89" s="68">
        <f>I84+I87</f>
        <v>34377.823638333335</v>
      </c>
    </row>
    <row r="90" spans="1:21" ht="15.75">
      <c r="A90" s="190" t="s">
        <v>277</v>
      </c>
      <c r="B90" s="190"/>
      <c r="C90" s="190"/>
      <c r="D90" s="190"/>
      <c r="E90" s="190"/>
      <c r="F90" s="190"/>
      <c r="G90" s="190"/>
      <c r="H90" s="190"/>
      <c r="I90" s="190"/>
    </row>
    <row r="91" spans="1:21" ht="15.75" customHeight="1">
      <c r="A91" s="97"/>
      <c r="B91" s="191" t="s">
        <v>278</v>
      </c>
      <c r="C91" s="191"/>
      <c r="D91" s="191"/>
      <c r="E91" s="191"/>
      <c r="F91" s="191"/>
      <c r="G91" s="191"/>
      <c r="H91" s="101"/>
      <c r="I91" s="3"/>
    </row>
    <row r="92" spans="1:21">
      <c r="A92" s="123"/>
      <c r="B92" s="186" t="s">
        <v>6</v>
      </c>
      <c r="C92" s="186"/>
      <c r="D92" s="186"/>
      <c r="E92" s="186"/>
      <c r="F92" s="186"/>
      <c r="G92" s="186"/>
      <c r="H92" s="37"/>
      <c r="I92" s="5"/>
    </row>
    <row r="93" spans="1:21" ht="8.25" customHeight="1">
      <c r="A93" s="12"/>
      <c r="B93" s="12"/>
      <c r="C93" s="12"/>
      <c r="D93" s="12"/>
      <c r="E93" s="12"/>
      <c r="F93" s="12"/>
      <c r="G93" s="12"/>
      <c r="H93" s="12"/>
      <c r="I93" s="12"/>
    </row>
    <row r="94" spans="1:21" ht="15.75">
      <c r="A94" s="192" t="s">
        <v>7</v>
      </c>
      <c r="B94" s="192"/>
      <c r="C94" s="192"/>
      <c r="D94" s="192"/>
      <c r="E94" s="192"/>
      <c r="F94" s="192"/>
      <c r="G94" s="192"/>
      <c r="H94" s="192"/>
      <c r="I94" s="192"/>
    </row>
    <row r="95" spans="1:21" ht="16.5" customHeight="1">
      <c r="A95" s="192" t="s">
        <v>8</v>
      </c>
      <c r="B95" s="192"/>
      <c r="C95" s="192"/>
      <c r="D95" s="192"/>
      <c r="E95" s="192"/>
      <c r="F95" s="192"/>
      <c r="G95" s="192"/>
      <c r="H95" s="192"/>
      <c r="I95" s="192"/>
    </row>
    <row r="96" spans="1:21" ht="16.5" customHeight="1">
      <c r="A96" s="193" t="s">
        <v>78</v>
      </c>
      <c r="B96" s="193"/>
      <c r="C96" s="193"/>
      <c r="D96" s="193"/>
      <c r="E96" s="193"/>
      <c r="F96" s="193"/>
      <c r="G96" s="193"/>
      <c r="H96" s="193"/>
      <c r="I96" s="193"/>
    </row>
    <row r="97" spans="1:9" ht="15.75" customHeight="1">
      <c r="A97" s="13"/>
    </row>
    <row r="98" spans="1:9" ht="15.75" customHeight="1">
      <c r="A98" s="184" t="s">
        <v>9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>
      <c r="A99" s="4"/>
    </row>
    <row r="100" spans="1:9" ht="15.75" customHeight="1">
      <c r="B100" s="125" t="s">
        <v>10</v>
      </c>
      <c r="C100" s="185" t="s">
        <v>166</v>
      </c>
      <c r="D100" s="185"/>
      <c r="E100" s="185"/>
      <c r="F100" s="99"/>
      <c r="I100" s="122"/>
    </row>
    <row r="101" spans="1:9">
      <c r="A101" s="123"/>
      <c r="C101" s="186" t="s">
        <v>11</v>
      </c>
      <c r="D101" s="186"/>
      <c r="E101" s="186"/>
      <c r="F101" s="37"/>
      <c r="I101" s="124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5" t="s">
        <v>13</v>
      </c>
      <c r="C103" s="187"/>
      <c r="D103" s="187"/>
      <c r="E103" s="187"/>
      <c r="F103" s="100"/>
      <c r="I103" s="122"/>
    </row>
    <row r="104" spans="1:9">
      <c r="A104" s="123"/>
      <c r="C104" s="188" t="s">
        <v>11</v>
      </c>
      <c r="D104" s="188"/>
      <c r="E104" s="188"/>
      <c r="F104" s="123"/>
      <c r="I104" s="124" t="s">
        <v>12</v>
      </c>
    </row>
    <row r="105" spans="1:9" ht="15.75">
      <c r="A105" s="4" t="s">
        <v>14</v>
      </c>
    </row>
    <row r="106" spans="1:9">
      <c r="A106" s="189" t="s">
        <v>15</v>
      </c>
      <c r="B106" s="189"/>
      <c r="C106" s="189"/>
      <c r="D106" s="189"/>
      <c r="E106" s="189"/>
      <c r="F106" s="189"/>
      <c r="G106" s="189"/>
      <c r="H106" s="189"/>
      <c r="I106" s="189"/>
    </row>
    <row r="107" spans="1:9" ht="45" customHeight="1">
      <c r="A107" s="180" t="s">
        <v>16</v>
      </c>
      <c r="B107" s="180"/>
      <c r="C107" s="180"/>
      <c r="D107" s="180"/>
      <c r="E107" s="180"/>
      <c r="F107" s="180"/>
      <c r="G107" s="180"/>
      <c r="H107" s="180"/>
      <c r="I107" s="180"/>
    </row>
    <row r="108" spans="1:9" ht="30" customHeight="1">
      <c r="A108" s="180" t="s">
        <v>17</v>
      </c>
      <c r="B108" s="180"/>
      <c r="C108" s="180"/>
      <c r="D108" s="180"/>
      <c r="E108" s="180"/>
      <c r="F108" s="180"/>
      <c r="G108" s="180"/>
      <c r="H108" s="180"/>
      <c r="I108" s="180"/>
    </row>
    <row r="109" spans="1:9" ht="30" customHeight="1">
      <c r="A109" s="180" t="s">
        <v>22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15" customHeight="1">
      <c r="A110" s="180" t="s">
        <v>21</v>
      </c>
      <c r="B110" s="180"/>
      <c r="C110" s="180"/>
      <c r="D110" s="180"/>
      <c r="E110" s="180"/>
      <c r="F110" s="180"/>
      <c r="G110" s="180"/>
      <c r="H110" s="180"/>
      <c r="I110" s="18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4:E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1:I81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V125"/>
  <sheetViews>
    <sheetView workbookViewId="0">
      <selection activeCell="I58" sqref="I58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6" width="18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199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234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43220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206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v>0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v>0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v>0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v>0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v>0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v>0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v>0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v>0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hidden="1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hidden="1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1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hidden="1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1"/>
        <v>1.4609340719999999</v>
      </c>
      <c r="I32" s="19">
        <f t="shared" ref="I32:I34" si="2">F32/6*G32</f>
        <v>243.489012</v>
      </c>
      <c r="J32" s="35"/>
      <c r="K32" s="10"/>
      <c r="L32" s="10"/>
      <c r="M32" s="10"/>
    </row>
    <row r="33" spans="1:13" hidden="1">
      <c r="A33" s="64">
        <v>4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1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hidden="1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1"/>
        <v>3.6445666666666665</v>
      </c>
      <c r="I34" s="19">
        <f t="shared" si="2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1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1"/>
        <v>1.4139600000000001</v>
      </c>
      <c r="I36" s="19">
        <v>0</v>
      </c>
      <c r="J36" s="35"/>
      <c r="K36" s="10"/>
      <c r="L36" s="10"/>
      <c r="M36" s="10"/>
    </row>
    <row r="37" spans="1:13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3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3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3"/>
        <v>8.8467599999999997</v>
      </c>
      <c r="I40" s="19">
        <v>0</v>
      </c>
      <c r="J40" s="35"/>
      <c r="K40" s="10"/>
      <c r="L40" s="10"/>
      <c r="M40" s="10"/>
    </row>
    <row r="41" spans="1:13" ht="15.75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3"/>
        <v>3.9372154500000001</v>
      </c>
      <c r="I41" s="19">
        <f>F41/6*G41</f>
        <v>656.20257500000002</v>
      </c>
      <c r="J41" s="35"/>
      <c r="K41" s="10"/>
    </row>
    <row r="42" spans="1:13" ht="45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3"/>
        <v>6.3691072200000001</v>
      </c>
      <c r="I42" s="19">
        <f>F42/6*G42</f>
        <v>1061.5178699999999</v>
      </c>
      <c r="J42" s="36"/>
    </row>
    <row r="43" spans="1:13" ht="15.75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3"/>
        <v>0.62093579999999993</v>
      </c>
      <c r="I43" s="19">
        <f>F43/7.5*1.5*G43</f>
        <v>124.18715999999999</v>
      </c>
      <c r="J43" s="36"/>
    </row>
    <row r="44" spans="1:13" ht="15.75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3"/>
        <v>0.89367300000000005</v>
      </c>
      <c r="I44" s="19">
        <f>F44/7.5*1.5*G44</f>
        <v>178.73460000000003</v>
      </c>
      <c r="J44" s="36"/>
    </row>
    <row r="45" spans="1:13" ht="19.5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27.75" hidden="1" customHeight="1">
      <c r="A46" s="64">
        <v>15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4">SUM(F46*G46/1000)</f>
        <v>2.2622265960000001</v>
      </c>
      <c r="I46" s="19">
        <f t="shared" ref="I46:I48" si="5">F46/2*G46</f>
        <v>1131.113298</v>
      </c>
      <c r="J46" s="36"/>
    </row>
    <row r="47" spans="1:13" ht="27" hidden="1" customHeight="1">
      <c r="A47" s="64">
        <v>16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4"/>
        <v>3.2159742784000001</v>
      </c>
      <c r="I47" s="19">
        <f t="shared" si="5"/>
        <v>1607.9871392</v>
      </c>
      <c r="J47" s="36"/>
    </row>
    <row r="48" spans="1:13" ht="26.25" hidden="1" customHeight="1">
      <c r="A48" s="64">
        <v>17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4"/>
        <v>2.9431196201999996</v>
      </c>
      <c r="I48" s="19">
        <f t="shared" si="5"/>
        <v>1471.5598100999998</v>
      </c>
      <c r="J48" s="36"/>
    </row>
    <row r="49" spans="1:14" ht="30" hidden="1" customHeight="1">
      <c r="A49" s="64">
        <v>18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4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25.5" hidden="1" customHeight="1">
      <c r="A50" s="64">
        <v>12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4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8.25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4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7.5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4"/>
        <v>0.92409600000000003</v>
      </c>
      <c r="I52" s="19">
        <f t="shared" ref="I52:I53" si="6">F52/2*G52</f>
        <v>462.048</v>
      </c>
      <c r="J52" s="36"/>
      <c r="L52" s="28"/>
      <c r="M52" s="29"/>
      <c r="N52" s="30"/>
    </row>
    <row r="53" spans="1:14" ht="21.75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4"/>
        <v>0.1406626</v>
      </c>
      <c r="I53" s="19">
        <f t="shared" si="6"/>
        <v>70.331299999999999</v>
      </c>
      <c r="J53" s="36"/>
      <c r="L53" s="28"/>
      <c r="M53" s="29"/>
      <c r="N53" s="30"/>
    </row>
    <row r="54" spans="1:14" ht="18" hidden="1" customHeight="1">
      <c r="A54" s="64">
        <v>13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4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164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customHeight="1">
      <c r="A57" s="64">
        <v>14</v>
      </c>
      <c r="B57" s="103" t="s">
        <v>181</v>
      </c>
      <c r="C57" s="104" t="s">
        <v>138</v>
      </c>
      <c r="D57" s="158" t="s">
        <v>249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G57*0.68</f>
        <v>1568.5016000000001</v>
      </c>
      <c r="J57" s="36"/>
      <c r="L57" s="28"/>
      <c r="M57" s="29"/>
      <c r="N57" s="30"/>
    </row>
    <row r="58" spans="1:14" ht="15.75" customHeight="1">
      <c r="A58" s="64">
        <v>15</v>
      </c>
      <c r="B58" s="103" t="s">
        <v>189</v>
      </c>
      <c r="C58" s="104" t="s">
        <v>213</v>
      </c>
      <c r="D58" s="158" t="s">
        <v>251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f>G58*2</f>
        <v>3002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16</v>
      </c>
      <c r="B61" s="113" t="s">
        <v>146</v>
      </c>
      <c r="C61" s="112" t="s">
        <v>27</v>
      </c>
      <c r="D61" s="113" t="s">
        <v>147</v>
      </c>
      <c r="E61" s="114">
        <v>140.4</v>
      </c>
      <c r="F61" s="107">
        <f>E61*12</f>
        <v>1684.8000000000002</v>
      </c>
      <c r="G61" s="19">
        <v>1.2</v>
      </c>
      <c r="H61" s="111">
        <f>F61*G61/1000</f>
        <v>2.02176</v>
      </c>
      <c r="I61" s="19">
        <f>1440/12*G61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7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7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8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7"/>
        <v>22.721619299999997</v>
      </c>
      <c r="I65" s="19">
        <v>0</v>
      </c>
      <c r="J65" s="36"/>
      <c r="L65" s="28"/>
      <c r="M65" s="29"/>
      <c r="N65" s="30"/>
    </row>
    <row r="66" spans="1:22" ht="15.75" hidden="1" customHeight="1">
      <c r="A66" s="42">
        <v>9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7"/>
        <v>1.7693409899999997</v>
      </c>
      <c r="I66" s="19">
        <v>0</v>
      </c>
      <c r="J66" s="36"/>
      <c r="L66" s="28"/>
      <c r="M66" s="29"/>
      <c r="N66" s="30"/>
    </row>
    <row r="67" spans="1:22" ht="15.75" hidden="1" customHeight="1">
      <c r="A67" s="42">
        <v>10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7"/>
        <v>35.366961000000003</v>
      </c>
      <c r="I67" s="19">
        <v>0</v>
      </c>
      <c r="J67" s="36"/>
      <c r="L67" s="28"/>
      <c r="M67" s="29"/>
      <c r="N67" s="30"/>
    </row>
    <row r="68" spans="1:22" ht="15.75" hidden="1" customHeight="1">
      <c r="A68" s="42">
        <v>11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7"/>
        <v>0.40806999999999999</v>
      </c>
      <c r="I68" s="19">
        <v>0</v>
      </c>
      <c r="J68" s="36"/>
      <c r="L68" s="28"/>
      <c r="M68" s="29"/>
      <c r="N68" s="30"/>
    </row>
    <row r="69" spans="1:22" ht="15.75" hidden="1" customHeight="1">
      <c r="A69" s="42">
        <v>12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7"/>
        <v>0.38072200000000006</v>
      </c>
      <c r="I69" s="19">
        <v>0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7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17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7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8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8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8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9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00" t="s">
        <v>165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18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19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I83+I82+I71+I61+I58+I57+I53+I52+I51+I44+I43+I42+I41+I39+I38+I28+I27+I18+I17+I16</f>
        <v>42346.912488333335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17.25" customHeight="1">
      <c r="A86" s="135">
        <v>20</v>
      </c>
      <c r="B86" s="92" t="s">
        <v>235</v>
      </c>
      <c r="C86" s="91" t="s">
        <v>130</v>
      </c>
      <c r="D86" s="75"/>
      <c r="E86" s="19"/>
      <c r="F86" s="19">
        <v>0.03</v>
      </c>
      <c r="G86" s="151">
        <v>189.67</v>
      </c>
      <c r="H86" s="102">
        <f t="shared" ref="H86" si="10">G86*F86/1000</f>
        <v>5.6900999999999992E-3</v>
      </c>
      <c r="I86" s="138">
        <f>G86*2</f>
        <v>379.34</v>
      </c>
    </row>
    <row r="87" spans="1:21" ht="31.5" hidden="1" customHeight="1">
      <c r="A87" s="135">
        <v>21</v>
      </c>
      <c r="B87" s="51" t="s">
        <v>181</v>
      </c>
      <c r="C87" s="63" t="s">
        <v>138</v>
      </c>
      <c r="D87" s="75"/>
      <c r="E87" s="19"/>
      <c r="F87" s="19"/>
      <c r="G87" s="152">
        <v>2306.62</v>
      </c>
      <c r="H87" s="102"/>
      <c r="I87" s="138">
        <f>G87*0.68</f>
        <v>1568.5016000000001</v>
      </c>
    </row>
    <row r="88" spans="1:21" ht="31.5" customHeight="1">
      <c r="A88" s="135">
        <v>21</v>
      </c>
      <c r="B88" s="153" t="s">
        <v>236</v>
      </c>
      <c r="C88" s="154" t="s">
        <v>237</v>
      </c>
      <c r="D88" s="75"/>
      <c r="E88" s="19"/>
      <c r="F88" s="19"/>
      <c r="G88" s="151">
        <v>2064.25</v>
      </c>
      <c r="H88" s="102"/>
      <c r="I88" s="138">
        <f>G88*1.2</f>
        <v>2477.1</v>
      </c>
    </row>
    <row r="89" spans="1:21" ht="30" customHeight="1">
      <c r="A89" s="146">
        <v>22</v>
      </c>
      <c r="B89" s="153" t="s">
        <v>238</v>
      </c>
      <c r="C89" s="155" t="s">
        <v>224</v>
      </c>
      <c r="D89" s="147" t="s">
        <v>250</v>
      </c>
      <c r="E89" s="148"/>
      <c r="F89" s="148"/>
      <c r="G89" s="151">
        <v>1187</v>
      </c>
      <c r="H89" s="149"/>
      <c r="I89" s="150">
        <f>G89*4</f>
        <v>4748</v>
      </c>
    </row>
    <row r="90" spans="1:21" ht="15" customHeight="1">
      <c r="A90" s="146">
        <v>23</v>
      </c>
      <c r="B90" s="156" t="s">
        <v>239</v>
      </c>
      <c r="C90" s="155" t="s">
        <v>130</v>
      </c>
      <c r="D90" s="147"/>
      <c r="E90" s="148"/>
      <c r="F90" s="148"/>
      <c r="G90" s="151">
        <v>89.92</v>
      </c>
      <c r="H90" s="149"/>
      <c r="I90" s="150">
        <f>G90*2</f>
        <v>179.84</v>
      </c>
    </row>
    <row r="91" spans="1:21" ht="15.75" customHeight="1">
      <c r="A91" s="146">
        <v>24</v>
      </c>
      <c r="B91" s="156" t="s">
        <v>240</v>
      </c>
      <c r="C91" s="155" t="s">
        <v>130</v>
      </c>
      <c r="D91" s="147"/>
      <c r="E91" s="148"/>
      <c r="F91" s="148"/>
      <c r="G91" s="151">
        <v>151.31</v>
      </c>
      <c r="H91" s="149"/>
      <c r="I91" s="150">
        <f>G91*2</f>
        <v>302.62</v>
      </c>
    </row>
    <row r="92" spans="1:21" ht="15.75" customHeight="1">
      <c r="A92" s="146">
        <v>25</v>
      </c>
      <c r="B92" s="156" t="s">
        <v>241</v>
      </c>
      <c r="C92" s="155" t="s">
        <v>130</v>
      </c>
      <c r="D92" s="147"/>
      <c r="E92" s="148"/>
      <c r="F92" s="148"/>
      <c r="G92" s="151">
        <v>5.43</v>
      </c>
      <c r="H92" s="149"/>
      <c r="I92" s="150">
        <f>G92*2</f>
        <v>10.86</v>
      </c>
    </row>
    <row r="93" spans="1:21" ht="18" customHeight="1">
      <c r="A93" s="146">
        <v>26</v>
      </c>
      <c r="B93" s="156" t="s">
        <v>242</v>
      </c>
      <c r="C93" s="155" t="s">
        <v>130</v>
      </c>
      <c r="D93" s="147"/>
      <c r="E93" s="148"/>
      <c r="F93" s="148"/>
      <c r="G93" s="151">
        <v>5.42</v>
      </c>
      <c r="H93" s="149"/>
      <c r="I93" s="150">
        <f>G93*4</f>
        <v>21.68</v>
      </c>
    </row>
    <row r="94" spans="1:21" ht="15" customHeight="1">
      <c r="A94" s="146">
        <v>27</v>
      </c>
      <c r="B94" s="156" t="s">
        <v>243</v>
      </c>
      <c r="C94" s="155" t="s">
        <v>130</v>
      </c>
      <c r="D94" s="147"/>
      <c r="E94" s="148"/>
      <c r="F94" s="148"/>
      <c r="G94" s="151">
        <v>6.2</v>
      </c>
      <c r="H94" s="149"/>
      <c r="I94" s="150">
        <f>G94*2</f>
        <v>12.4</v>
      </c>
    </row>
    <row r="95" spans="1:21" ht="18" customHeight="1">
      <c r="A95" s="146">
        <v>28</v>
      </c>
      <c r="B95" s="156" t="s">
        <v>244</v>
      </c>
      <c r="C95" s="155" t="s">
        <v>130</v>
      </c>
      <c r="D95" s="147"/>
      <c r="E95" s="148"/>
      <c r="F95" s="148"/>
      <c r="G95" s="151">
        <v>6.84</v>
      </c>
      <c r="H95" s="149"/>
      <c r="I95" s="150">
        <f>G95*1</f>
        <v>6.84</v>
      </c>
    </row>
    <row r="96" spans="1:21" ht="16.5" customHeight="1">
      <c r="A96" s="146">
        <v>29</v>
      </c>
      <c r="B96" s="156" t="s">
        <v>245</v>
      </c>
      <c r="C96" s="155" t="s">
        <v>130</v>
      </c>
      <c r="D96" s="147"/>
      <c r="E96" s="148"/>
      <c r="F96" s="148"/>
      <c r="G96" s="151">
        <v>784.36</v>
      </c>
      <c r="H96" s="149"/>
      <c r="I96" s="150">
        <f>G96*1</f>
        <v>784.36</v>
      </c>
    </row>
    <row r="97" spans="1:9" ht="31.5" customHeight="1">
      <c r="A97" s="146">
        <v>30</v>
      </c>
      <c r="B97" s="156" t="s">
        <v>246</v>
      </c>
      <c r="C97" s="155" t="s">
        <v>224</v>
      </c>
      <c r="D97" s="147"/>
      <c r="E97" s="148"/>
      <c r="F97" s="148"/>
      <c r="G97" s="151">
        <v>1385.91</v>
      </c>
      <c r="H97" s="149"/>
      <c r="I97" s="150">
        <f>G97*1</f>
        <v>1385.91</v>
      </c>
    </row>
    <row r="98" spans="1:9" ht="18" customHeight="1">
      <c r="A98" s="146">
        <v>33</v>
      </c>
      <c r="B98" s="156" t="s">
        <v>247</v>
      </c>
      <c r="C98" s="157" t="s">
        <v>224</v>
      </c>
      <c r="D98" s="147"/>
      <c r="E98" s="148"/>
      <c r="F98" s="148"/>
      <c r="G98" s="151">
        <f>19.73+8</f>
        <v>27.73</v>
      </c>
      <c r="H98" s="149"/>
      <c r="I98" s="150">
        <f>G98*20</f>
        <v>554.6</v>
      </c>
    </row>
    <row r="99" spans="1:9" ht="31.5" customHeight="1">
      <c r="A99" s="146">
        <v>34</v>
      </c>
      <c r="B99" s="156" t="s">
        <v>220</v>
      </c>
      <c r="C99" s="155" t="s">
        <v>221</v>
      </c>
      <c r="D99" s="147"/>
      <c r="E99" s="148"/>
      <c r="F99" s="148"/>
      <c r="G99" s="151">
        <v>56.34</v>
      </c>
      <c r="H99" s="149"/>
      <c r="I99" s="150">
        <f>G99*1</f>
        <v>56.34</v>
      </c>
    </row>
    <row r="100" spans="1:9" ht="29.25" customHeight="1">
      <c r="A100" s="146">
        <v>35</v>
      </c>
      <c r="B100" s="156" t="s">
        <v>248</v>
      </c>
      <c r="C100" s="155" t="s">
        <v>130</v>
      </c>
      <c r="D100" s="147"/>
      <c r="E100" s="148"/>
      <c r="F100" s="148"/>
      <c r="G100" s="151">
        <v>7507.5</v>
      </c>
      <c r="H100" s="149"/>
      <c r="I100" s="150">
        <f>G100*1</f>
        <v>7507.5</v>
      </c>
    </row>
    <row r="101" spans="1:9" ht="30.75" customHeight="1">
      <c r="A101" s="146">
        <v>36</v>
      </c>
      <c r="B101" s="153" t="s">
        <v>111</v>
      </c>
      <c r="C101" s="154" t="s">
        <v>130</v>
      </c>
      <c r="D101" s="147"/>
      <c r="E101" s="148"/>
      <c r="F101" s="148"/>
      <c r="G101" s="151">
        <v>86.69</v>
      </c>
      <c r="H101" s="149"/>
      <c r="I101" s="150">
        <f>G101*1</f>
        <v>86.69</v>
      </c>
    </row>
    <row r="102" spans="1:9" ht="15.75" customHeight="1">
      <c r="A102" s="42"/>
      <c r="B102" s="69" t="s">
        <v>60</v>
      </c>
      <c r="C102" s="65"/>
      <c r="D102" s="95"/>
      <c r="E102" s="65">
        <v>1</v>
      </c>
      <c r="F102" s="65"/>
      <c r="G102" s="65"/>
      <c r="H102" s="65"/>
      <c r="I102" s="49">
        <f>I101+I100+I99+I98+I97+I96+I95+I94+I93+I92+I91+I90+I89+I88+I86</f>
        <v>18514.080000000002</v>
      </c>
    </row>
    <row r="103" spans="1:9" ht="15.75" customHeight="1">
      <c r="A103" s="42"/>
      <c r="B103" s="75" t="s">
        <v>107</v>
      </c>
      <c r="C103" s="22"/>
      <c r="D103" s="22"/>
      <c r="E103" s="66"/>
      <c r="F103" s="66"/>
      <c r="G103" s="67"/>
      <c r="H103" s="67"/>
      <c r="I103" s="25">
        <v>0</v>
      </c>
    </row>
    <row r="104" spans="1:9" ht="15.75" customHeight="1">
      <c r="A104" s="79"/>
      <c r="B104" s="70" t="s">
        <v>219</v>
      </c>
      <c r="C104" s="53"/>
      <c r="D104" s="53"/>
      <c r="E104" s="53"/>
      <c r="F104" s="53"/>
      <c r="G104" s="53"/>
      <c r="H104" s="53"/>
      <c r="I104" s="68">
        <f>I84+I102</f>
        <v>60860.992488333337</v>
      </c>
    </row>
    <row r="105" spans="1:9" ht="15.75">
      <c r="A105" s="190" t="s">
        <v>252</v>
      </c>
      <c r="B105" s="190"/>
      <c r="C105" s="190"/>
      <c r="D105" s="190"/>
      <c r="E105" s="190"/>
      <c r="F105" s="190"/>
      <c r="G105" s="190"/>
      <c r="H105" s="190"/>
      <c r="I105" s="190"/>
    </row>
    <row r="106" spans="1:9" ht="15.75" customHeight="1">
      <c r="A106" s="97"/>
      <c r="B106" s="191" t="s">
        <v>253</v>
      </c>
      <c r="C106" s="191"/>
      <c r="D106" s="191"/>
      <c r="E106" s="191"/>
      <c r="F106" s="191"/>
      <c r="G106" s="191"/>
      <c r="H106" s="101"/>
      <c r="I106" s="3"/>
    </row>
    <row r="107" spans="1:9">
      <c r="A107" s="123"/>
      <c r="B107" s="186" t="s">
        <v>6</v>
      </c>
      <c r="C107" s="186"/>
      <c r="D107" s="186"/>
      <c r="E107" s="186"/>
      <c r="F107" s="186"/>
      <c r="G107" s="186"/>
      <c r="H107" s="37"/>
      <c r="I107" s="5"/>
    </row>
    <row r="108" spans="1:9">
      <c r="A108" s="12"/>
      <c r="B108" s="12"/>
      <c r="C108" s="12"/>
      <c r="D108" s="12"/>
      <c r="E108" s="12"/>
      <c r="F108" s="12"/>
      <c r="G108" s="12"/>
      <c r="H108" s="12"/>
      <c r="I108" s="12"/>
    </row>
    <row r="109" spans="1:9" ht="15.75">
      <c r="A109" s="192" t="s">
        <v>7</v>
      </c>
      <c r="B109" s="192"/>
      <c r="C109" s="192"/>
      <c r="D109" s="192"/>
      <c r="E109" s="192"/>
      <c r="F109" s="192"/>
      <c r="G109" s="192"/>
      <c r="H109" s="192"/>
      <c r="I109" s="192"/>
    </row>
    <row r="110" spans="1:9" ht="16.5" customHeight="1">
      <c r="A110" s="192" t="s">
        <v>8</v>
      </c>
      <c r="B110" s="192"/>
      <c r="C110" s="192"/>
      <c r="D110" s="192"/>
      <c r="E110" s="192"/>
      <c r="F110" s="192"/>
      <c r="G110" s="192"/>
      <c r="H110" s="192"/>
      <c r="I110" s="192"/>
    </row>
    <row r="111" spans="1:9" ht="16.5" customHeight="1">
      <c r="A111" s="193" t="s">
        <v>78</v>
      </c>
      <c r="B111" s="193"/>
      <c r="C111" s="193"/>
      <c r="D111" s="193"/>
      <c r="E111" s="193"/>
      <c r="F111" s="193"/>
      <c r="G111" s="193"/>
      <c r="H111" s="193"/>
      <c r="I111" s="193"/>
    </row>
    <row r="112" spans="1:9" ht="15.75" customHeight="1">
      <c r="A112" s="13"/>
    </row>
    <row r="113" spans="1:9" ht="15.75" customHeight="1">
      <c r="A113" s="184" t="s">
        <v>9</v>
      </c>
      <c r="B113" s="184"/>
      <c r="C113" s="184"/>
      <c r="D113" s="184"/>
      <c r="E113" s="184"/>
      <c r="F113" s="184"/>
      <c r="G113" s="184"/>
      <c r="H113" s="184"/>
      <c r="I113" s="184"/>
    </row>
    <row r="114" spans="1:9" ht="15.75">
      <c r="A114" s="4"/>
    </row>
    <row r="115" spans="1:9" ht="15.75" customHeight="1">
      <c r="B115" s="125" t="s">
        <v>10</v>
      </c>
      <c r="C115" s="185" t="s">
        <v>166</v>
      </c>
      <c r="D115" s="185"/>
      <c r="E115" s="185"/>
      <c r="F115" s="99"/>
      <c r="I115" s="122"/>
    </row>
    <row r="116" spans="1:9">
      <c r="A116" s="123"/>
      <c r="C116" s="186" t="s">
        <v>11</v>
      </c>
      <c r="D116" s="186"/>
      <c r="E116" s="186"/>
      <c r="F116" s="37"/>
      <c r="I116" s="124" t="s">
        <v>12</v>
      </c>
    </row>
    <row r="117" spans="1:9" ht="15.75">
      <c r="A117" s="38"/>
      <c r="C117" s="14"/>
      <c r="D117" s="14"/>
      <c r="G117" s="14"/>
      <c r="H117" s="14"/>
    </row>
    <row r="118" spans="1:9" ht="15.75">
      <c r="B118" s="125" t="s">
        <v>13</v>
      </c>
      <c r="C118" s="187"/>
      <c r="D118" s="187"/>
      <c r="E118" s="187"/>
      <c r="F118" s="100"/>
      <c r="I118" s="122"/>
    </row>
    <row r="119" spans="1:9">
      <c r="A119" s="123"/>
      <c r="C119" s="188" t="s">
        <v>11</v>
      </c>
      <c r="D119" s="188"/>
      <c r="E119" s="188"/>
      <c r="F119" s="123"/>
      <c r="I119" s="124" t="s">
        <v>12</v>
      </c>
    </row>
    <row r="120" spans="1:9" ht="15.75">
      <c r="A120" s="4" t="s">
        <v>14</v>
      </c>
    </row>
    <row r="121" spans="1:9">
      <c r="A121" s="189" t="s">
        <v>15</v>
      </c>
      <c r="B121" s="189"/>
      <c r="C121" s="189"/>
      <c r="D121" s="189"/>
      <c r="E121" s="189"/>
      <c r="F121" s="189"/>
      <c r="G121" s="189"/>
      <c r="H121" s="189"/>
      <c r="I121" s="189"/>
    </row>
    <row r="122" spans="1:9" ht="45" customHeight="1">
      <c r="A122" s="180" t="s">
        <v>16</v>
      </c>
      <c r="B122" s="180"/>
      <c r="C122" s="180"/>
      <c r="D122" s="180"/>
      <c r="E122" s="180"/>
      <c r="F122" s="180"/>
      <c r="G122" s="180"/>
      <c r="H122" s="180"/>
      <c r="I122" s="180"/>
    </row>
    <row r="123" spans="1:9" ht="30" customHeight="1">
      <c r="A123" s="180" t="s">
        <v>17</v>
      </c>
      <c r="B123" s="180"/>
      <c r="C123" s="180"/>
      <c r="D123" s="180"/>
      <c r="E123" s="180"/>
      <c r="F123" s="180"/>
      <c r="G123" s="180"/>
      <c r="H123" s="180"/>
      <c r="I123" s="180"/>
    </row>
    <row r="124" spans="1:9" ht="30" customHeight="1">
      <c r="A124" s="180" t="s">
        <v>22</v>
      </c>
      <c r="B124" s="180"/>
      <c r="C124" s="180"/>
      <c r="D124" s="180"/>
      <c r="E124" s="180"/>
      <c r="F124" s="180"/>
      <c r="G124" s="180"/>
      <c r="H124" s="180"/>
      <c r="I124" s="180"/>
    </row>
    <row r="125" spans="1:9" ht="15" customHeight="1">
      <c r="A125" s="180" t="s">
        <v>21</v>
      </c>
      <c r="B125" s="180"/>
      <c r="C125" s="180"/>
      <c r="D125" s="180"/>
      <c r="E125" s="180"/>
      <c r="F125" s="180"/>
      <c r="G125" s="180"/>
      <c r="H125" s="180"/>
      <c r="I125" s="18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19:E119"/>
    <mergeCell ref="A85:I85"/>
    <mergeCell ref="A105:I105"/>
    <mergeCell ref="B106:G106"/>
    <mergeCell ref="B107:G107"/>
    <mergeCell ref="A109:I109"/>
    <mergeCell ref="A110:I110"/>
    <mergeCell ref="A111:I111"/>
    <mergeCell ref="A113:I113"/>
    <mergeCell ref="C115:E115"/>
    <mergeCell ref="C116:E116"/>
    <mergeCell ref="C118:E118"/>
    <mergeCell ref="A81:I81"/>
    <mergeCell ref="A121:I121"/>
    <mergeCell ref="A122:I122"/>
    <mergeCell ref="A123:I123"/>
    <mergeCell ref="A124:I124"/>
    <mergeCell ref="A125:I12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110"/>
  <sheetViews>
    <sheetView workbookViewId="0">
      <selection activeCell="B91" sqref="B91:G9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0.1406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200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256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43251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206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8.25" customHeight="1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F19*G19</f>
        <v>686.0376</v>
      </c>
      <c r="J19" s="35"/>
      <c r="K19" s="10"/>
      <c r="L19" s="10"/>
      <c r="M19" s="10"/>
    </row>
    <row r="20" spans="1:13" ht="15.75" customHeight="1">
      <c r="A20" s="42">
        <v>5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customHeight="1">
      <c r="A21" s="42">
        <v>6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12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13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14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15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>
      <c r="A33" s="64">
        <v>16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17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5"/>
        <v>0.89367300000000005</v>
      </c>
      <c r="I44" s="19">
        <f>F44/6*G44</f>
        <v>148.94550000000001</v>
      </c>
      <c r="J44" s="36"/>
    </row>
    <row r="45" spans="1:13" ht="15.75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customHeight="1">
      <c r="A46" s="64">
        <v>18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customHeight="1">
      <c r="A47" s="64">
        <v>19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6"/>
        <v>3.2159742784000001</v>
      </c>
      <c r="I47" s="19">
        <f t="shared" si="7"/>
        <v>1607.9871392</v>
      </c>
      <c r="J47" s="36"/>
    </row>
    <row r="48" spans="1:13" ht="15.75" customHeight="1">
      <c r="A48" s="64">
        <v>20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6"/>
        <v>2.9431196201999996</v>
      </c>
      <c r="I48" s="19">
        <f t="shared" si="7"/>
        <v>1471.5598100999998</v>
      </c>
      <c r="J48" s="36"/>
    </row>
    <row r="49" spans="1:14" ht="15.75" customHeight="1">
      <c r="A49" s="64">
        <v>21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22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customHeight="1">
      <c r="A54" s="64">
        <v>23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164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24</v>
      </c>
      <c r="B61" s="113" t="s">
        <v>146</v>
      </c>
      <c r="C61" s="112" t="s">
        <v>27</v>
      </c>
      <c r="D61" s="113" t="s">
        <v>147</v>
      </c>
      <c r="E61" s="114">
        <v>140.4</v>
      </c>
      <c r="F61" s="107">
        <v>1440</v>
      </c>
      <c r="G61" s="19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9"/>
        <v>0.18978</v>
      </c>
      <c r="I64" s="19">
        <v>0</v>
      </c>
      <c r="J64" s="36"/>
      <c r="L64" s="28"/>
      <c r="M64" s="29"/>
      <c r="N64" s="30"/>
    </row>
    <row r="65" spans="1:22" ht="15.75" customHeight="1">
      <c r="A65" s="42">
        <v>25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customHeight="1">
      <c r="A66" s="42">
        <v>26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customHeight="1">
      <c r="A68" s="42">
        <v>28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customHeight="1">
      <c r="A69" s="42">
        <v>29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9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30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00" t="s">
        <v>165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31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32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SUM(I16+I17+I18+I19+I20+I21+I22+I23+I24+I25+I26+I27+I28+I31+I32+I33+I34+I46+I47+I48+I49+I50+I54+I61+I65+I66+I67+I68+I69+I71+I82+I83)</f>
        <v>107149.10835407778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15.75" customHeight="1">
      <c r="A86" s="135">
        <v>33</v>
      </c>
      <c r="B86" s="161" t="s">
        <v>257</v>
      </c>
      <c r="C86" s="162" t="s">
        <v>130</v>
      </c>
      <c r="D86" s="75"/>
      <c r="E86" s="55"/>
      <c r="F86" s="55">
        <f>(3+3+3+3+3+3+7)/3</f>
        <v>8.3333333333333339</v>
      </c>
      <c r="G86" s="55">
        <v>89.59</v>
      </c>
      <c r="H86" s="137">
        <f t="shared" ref="H86" si="13">G86*F86/1000</f>
        <v>0.74658333333333338</v>
      </c>
      <c r="I86" s="138">
        <f>G86*1</f>
        <v>89.59</v>
      </c>
    </row>
    <row r="87" spans="1:21" ht="15.75" customHeight="1">
      <c r="A87" s="42"/>
      <c r="B87" s="69" t="s">
        <v>60</v>
      </c>
      <c r="C87" s="65"/>
      <c r="D87" s="95"/>
      <c r="E87" s="65">
        <v>1</v>
      </c>
      <c r="F87" s="65"/>
      <c r="G87" s="65"/>
      <c r="H87" s="65"/>
      <c r="I87" s="49">
        <f>SUM(I86:I86)</f>
        <v>89.59</v>
      </c>
    </row>
    <row r="88" spans="1:21" ht="15.75" customHeight="1">
      <c r="A88" s="42"/>
      <c r="B88" s="75" t="s">
        <v>107</v>
      </c>
      <c r="C88" s="22"/>
      <c r="D88" s="22"/>
      <c r="E88" s="66"/>
      <c r="F88" s="66"/>
      <c r="G88" s="67"/>
      <c r="H88" s="67"/>
      <c r="I88" s="25">
        <v>0</v>
      </c>
    </row>
    <row r="89" spans="1:21" ht="15.75" customHeight="1">
      <c r="A89" s="79"/>
      <c r="B89" s="70" t="s">
        <v>219</v>
      </c>
      <c r="C89" s="53"/>
      <c r="D89" s="53"/>
      <c r="E89" s="53"/>
      <c r="F89" s="53"/>
      <c r="G89" s="53"/>
      <c r="H89" s="53"/>
      <c r="I89" s="68">
        <f>I84+I87</f>
        <v>107238.69835407777</v>
      </c>
    </row>
    <row r="90" spans="1:21" ht="15.75">
      <c r="A90" s="190" t="s">
        <v>258</v>
      </c>
      <c r="B90" s="190"/>
      <c r="C90" s="190"/>
      <c r="D90" s="190"/>
      <c r="E90" s="190"/>
      <c r="F90" s="190"/>
      <c r="G90" s="190"/>
      <c r="H90" s="190"/>
      <c r="I90" s="190"/>
    </row>
    <row r="91" spans="1:21" ht="15.75" customHeight="1">
      <c r="A91" s="97"/>
      <c r="B91" s="191" t="s">
        <v>259</v>
      </c>
      <c r="C91" s="191"/>
      <c r="D91" s="191"/>
      <c r="E91" s="191"/>
      <c r="F91" s="191"/>
      <c r="G91" s="191"/>
      <c r="H91" s="101"/>
      <c r="I91" s="3"/>
    </row>
    <row r="92" spans="1:21">
      <c r="A92" s="123"/>
      <c r="B92" s="186" t="s">
        <v>6</v>
      </c>
      <c r="C92" s="186"/>
      <c r="D92" s="186"/>
      <c r="E92" s="186"/>
      <c r="F92" s="186"/>
      <c r="G92" s="186"/>
      <c r="H92" s="37"/>
      <c r="I92" s="5"/>
    </row>
    <row r="93" spans="1:21" ht="8.25" customHeight="1">
      <c r="A93" s="12"/>
      <c r="B93" s="12"/>
      <c r="C93" s="12"/>
      <c r="D93" s="12"/>
      <c r="E93" s="12"/>
      <c r="F93" s="12"/>
      <c r="G93" s="12"/>
      <c r="H93" s="12"/>
      <c r="I93" s="12"/>
    </row>
    <row r="94" spans="1:21" ht="15.75">
      <c r="A94" s="192" t="s">
        <v>7</v>
      </c>
      <c r="B94" s="192"/>
      <c r="C94" s="192"/>
      <c r="D94" s="192"/>
      <c r="E94" s="192"/>
      <c r="F94" s="192"/>
      <c r="G94" s="192"/>
      <c r="H94" s="192"/>
      <c r="I94" s="192"/>
    </row>
    <row r="95" spans="1:21" ht="16.5" customHeight="1">
      <c r="A95" s="192" t="s">
        <v>8</v>
      </c>
      <c r="B95" s="192"/>
      <c r="C95" s="192"/>
      <c r="D95" s="192"/>
      <c r="E95" s="192"/>
      <c r="F95" s="192"/>
      <c r="G95" s="192"/>
      <c r="H95" s="192"/>
      <c r="I95" s="192"/>
    </row>
    <row r="96" spans="1:21" ht="16.5" customHeight="1">
      <c r="A96" s="193" t="s">
        <v>78</v>
      </c>
      <c r="B96" s="193"/>
      <c r="C96" s="193"/>
      <c r="D96" s="193"/>
      <c r="E96" s="193"/>
      <c r="F96" s="193"/>
      <c r="G96" s="193"/>
      <c r="H96" s="193"/>
      <c r="I96" s="193"/>
    </row>
    <row r="97" spans="1:9" ht="15.75" customHeight="1">
      <c r="A97" s="13"/>
    </row>
    <row r="98" spans="1:9" ht="15.75" customHeight="1">
      <c r="A98" s="184" t="s">
        <v>9</v>
      </c>
      <c r="B98" s="184"/>
      <c r="C98" s="184"/>
      <c r="D98" s="184"/>
      <c r="E98" s="184"/>
      <c r="F98" s="184"/>
      <c r="G98" s="184"/>
      <c r="H98" s="184"/>
      <c r="I98" s="184"/>
    </row>
    <row r="99" spans="1:9" ht="15.75">
      <c r="A99" s="4"/>
    </row>
    <row r="100" spans="1:9" ht="15.75" customHeight="1">
      <c r="B100" s="125" t="s">
        <v>10</v>
      </c>
      <c r="C100" s="185" t="s">
        <v>166</v>
      </c>
      <c r="D100" s="185"/>
      <c r="E100" s="185"/>
      <c r="F100" s="99"/>
      <c r="I100" s="122"/>
    </row>
    <row r="101" spans="1:9">
      <c r="A101" s="123"/>
      <c r="C101" s="186" t="s">
        <v>11</v>
      </c>
      <c r="D101" s="186"/>
      <c r="E101" s="186"/>
      <c r="F101" s="37"/>
      <c r="I101" s="124" t="s">
        <v>12</v>
      </c>
    </row>
    <row r="102" spans="1:9" ht="15.75">
      <c r="A102" s="38"/>
      <c r="C102" s="14"/>
      <c r="D102" s="14"/>
      <c r="G102" s="14"/>
      <c r="H102" s="14"/>
    </row>
    <row r="103" spans="1:9" ht="15.75">
      <c r="B103" s="125" t="s">
        <v>13</v>
      </c>
      <c r="C103" s="187"/>
      <c r="D103" s="187"/>
      <c r="E103" s="187"/>
      <c r="F103" s="100"/>
      <c r="I103" s="122"/>
    </row>
    <row r="104" spans="1:9">
      <c r="A104" s="123"/>
      <c r="C104" s="188" t="s">
        <v>11</v>
      </c>
      <c r="D104" s="188"/>
      <c r="E104" s="188"/>
      <c r="F104" s="123"/>
      <c r="I104" s="124" t="s">
        <v>12</v>
      </c>
    </row>
    <row r="105" spans="1:9" ht="15.75">
      <c r="A105" s="4" t="s">
        <v>14</v>
      </c>
    </row>
    <row r="106" spans="1:9">
      <c r="A106" s="189" t="s">
        <v>15</v>
      </c>
      <c r="B106" s="189"/>
      <c r="C106" s="189"/>
      <c r="D106" s="189"/>
      <c r="E106" s="189"/>
      <c r="F106" s="189"/>
      <c r="G106" s="189"/>
      <c r="H106" s="189"/>
      <c r="I106" s="189"/>
    </row>
    <row r="107" spans="1:9" ht="45" customHeight="1">
      <c r="A107" s="180" t="s">
        <v>16</v>
      </c>
      <c r="B107" s="180"/>
      <c r="C107" s="180"/>
      <c r="D107" s="180"/>
      <c r="E107" s="180"/>
      <c r="F107" s="180"/>
      <c r="G107" s="180"/>
      <c r="H107" s="180"/>
      <c r="I107" s="180"/>
    </row>
    <row r="108" spans="1:9" ht="30" customHeight="1">
      <c r="A108" s="180" t="s">
        <v>17</v>
      </c>
      <c r="B108" s="180"/>
      <c r="C108" s="180"/>
      <c r="D108" s="180"/>
      <c r="E108" s="180"/>
      <c r="F108" s="180"/>
      <c r="G108" s="180"/>
      <c r="H108" s="180"/>
      <c r="I108" s="180"/>
    </row>
    <row r="109" spans="1:9" ht="30" customHeight="1">
      <c r="A109" s="180" t="s">
        <v>22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15" customHeight="1">
      <c r="A110" s="180" t="s">
        <v>21</v>
      </c>
      <c r="B110" s="180"/>
      <c r="C110" s="180"/>
      <c r="D110" s="180"/>
      <c r="E110" s="180"/>
      <c r="F110" s="180"/>
      <c r="G110" s="180"/>
      <c r="H110" s="180"/>
      <c r="I110" s="18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4:E104"/>
    <mergeCell ref="A85:I85"/>
    <mergeCell ref="A90:I90"/>
    <mergeCell ref="B91:G91"/>
    <mergeCell ref="B92:G92"/>
    <mergeCell ref="A94:I94"/>
    <mergeCell ref="A95:I95"/>
    <mergeCell ref="A96:I96"/>
    <mergeCell ref="A98:I98"/>
    <mergeCell ref="C100:E100"/>
    <mergeCell ref="C101:E101"/>
    <mergeCell ref="C103:E103"/>
    <mergeCell ref="A81:I81"/>
    <mergeCell ref="A106:I106"/>
    <mergeCell ref="A107:I107"/>
    <mergeCell ref="A108:I108"/>
    <mergeCell ref="A109:I109"/>
    <mergeCell ref="A110:I110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111"/>
  <sheetViews>
    <sheetView workbookViewId="0">
      <selection activeCell="I93" sqref="I93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7.71093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126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201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260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43281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206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5"/>
        <v>0.89367300000000005</v>
      </c>
      <c r="I44" s="19">
        <f>F44/6*G44</f>
        <v>148.94550000000001</v>
      </c>
      <c r="J44" s="36"/>
    </row>
    <row r="45" spans="1:13" ht="15.75" hidden="1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hidden="1" customHeight="1">
      <c r="A46" s="64">
        <v>18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19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20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21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22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23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197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9</v>
      </c>
      <c r="B61" s="113" t="s">
        <v>146</v>
      </c>
      <c r="C61" s="112" t="s">
        <v>27</v>
      </c>
      <c r="D61" s="113" t="s">
        <v>147</v>
      </c>
      <c r="E61" s="114">
        <v>140.4</v>
      </c>
      <c r="F61" s="107">
        <v>1440</v>
      </c>
      <c r="G61" s="19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9.5" hidden="1" customHeight="1">
      <c r="A70" s="42">
        <v>10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9"/>
        <v>0.18621000000000001</v>
      </c>
      <c r="I70" s="19">
        <f>G70*F70</f>
        <v>186.21</v>
      </c>
      <c r="J70" s="36"/>
      <c r="L70" s="28"/>
      <c r="M70" s="29"/>
      <c r="N70" s="30"/>
    </row>
    <row r="71" spans="1:22" ht="21.75" customHeight="1">
      <c r="A71" s="42">
        <v>11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7.25" hidden="1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187</v>
      </c>
      <c r="C80" s="23"/>
      <c r="D80" s="21"/>
      <c r="E80" s="116"/>
      <c r="F80" s="19">
        <v>1</v>
      </c>
      <c r="G80" s="19">
        <v>8680.7999999999993</v>
      </c>
      <c r="H80" s="102">
        <f>G80*F80/1000</f>
        <v>8.6807999999999996</v>
      </c>
      <c r="I80" s="19">
        <f>G80*1</f>
        <v>8680.7999999999993</v>
      </c>
    </row>
    <row r="81" spans="1:21" ht="15.75" customHeight="1">
      <c r="A81" s="200" t="s">
        <v>198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13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14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I83+I82+I71+I61+I34+I32+I31+I28+I27+I18+I17+I16</f>
        <v>30703.695945777781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15.75" customHeight="1">
      <c r="A86" s="135">
        <v>15</v>
      </c>
      <c r="B86" s="163" t="s">
        <v>261</v>
      </c>
      <c r="C86" s="164" t="s">
        <v>169</v>
      </c>
      <c r="D86" s="75"/>
      <c r="E86" s="19"/>
      <c r="F86" s="19">
        <v>2</v>
      </c>
      <c r="G86" s="165">
        <v>3413.41</v>
      </c>
      <c r="H86" s="102">
        <f t="shared" ref="H86:H87" si="13">G86*F86/1000</f>
        <v>6.8268199999999997</v>
      </c>
      <c r="I86" s="138">
        <f>G86*0.06</f>
        <v>204.80459999999999</v>
      </c>
    </row>
    <row r="87" spans="1:21" ht="18.75" customHeight="1">
      <c r="A87" s="135">
        <v>16</v>
      </c>
      <c r="B87" s="163" t="s">
        <v>262</v>
      </c>
      <c r="C87" s="164" t="s">
        <v>130</v>
      </c>
      <c r="D87" s="75"/>
      <c r="E87" s="19"/>
      <c r="F87" s="19">
        <v>3</v>
      </c>
      <c r="G87" s="165">
        <v>4879</v>
      </c>
      <c r="H87" s="102">
        <f t="shared" si="13"/>
        <v>14.637</v>
      </c>
      <c r="I87" s="138">
        <f>G87*1</f>
        <v>4879</v>
      </c>
    </row>
    <row r="88" spans="1:21" ht="15.75" customHeight="1">
      <c r="A88" s="42"/>
      <c r="B88" s="69" t="s">
        <v>60</v>
      </c>
      <c r="C88" s="65"/>
      <c r="D88" s="95"/>
      <c r="E88" s="65">
        <v>1</v>
      </c>
      <c r="F88" s="65"/>
      <c r="G88" s="65"/>
      <c r="H88" s="65"/>
      <c r="I88" s="49">
        <f>SUM(I86:I87)</f>
        <v>5083.8046000000004</v>
      </c>
    </row>
    <row r="89" spans="1:21" ht="15.75" customHeight="1">
      <c r="A89" s="42"/>
      <c r="B89" s="75" t="s">
        <v>107</v>
      </c>
      <c r="C89" s="22"/>
      <c r="D89" s="22"/>
      <c r="E89" s="66"/>
      <c r="F89" s="66"/>
      <c r="G89" s="67"/>
      <c r="H89" s="67"/>
      <c r="I89" s="25">
        <v>0</v>
      </c>
    </row>
    <row r="90" spans="1:21" ht="15.75" customHeight="1">
      <c r="A90" s="79"/>
      <c r="B90" s="70" t="s">
        <v>219</v>
      </c>
      <c r="C90" s="53"/>
      <c r="D90" s="53"/>
      <c r="E90" s="53"/>
      <c r="F90" s="53"/>
      <c r="G90" s="53"/>
      <c r="H90" s="53"/>
      <c r="I90" s="68">
        <f>I84+I88</f>
        <v>35787.500545777781</v>
      </c>
    </row>
    <row r="91" spans="1:21" ht="15.75">
      <c r="A91" s="190" t="s">
        <v>263</v>
      </c>
      <c r="B91" s="190"/>
      <c r="C91" s="190"/>
      <c r="D91" s="190"/>
      <c r="E91" s="190"/>
      <c r="F91" s="190"/>
      <c r="G91" s="190"/>
      <c r="H91" s="190"/>
      <c r="I91" s="190"/>
    </row>
    <row r="92" spans="1:21" ht="15.75" customHeight="1">
      <c r="A92" s="97"/>
      <c r="B92" s="191" t="s">
        <v>264</v>
      </c>
      <c r="C92" s="191"/>
      <c r="D92" s="191"/>
      <c r="E92" s="191"/>
      <c r="F92" s="191"/>
      <c r="G92" s="191"/>
      <c r="H92" s="101"/>
      <c r="I92" s="3"/>
    </row>
    <row r="93" spans="1:21">
      <c r="A93" s="123"/>
      <c r="B93" s="186" t="s">
        <v>6</v>
      </c>
      <c r="C93" s="186"/>
      <c r="D93" s="186"/>
      <c r="E93" s="186"/>
      <c r="F93" s="186"/>
      <c r="G93" s="186"/>
      <c r="H93" s="37"/>
      <c r="I93" s="5"/>
    </row>
    <row r="94" spans="1:21" ht="15.75" customHeight="1">
      <c r="A94" s="12"/>
      <c r="B94" s="12"/>
      <c r="C94" s="12"/>
      <c r="D94" s="12"/>
      <c r="E94" s="12"/>
      <c r="F94" s="12"/>
      <c r="G94" s="12"/>
      <c r="H94" s="12"/>
      <c r="I94" s="12"/>
    </row>
    <row r="95" spans="1:21" ht="15.75">
      <c r="A95" s="192" t="s">
        <v>7</v>
      </c>
      <c r="B95" s="192"/>
      <c r="C95" s="192"/>
      <c r="D95" s="192"/>
      <c r="E95" s="192"/>
      <c r="F95" s="192"/>
      <c r="G95" s="192"/>
      <c r="H95" s="192"/>
      <c r="I95" s="192"/>
    </row>
    <row r="96" spans="1:21" ht="16.5" customHeight="1">
      <c r="A96" s="192" t="s">
        <v>8</v>
      </c>
      <c r="B96" s="192"/>
      <c r="C96" s="192"/>
      <c r="D96" s="192"/>
      <c r="E96" s="192"/>
      <c r="F96" s="192"/>
      <c r="G96" s="192"/>
      <c r="H96" s="192"/>
      <c r="I96" s="192"/>
    </row>
    <row r="97" spans="1:9" ht="16.5" customHeight="1">
      <c r="A97" s="193" t="s">
        <v>78</v>
      </c>
      <c r="B97" s="193"/>
      <c r="C97" s="193"/>
      <c r="D97" s="193"/>
      <c r="E97" s="193"/>
      <c r="F97" s="193"/>
      <c r="G97" s="193"/>
      <c r="H97" s="193"/>
      <c r="I97" s="193"/>
    </row>
    <row r="98" spans="1:9" ht="15.75" customHeight="1">
      <c r="A98" s="13"/>
    </row>
    <row r="99" spans="1:9" ht="15.75" customHeight="1">
      <c r="A99" s="184" t="s">
        <v>9</v>
      </c>
      <c r="B99" s="184"/>
      <c r="C99" s="184"/>
      <c r="D99" s="184"/>
      <c r="E99" s="184"/>
      <c r="F99" s="184"/>
      <c r="G99" s="184"/>
      <c r="H99" s="184"/>
      <c r="I99" s="184"/>
    </row>
    <row r="100" spans="1:9" ht="15.75">
      <c r="A100" s="4"/>
    </row>
    <row r="101" spans="1:9" ht="15.75" customHeight="1">
      <c r="B101" s="125" t="s">
        <v>10</v>
      </c>
      <c r="C101" s="185" t="s">
        <v>166</v>
      </c>
      <c r="D101" s="185"/>
      <c r="E101" s="185"/>
      <c r="F101" s="99"/>
      <c r="I101" s="122"/>
    </row>
    <row r="102" spans="1:9">
      <c r="A102" s="123"/>
      <c r="C102" s="186" t="s">
        <v>11</v>
      </c>
      <c r="D102" s="186"/>
      <c r="E102" s="186"/>
      <c r="F102" s="37"/>
      <c r="I102" s="124" t="s">
        <v>12</v>
      </c>
    </row>
    <row r="103" spans="1:9" ht="15.75">
      <c r="A103" s="38"/>
      <c r="C103" s="14"/>
      <c r="D103" s="14"/>
      <c r="G103" s="14"/>
      <c r="H103" s="14"/>
    </row>
    <row r="104" spans="1:9" ht="15.75">
      <c r="B104" s="125" t="s">
        <v>13</v>
      </c>
      <c r="C104" s="187"/>
      <c r="D104" s="187"/>
      <c r="E104" s="187"/>
      <c r="F104" s="100"/>
      <c r="I104" s="122"/>
    </row>
    <row r="105" spans="1:9">
      <c r="A105" s="123"/>
      <c r="C105" s="188" t="s">
        <v>11</v>
      </c>
      <c r="D105" s="188"/>
      <c r="E105" s="188"/>
      <c r="F105" s="123"/>
      <c r="I105" s="124" t="s">
        <v>12</v>
      </c>
    </row>
    <row r="106" spans="1:9" ht="15.75">
      <c r="A106" s="4" t="s">
        <v>14</v>
      </c>
    </row>
    <row r="107" spans="1:9">
      <c r="A107" s="189" t="s">
        <v>15</v>
      </c>
      <c r="B107" s="189"/>
      <c r="C107" s="189"/>
      <c r="D107" s="189"/>
      <c r="E107" s="189"/>
      <c r="F107" s="189"/>
      <c r="G107" s="189"/>
      <c r="H107" s="189"/>
      <c r="I107" s="189"/>
    </row>
    <row r="108" spans="1:9" ht="45" customHeight="1">
      <c r="A108" s="180" t="s">
        <v>16</v>
      </c>
      <c r="B108" s="180"/>
      <c r="C108" s="180"/>
      <c r="D108" s="180"/>
      <c r="E108" s="180"/>
      <c r="F108" s="180"/>
      <c r="G108" s="180"/>
      <c r="H108" s="180"/>
      <c r="I108" s="180"/>
    </row>
    <row r="109" spans="1:9" ht="30" customHeight="1">
      <c r="A109" s="180" t="s">
        <v>17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30" customHeight="1">
      <c r="A110" s="180" t="s">
        <v>22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15" customHeight="1">
      <c r="A111" s="180" t="s">
        <v>21</v>
      </c>
      <c r="B111" s="180"/>
      <c r="C111" s="180"/>
      <c r="D111" s="180"/>
      <c r="E111" s="180"/>
      <c r="F111" s="180"/>
      <c r="G111" s="180"/>
      <c r="H111" s="180"/>
      <c r="I111" s="18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5:E105"/>
    <mergeCell ref="A85:I85"/>
    <mergeCell ref="A91:I91"/>
    <mergeCell ref="B92:G92"/>
    <mergeCell ref="B93:G93"/>
    <mergeCell ref="A95:I95"/>
    <mergeCell ref="A96:I96"/>
    <mergeCell ref="A97:I97"/>
    <mergeCell ref="A99:I99"/>
    <mergeCell ref="C101:E101"/>
    <mergeCell ref="C102:E102"/>
    <mergeCell ref="C104:E104"/>
    <mergeCell ref="A81:I81"/>
    <mergeCell ref="A107:I107"/>
    <mergeCell ref="A108:I108"/>
    <mergeCell ref="A109:I109"/>
    <mergeCell ref="A110:I110"/>
    <mergeCell ref="A111:I111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112"/>
  <sheetViews>
    <sheetView workbookViewId="0">
      <selection activeCell="K89" sqref="K89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5703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265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202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266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43312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267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5"/>
        <v>0.89367300000000005</v>
      </c>
      <c r="I44" s="19">
        <f>F44/6*G44</f>
        <v>148.94550000000001</v>
      </c>
      <c r="J44" s="36"/>
    </row>
    <row r="45" spans="1:13" ht="15.75" hidden="1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hidden="1" customHeight="1">
      <c r="A46" s="64">
        <v>18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19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20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21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22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23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197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9</v>
      </c>
      <c r="B61" s="113" t="s">
        <v>146</v>
      </c>
      <c r="C61" s="112" t="s">
        <v>27</v>
      </c>
      <c r="D61" s="113" t="s">
        <v>147</v>
      </c>
      <c r="E61" s="114">
        <v>140.4</v>
      </c>
      <c r="F61" s="107">
        <v>1440</v>
      </c>
      <c r="G61" s="19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9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10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7.25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8.75" customHeight="1">
      <c r="A80" s="42">
        <v>11</v>
      </c>
      <c r="B80" s="103" t="s">
        <v>187</v>
      </c>
      <c r="C80" s="23"/>
      <c r="D80" s="21"/>
      <c r="E80" s="116"/>
      <c r="F80" s="19">
        <v>1</v>
      </c>
      <c r="G80" s="19">
        <v>1634.8</v>
      </c>
      <c r="H80" s="102">
        <f>G80*F80/1000</f>
        <v>1.6348</v>
      </c>
      <c r="I80" s="19">
        <f>G80</f>
        <v>1634.8</v>
      </c>
    </row>
    <row r="81" spans="1:21" ht="15.75" customHeight="1">
      <c r="A81" s="200" t="s">
        <v>198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12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13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I83+I82+I80+I71+I61+I34+I32+I31+I28+I27+I18+I17+I16</f>
        <v>32338.495945777777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31.5" customHeight="1">
      <c r="A86" s="135">
        <v>14</v>
      </c>
      <c r="B86" s="166" t="s">
        <v>268</v>
      </c>
      <c r="C86" s="167" t="s">
        <v>130</v>
      </c>
      <c r="D86" s="75"/>
      <c r="E86" s="19"/>
      <c r="F86" s="19">
        <v>0.03</v>
      </c>
      <c r="G86" s="165">
        <v>419.84</v>
      </c>
      <c r="H86" s="102">
        <f t="shared" ref="H86:H88" si="13">G86*F86/1000</f>
        <v>1.2595199999999999E-2</v>
      </c>
      <c r="I86" s="138">
        <f>G86</f>
        <v>419.84</v>
      </c>
    </row>
    <row r="87" spans="1:21" ht="31.5" customHeight="1">
      <c r="A87" s="135">
        <v>15</v>
      </c>
      <c r="B87" s="166" t="s">
        <v>269</v>
      </c>
      <c r="C87" s="167" t="s">
        <v>270</v>
      </c>
      <c r="D87" s="75"/>
      <c r="E87" s="19"/>
      <c r="F87" s="19">
        <v>2</v>
      </c>
      <c r="G87" s="165">
        <v>300.61</v>
      </c>
      <c r="H87" s="102">
        <f t="shared" si="13"/>
        <v>0.60121999999999998</v>
      </c>
      <c r="I87" s="138">
        <f>G87</f>
        <v>300.61</v>
      </c>
    </row>
    <row r="88" spans="1:21" ht="31.5" hidden="1" customHeight="1">
      <c r="A88" s="135">
        <v>15</v>
      </c>
      <c r="B88" s="88"/>
      <c r="C88" s="89"/>
      <c r="D88" s="75"/>
      <c r="E88" s="19"/>
      <c r="F88" s="19">
        <v>1</v>
      </c>
      <c r="G88" s="19"/>
      <c r="H88" s="102">
        <f t="shared" si="13"/>
        <v>0</v>
      </c>
      <c r="I88" s="138"/>
    </row>
    <row r="89" spans="1:21" ht="15.75" customHeight="1">
      <c r="A89" s="42"/>
      <c r="B89" s="69" t="s">
        <v>60</v>
      </c>
      <c r="C89" s="65"/>
      <c r="D89" s="95"/>
      <c r="E89" s="65">
        <v>1</v>
      </c>
      <c r="F89" s="65"/>
      <c r="G89" s="65"/>
      <c r="H89" s="65"/>
      <c r="I89" s="49">
        <f>I87+I86</f>
        <v>720.45</v>
      </c>
    </row>
    <row r="90" spans="1:21" ht="15.75" customHeight="1">
      <c r="A90" s="42"/>
      <c r="B90" s="75" t="s">
        <v>107</v>
      </c>
      <c r="C90" s="22"/>
      <c r="D90" s="22"/>
      <c r="E90" s="66"/>
      <c r="F90" s="66"/>
      <c r="G90" s="67"/>
      <c r="H90" s="67"/>
      <c r="I90" s="25">
        <v>0</v>
      </c>
    </row>
    <row r="91" spans="1:21" ht="15.75" customHeight="1">
      <c r="A91" s="79"/>
      <c r="B91" s="70" t="s">
        <v>219</v>
      </c>
      <c r="C91" s="53"/>
      <c r="D91" s="53"/>
      <c r="E91" s="53"/>
      <c r="F91" s="53"/>
      <c r="G91" s="53"/>
      <c r="H91" s="53"/>
      <c r="I91" s="68">
        <f>I84+I89</f>
        <v>33058.945945777778</v>
      </c>
    </row>
    <row r="92" spans="1:21" ht="15.75">
      <c r="A92" s="190" t="s">
        <v>271</v>
      </c>
      <c r="B92" s="190"/>
      <c r="C92" s="190"/>
      <c r="D92" s="190"/>
      <c r="E92" s="190"/>
      <c r="F92" s="190"/>
      <c r="G92" s="190"/>
      <c r="H92" s="190"/>
      <c r="I92" s="190"/>
    </row>
    <row r="93" spans="1:21" ht="15.75" customHeight="1">
      <c r="A93" s="97"/>
      <c r="B93" s="191" t="s">
        <v>272</v>
      </c>
      <c r="C93" s="191"/>
      <c r="D93" s="191"/>
      <c r="E93" s="191"/>
      <c r="F93" s="191"/>
      <c r="G93" s="191"/>
      <c r="H93" s="101"/>
      <c r="I93" s="3"/>
    </row>
    <row r="94" spans="1:21">
      <c r="A94" s="123"/>
      <c r="B94" s="186" t="s">
        <v>6</v>
      </c>
      <c r="C94" s="186"/>
      <c r="D94" s="186"/>
      <c r="E94" s="186"/>
      <c r="F94" s="186"/>
      <c r="G94" s="186"/>
      <c r="H94" s="37"/>
      <c r="I94" s="5"/>
    </row>
    <row r="95" spans="1:21" ht="15.75" customHeight="1">
      <c r="A95" s="12"/>
      <c r="B95" s="12"/>
      <c r="C95" s="12"/>
      <c r="D95" s="12"/>
      <c r="E95" s="12"/>
      <c r="F95" s="12"/>
      <c r="G95" s="12"/>
      <c r="H95" s="12"/>
      <c r="I95" s="12"/>
    </row>
    <row r="96" spans="1:21" ht="15.75">
      <c r="A96" s="192" t="s">
        <v>7</v>
      </c>
      <c r="B96" s="192"/>
      <c r="C96" s="192"/>
      <c r="D96" s="192"/>
      <c r="E96" s="192"/>
      <c r="F96" s="192"/>
      <c r="G96" s="192"/>
      <c r="H96" s="192"/>
      <c r="I96" s="192"/>
    </row>
    <row r="97" spans="1:9" ht="16.5" customHeight="1">
      <c r="A97" s="192" t="s">
        <v>8</v>
      </c>
      <c r="B97" s="192"/>
      <c r="C97" s="192"/>
      <c r="D97" s="192"/>
      <c r="E97" s="192"/>
      <c r="F97" s="192"/>
      <c r="G97" s="192"/>
      <c r="H97" s="192"/>
      <c r="I97" s="192"/>
    </row>
    <row r="98" spans="1:9" ht="16.5" customHeight="1">
      <c r="A98" s="193" t="s">
        <v>78</v>
      </c>
      <c r="B98" s="193"/>
      <c r="C98" s="193"/>
      <c r="D98" s="193"/>
      <c r="E98" s="193"/>
      <c r="F98" s="193"/>
      <c r="G98" s="193"/>
      <c r="H98" s="193"/>
      <c r="I98" s="193"/>
    </row>
    <row r="99" spans="1:9" ht="15.75" customHeight="1">
      <c r="A99" s="13"/>
    </row>
    <row r="100" spans="1:9" ht="15.75" customHeight="1">
      <c r="A100" s="184" t="s">
        <v>9</v>
      </c>
      <c r="B100" s="184"/>
      <c r="C100" s="184"/>
      <c r="D100" s="184"/>
      <c r="E100" s="184"/>
      <c r="F100" s="184"/>
      <c r="G100" s="184"/>
      <c r="H100" s="184"/>
      <c r="I100" s="184"/>
    </row>
    <row r="101" spans="1:9" ht="15.75">
      <c r="A101" s="4"/>
    </row>
    <row r="102" spans="1:9" ht="15.75" customHeight="1">
      <c r="B102" s="125" t="s">
        <v>10</v>
      </c>
      <c r="C102" s="185" t="s">
        <v>166</v>
      </c>
      <c r="D102" s="185"/>
      <c r="E102" s="185"/>
      <c r="F102" s="99"/>
      <c r="I102" s="122"/>
    </row>
    <row r="103" spans="1:9">
      <c r="A103" s="123"/>
      <c r="C103" s="186" t="s">
        <v>11</v>
      </c>
      <c r="D103" s="186"/>
      <c r="E103" s="186"/>
      <c r="F103" s="37"/>
      <c r="I103" s="124" t="s">
        <v>12</v>
      </c>
    </row>
    <row r="104" spans="1:9" ht="15.75">
      <c r="A104" s="38"/>
      <c r="C104" s="14"/>
      <c r="D104" s="14"/>
      <c r="G104" s="14"/>
      <c r="H104" s="14"/>
    </row>
    <row r="105" spans="1:9" ht="15.75">
      <c r="B105" s="125" t="s">
        <v>13</v>
      </c>
      <c r="C105" s="187"/>
      <c r="D105" s="187"/>
      <c r="E105" s="187"/>
      <c r="F105" s="100"/>
      <c r="I105" s="122"/>
    </row>
    <row r="106" spans="1:9">
      <c r="A106" s="123"/>
      <c r="C106" s="188" t="s">
        <v>11</v>
      </c>
      <c r="D106" s="188"/>
      <c r="E106" s="188"/>
      <c r="F106" s="123"/>
      <c r="I106" s="124" t="s">
        <v>12</v>
      </c>
    </row>
    <row r="107" spans="1:9" ht="15.75">
      <c r="A107" s="4" t="s">
        <v>14</v>
      </c>
    </row>
    <row r="108" spans="1:9">
      <c r="A108" s="189" t="s">
        <v>15</v>
      </c>
      <c r="B108" s="189"/>
      <c r="C108" s="189"/>
      <c r="D108" s="189"/>
      <c r="E108" s="189"/>
      <c r="F108" s="189"/>
      <c r="G108" s="189"/>
      <c r="H108" s="189"/>
      <c r="I108" s="189"/>
    </row>
    <row r="109" spans="1:9" ht="45" customHeight="1">
      <c r="A109" s="180" t="s">
        <v>16</v>
      </c>
      <c r="B109" s="180"/>
      <c r="C109" s="180"/>
      <c r="D109" s="180"/>
      <c r="E109" s="180"/>
      <c r="F109" s="180"/>
      <c r="G109" s="180"/>
      <c r="H109" s="180"/>
      <c r="I109" s="180"/>
    </row>
    <row r="110" spans="1:9" ht="30" customHeight="1">
      <c r="A110" s="180" t="s">
        <v>17</v>
      </c>
      <c r="B110" s="180"/>
      <c r="C110" s="180"/>
      <c r="D110" s="180"/>
      <c r="E110" s="180"/>
      <c r="F110" s="180"/>
      <c r="G110" s="180"/>
      <c r="H110" s="180"/>
      <c r="I110" s="180"/>
    </row>
    <row r="111" spans="1:9" ht="30" customHeight="1">
      <c r="A111" s="180" t="s">
        <v>22</v>
      </c>
      <c r="B111" s="180"/>
      <c r="C111" s="180"/>
      <c r="D111" s="180"/>
      <c r="E111" s="180"/>
      <c r="F111" s="180"/>
      <c r="G111" s="180"/>
      <c r="H111" s="180"/>
      <c r="I111" s="180"/>
    </row>
    <row r="112" spans="1:9" ht="15" customHeight="1">
      <c r="A112" s="180" t="s">
        <v>21</v>
      </c>
      <c r="B112" s="180"/>
      <c r="C112" s="180"/>
      <c r="D112" s="180"/>
      <c r="E112" s="180"/>
      <c r="F112" s="180"/>
      <c r="G112" s="180"/>
      <c r="H112" s="180"/>
      <c r="I112" s="18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6:E106"/>
    <mergeCell ref="A85:I85"/>
    <mergeCell ref="A92:I92"/>
    <mergeCell ref="B93:G93"/>
    <mergeCell ref="B94:G94"/>
    <mergeCell ref="A96:I96"/>
    <mergeCell ref="A97:I97"/>
    <mergeCell ref="A98:I98"/>
    <mergeCell ref="A100:I100"/>
    <mergeCell ref="C102:E102"/>
    <mergeCell ref="C103:E103"/>
    <mergeCell ref="C105:E105"/>
    <mergeCell ref="A81:I81"/>
    <mergeCell ref="A108:I108"/>
    <mergeCell ref="A109:I109"/>
    <mergeCell ref="A110:I110"/>
    <mergeCell ref="A111:I111"/>
    <mergeCell ref="A112:I112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118"/>
  <sheetViews>
    <sheetView topLeftCell="A71" workbookViewId="0">
      <selection activeCell="K11" sqref="K11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9.8554687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265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203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279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43343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267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hidden="1" customHeight="1">
      <c r="A20" s="42">
        <v>5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hidden="1" customHeight="1">
      <c r="A21" s="42">
        <v>6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4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5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6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7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8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5"/>
        <v>0.89367300000000005</v>
      </c>
      <c r="I44" s="19">
        <f>F44/6*G44</f>
        <v>148.94550000000001</v>
      </c>
      <c r="J44" s="36"/>
    </row>
    <row r="45" spans="1:13" ht="15.75" hidden="1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hidden="1" customHeight="1">
      <c r="A46" s="64">
        <v>18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hidden="1" customHeight="1">
      <c r="A47" s="64">
        <v>19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6"/>
        <v>3.2159742784000001</v>
      </c>
      <c r="I47" s="19">
        <f t="shared" si="7"/>
        <v>1607.9871392</v>
      </c>
      <c r="J47" s="36"/>
    </row>
    <row r="48" spans="1:13" ht="15.75" hidden="1" customHeight="1">
      <c r="A48" s="64">
        <v>20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6"/>
        <v>2.9431196201999996</v>
      </c>
      <c r="I48" s="19">
        <f t="shared" si="7"/>
        <v>1471.5598100999998</v>
      </c>
      <c r="J48" s="36"/>
    </row>
    <row r="49" spans="1:14" ht="15.75" hidden="1" customHeight="1">
      <c r="A49" s="64">
        <v>21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hidden="1" customHeight="1">
      <c r="A50" s="64">
        <v>22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hidden="1" customHeight="1">
      <c r="A54" s="64">
        <v>23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197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9</v>
      </c>
      <c r="B61" s="113" t="s">
        <v>146</v>
      </c>
      <c r="C61" s="112" t="s">
        <v>27</v>
      </c>
      <c r="D61" s="113" t="s">
        <v>147</v>
      </c>
      <c r="E61" s="114">
        <v>140.4</v>
      </c>
      <c r="F61" s="107">
        <v>1440</v>
      </c>
      <c r="G61" s="19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hidden="1" customHeight="1">
      <c r="A70" s="42">
        <v>13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9"/>
        <v>0.18621000000000001</v>
      </c>
      <c r="I70" s="19">
        <v>0</v>
      </c>
      <c r="J70" s="36"/>
      <c r="L70" s="28"/>
      <c r="M70" s="29"/>
      <c r="N70" s="30"/>
    </row>
    <row r="71" spans="1:22" ht="15.75" customHeight="1">
      <c r="A71" s="42">
        <v>10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00" t="s">
        <v>198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11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12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SUM(I16+I17+I18+I27+I28+I31+I32+I34+I61+I71+I82+I83)</f>
        <v>30703.695945777778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15.75" customHeight="1">
      <c r="A86" s="168">
        <v>13</v>
      </c>
      <c r="B86" s="171" t="s">
        <v>223</v>
      </c>
      <c r="C86" s="172" t="s">
        <v>224</v>
      </c>
      <c r="D86" s="168"/>
      <c r="E86" s="168"/>
      <c r="F86" s="168"/>
      <c r="G86" s="165">
        <v>1272</v>
      </c>
      <c r="H86" s="168"/>
      <c r="I86" s="168">
        <f>G86*2</f>
        <v>2544</v>
      </c>
    </row>
    <row r="87" spans="1:21" ht="15.75" customHeight="1">
      <c r="A87" s="168">
        <v>14</v>
      </c>
      <c r="B87" s="171" t="s">
        <v>280</v>
      </c>
      <c r="C87" s="173" t="s">
        <v>130</v>
      </c>
      <c r="D87" s="168"/>
      <c r="E87" s="168"/>
      <c r="F87" s="168"/>
      <c r="G87" s="165">
        <v>8.44</v>
      </c>
      <c r="H87" s="168"/>
      <c r="I87" s="168">
        <f>G87*2</f>
        <v>16.88</v>
      </c>
    </row>
    <row r="88" spans="1:21" ht="15.75" customHeight="1">
      <c r="A88" s="168">
        <v>15</v>
      </c>
      <c r="B88" s="166" t="s">
        <v>281</v>
      </c>
      <c r="C88" s="173" t="s">
        <v>130</v>
      </c>
      <c r="D88" s="168"/>
      <c r="E88" s="168"/>
      <c r="F88" s="168"/>
      <c r="G88" s="165">
        <v>169.24</v>
      </c>
      <c r="H88" s="168"/>
      <c r="I88" s="168">
        <f>G88*2</f>
        <v>338.48</v>
      </c>
    </row>
    <row r="89" spans="1:21" ht="15.75" customHeight="1">
      <c r="A89" s="168">
        <v>16</v>
      </c>
      <c r="B89" s="166" t="s">
        <v>282</v>
      </c>
      <c r="C89" s="173" t="s">
        <v>130</v>
      </c>
      <c r="D89" s="168"/>
      <c r="E89" s="168"/>
      <c r="F89" s="168"/>
      <c r="G89" s="165">
        <v>14.36</v>
      </c>
      <c r="H89" s="168"/>
      <c r="I89" s="168">
        <f>G89*2</f>
        <v>28.72</v>
      </c>
    </row>
    <row r="90" spans="1:21" ht="15.75" customHeight="1">
      <c r="A90" s="168">
        <v>17</v>
      </c>
      <c r="B90" s="174" t="s">
        <v>283</v>
      </c>
      <c r="C90" s="167" t="s">
        <v>225</v>
      </c>
      <c r="D90" s="168"/>
      <c r="E90" s="168"/>
      <c r="F90" s="168"/>
      <c r="G90" s="165">
        <v>1103.71</v>
      </c>
      <c r="H90" s="168"/>
      <c r="I90" s="168">
        <f>G90*3.5</f>
        <v>3862.9850000000001</v>
      </c>
    </row>
    <row r="91" spans="1:21" ht="15.75" customHeight="1">
      <c r="A91" s="168">
        <v>18</v>
      </c>
      <c r="B91" s="170" t="s">
        <v>284</v>
      </c>
      <c r="C91" s="167" t="s">
        <v>130</v>
      </c>
      <c r="D91" s="168"/>
      <c r="E91" s="168"/>
      <c r="F91" s="168"/>
      <c r="G91" s="165">
        <v>196.01</v>
      </c>
      <c r="H91" s="168"/>
      <c r="I91" s="168">
        <f>G91*4</f>
        <v>784.04</v>
      </c>
    </row>
    <row r="92" spans="1:21" ht="30.75" customHeight="1">
      <c r="A92" s="169">
        <v>19</v>
      </c>
      <c r="B92" s="171" t="s">
        <v>111</v>
      </c>
      <c r="C92" s="172" t="s">
        <v>130</v>
      </c>
      <c r="D92" s="168"/>
      <c r="E92" s="168"/>
      <c r="F92" s="168"/>
      <c r="G92" s="165">
        <v>86.69</v>
      </c>
      <c r="H92" s="168"/>
      <c r="I92" s="169">
        <f>G92*1</f>
        <v>86.69</v>
      </c>
    </row>
    <row r="93" spans="1:21" ht="15.75" hidden="1" customHeight="1">
      <c r="A93" s="168"/>
      <c r="B93" s="168"/>
      <c r="C93" s="168"/>
      <c r="D93" s="168"/>
      <c r="E93" s="168"/>
      <c r="F93" s="168"/>
      <c r="G93" s="168"/>
      <c r="H93" s="168"/>
      <c r="I93" s="168"/>
    </row>
    <row r="94" spans="1:21" ht="15.75" hidden="1" customHeight="1">
      <c r="A94" s="168"/>
      <c r="B94" s="168"/>
      <c r="C94" s="168"/>
      <c r="D94" s="168"/>
      <c r="E94" s="168"/>
      <c r="F94" s="168"/>
      <c r="G94" s="168"/>
      <c r="H94" s="168"/>
      <c r="I94" s="168"/>
    </row>
    <row r="95" spans="1:21" ht="15.75" customHeight="1">
      <c r="A95" s="42"/>
      <c r="B95" s="69" t="s">
        <v>60</v>
      </c>
      <c r="C95" s="65"/>
      <c r="D95" s="95"/>
      <c r="E95" s="65">
        <v>1</v>
      </c>
      <c r="F95" s="65"/>
      <c r="G95" s="65"/>
      <c r="H95" s="65"/>
      <c r="I95" s="49">
        <f>SUM(I86:I94)</f>
        <v>7661.7950000000001</v>
      </c>
    </row>
    <row r="96" spans="1:21" ht="15.75" customHeight="1">
      <c r="A96" s="42"/>
      <c r="B96" s="75" t="s">
        <v>107</v>
      </c>
      <c r="C96" s="22"/>
      <c r="D96" s="22"/>
      <c r="E96" s="66"/>
      <c r="F96" s="66"/>
      <c r="G96" s="67"/>
      <c r="H96" s="67"/>
      <c r="I96" s="25">
        <v>0</v>
      </c>
    </row>
    <row r="97" spans="1:9" ht="15.75" customHeight="1">
      <c r="A97" s="79"/>
      <c r="B97" s="70" t="s">
        <v>219</v>
      </c>
      <c r="C97" s="53"/>
      <c r="D97" s="53"/>
      <c r="E97" s="53"/>
      <c r="F97" s="53"/>
      <c r="G97" s="53"/>
      <c r="H97" s="53"/>
      <c r="I97" s="68">
        <f>I84+I95</f>
        <v>38365.490945777776</v>
      </c>
    </row>
    <row r="98" spans="1:9" ht="15.75">
      <c r="A98" s="190" t="s">
        <v>285</v>
      </c>
      <c r="B98" s="190"/>
      <c r="C98" s="190"/>
      <c r="D98" s="190"/>
      <c r="E98" s="190"/>
      <c r="F98" s="190"/>
      <c r="G98" s="190"/>
      <c r="H98" s="190"/>
      <c r="I98" s="190"/>
    </row>
    <row r="99" spans="1:9" ht="15.75" customHeight="1">
      <c r="A99" s="97"/>
      <c r="B99" s="191" t="s">
        <v>286</v>
      </c>
      <c r="C99" s="191"/>
      <c r="D99" s="191"/>
      <c r="E99" s="191"/>
      <c r="F99" s="191"/>
      <c r="G99" s="191"/>
      <c r="H99" s="101"/>
      <c r="I99" s="3"/>
    </row>
    <row r="100" spans="1:9">
      <c r="A100" s="123"/>
      <c r="B100" s="186" t="s">
        <v>6</v>
      </c>
      <c r="C100" s="186"/>
      <c r="D100" s="186"/>
      <c r="E100" s="186"/>
      <c r="F100" s="186"/>
      <c r="G100" s="186"/>
      <c r="H100" s="37"/>
      <c r="I100" s="5"/>
    </row>
    <row r="101" spans="1:9" ht="15.75" customHeight="1">
      <c r="A101" s="12"/>
      <c r="B101" s="12"/>
      <c r="C101" s="12"/>
      <c r="D101" s="12"/>
      <c r="E101" s="12"/>
      <c r="F101" s="12"/>
      <c r="G101" s="12"/>
      <c r="H101" s="12"/>
      <c r="I101" s="12"/>
    </row>
    <row r="102" spans="1:9" ht="15.75">
      <c r="A102" s="192" t="s">
        <v>7</v>
      </c>
      <c r="B102" s="192"/>
      <c r="C102" s="192"/>
      <c r="D102" s="192"/>
      <c r="E102" s="192"/>
      <c r="F102" s="192"/>
      <c r="G102" s="192"/>
      <c r="H102" s="192"/>
      <c r="I102" s="192"/>
    </row>
    <row r="103" spans="1:9" ht="16.5" customHeight="1">
      <c r="A103" s="192" t="s">
        <v>8</v>
      </c>
      <c r="B103" s="192"/>
      <c r="C103" s="192"/>
      <c r="D103" s="192"/>
      <c r="E103" s="192"/>
      <c r="F103" s="192"/>
      <c r="G103" s="192"/>
      <c r="H103" s="192"/>
      <c r="I103" s="192"/>
    </row>
    <row r="104" spans="1:9" ht="16.5" customHeight="1">
      <c r="A104" s="193" t="s">
        <v>78</v>
      </c>
      <c r="B104" s="193"/>
      <c r="C104" s="193"/>
      <c r="D104" s="193"/>
      <c r="E104" s="193"/>
      <c r="F104" s="193"/>
      <c r="G104" s="193"/>
      <c r="H104" s="193"/>
      <c r="I104" s="193"/>
    </row>
    <row r="105" spans="1:9" ht="15.75" customHeight="1">
      <c r="A105" s="13"/>
    </row>
    <row r="106" spans="1:9" ht="15.75" customHeight="1">
      <c r="A106" s="184" t="s">
        <v>9</v>
      </c>
      <c r="B106" s="184"/>
      <c r="C106" s="184"/>
      <c r="D106" s="184"/>
      <c r="E106" s="184"/>
      <c r="F106" s="184"/>
      <c r="G106" s="184"/>
      <c r="H106" s="184"/>
      <c r="I106" s="184"/>
    </row>
    <row r="107" spans="1:9" ht="15.75">
      <c r="A107" s="4"/>
    </row>
    <row r="108" spans="1:9" ht="15.75" customHeight="1">
      <c r="B108" s="125" t="s">
        <v>10</v>
      </c>
      <c r="C108" s="185" t="s">
        <v>166</v>
      </c>
      <c r="D108" s="185"/>
      <c r="E108" s="185"/>
      <c r="F108" s="99"/>
      <c r="I108" s="122"/>
    </row>
    <row r="109" spans="1:9">
      <c r="A109" s="123"/>
      <c r="C109" s="186" t="s">
        <v>11</v>
      </c>
      <c r="D109" s="186"/>
      <c r="E109" s="186"/>
      <c r="F109" s="37"/>
      <c r="I109" s="124" t="s">
        <v>12</v>
      </c>
    </row>
    <row r="110" spans="1:9" ht="15.75">
      <c r="A110" s="38"/>
      <c r="C110" s="14"/>
      <c r="D110" s="14"/>
      <c r="G110" s="14"/>
      <c r="H110" s="14"/>
    </row>
    <row r="111" spans="1:9" ht="15.75">
      <c r="B111" s="125" t="s">
        <v>13</v>
      </c>
      <c r="C111" s="187"/>
      <c r="D111" s="187"/>
      <c r="E111" s="187"/>
      <c r="F111" s="100"/>
      <c r="I111" s="122"/>
    </row>
    <row r="112" spans="1:9">
      <c r="A112" s="123"/>
      <c r="C112" s="188" t="s">
        <v>11</v>
      </c>
      <c r="D112" s="188"/>
      <c r="E112" s="188"/>
      <c r="F112" s="123"/>
      <c r="I112" s="124" t="s">
        <v>12</v>
      </c>
    </row>
    <row r="113" spans="1:9" ht="15.75">
      <c r="A113" s="4" t="s">
        <v>14</v>
      </c>
    </row>
    <row r="114" spans="1:9">
      <c r="A114" s="189" t="s">
        <v>15</v>
      </c>
      <c r="B114" s="189"/>
      <c r="C114" s="189"/>
      <c r="D114" s="189"/>
      <c r="E114" s="189"/>
      <c r="F114" s="189"/>
      <c r="G114" s="189"/>
      <c r="H114" s="189"/>
      <c r="I114" s="189"/>
    </row>
    <row r="115" spans="1:9" ht="45" customHeight="1">
      <c r="A115" s="180" t="s">
        <v>16</v>
      </c>
      <c r="B115" s="180"/>
      <c r="C115" s="180"/>
      <c r="D115" s="180"/>
      <c r="E115" s="180"/>
      <c r="F115" s="180"/>
      <c r="G115" s="180"/>
      <c r="H115" s="180"/>
      <c r="I115" s="180"/>
    </row>
    <row r="116" spans="1:9" ht="30" customHeight="1">
      <c r="A116" s="180" t="s">
        <v>17</v>
      </c>
      <c r="B116" s="180"/>
      <c r="C116" s="180"/>
      <c r="D116" s="180"/>
      <c r="E116" s="180"/>
      <c r="F116" s="180"/>
      <c r="G116" s="180"/>
      <c r="H116" s="180"/>
      <c r="I116" s="180"/>
    </row>
    <row r="117" spans="1:9" ht="30" customHeight="1">
      <c r="A117" s="180" t="s">
        <v>22</v>
      </c>
      <c r="B117" s="180"/>
      <c r="C117" s="180"/>
      <c r="D117" s="180"/>
      <c r="E117" s="180"/>
      <c r="F117" s="180"/>
      <c r="G117" s="180"/>
      <c r="H117" s="180"/>
      <c r="I117" s="180"/>
    </row>
    <row r="118" spans="1:9" ht="15" customHeight="1">
      <c r="A118" s="180" t="s">
        <v>21</v>
      </c>
      <c r="B118" s="180"/>
      <c r="C118" s="180"/>
      <c r="D118" s="180"/>
      <c r="E118" s="180"/>
      <c r="F118" s="180"/>
      <c r="G118" s="180"/>
      <c r="H118" s="180"/>
      <c r="I118" s="18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12:E112"/>
    <mergeCell ref="A85:I85"/>
    <mergeCell ref="A98:I98"/>
    <mergeCell ref="B99:G99"/>
    <mergeCell ref="B100:G100"/>
    <mergeCell ref="A102:I102"/>
    <mergeCell ref="A103:I103"/>
    <mergeCell ref="A104:I104"/>
    <mergeCell ref="A106:I106"/>
    <mergeCell ref="C108:E108"/>
    <mergeCell ref="C109:E109"/>
    <mergeCell ref="C111:E111"/>
    <mergeCell ref="A81:I81"/>
    <mergeCell ref="A114:I114"/>
    <mergeCell ref="A115:I115"/>
    <mergeCell ref="A116:I116"/>
    <mergeCell ref="A117:I117"/>
    <mergeCell ref="A118:I118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115"/>
  <sheetViews>
    <sheetView topLeftCell="A18" workbookViewId="0">
      <selection activeCell="I97" sqref="I97"/>
    </sheetView>
  </sheetViews>
  <sheetFormatPr defaultRowHeight="15"/>
  <cols>
    <col min="1" max="1" width="7.5703125" customWidth="1"/>
    <col min="2" max="2" width="53.140625" customWidth="1"/>
    <col min="3" max="3" width="18.42578125" customWidth="1"/>
    <col min="4" max="4" width="18.140625" customWidth="1"/>
    <col min="5" max="5" width="18.85546875" hidden="1" customWidth="1"/>
    <col min="6" max="6" width="13.42578125" hidden="1" customWidth="1"/>
    <col min="7" max="7" width="22.5703125" customWidth="1"/>
    <col min="8" max="8" width="22.5703125" hidden="1" customWidth="1"/>
    <col min="9" max="9" width="22.5703125" customWidth="1"/>
    <col min="10" max="10" width="11.140625" customWidth="1"/>
  </cols>
  <sheetData>
    <row r="1" spans="1:13" ht="15.75" customHeight="1">
      <c r="A1" s="40" t="s">
        <v>265</v>
      </c>
      <c r="I1" s="39"/>
      <c r="J1" s="1"/>
      <c r="K1" s="1"/>
      <c r="L1" s="1"/>
      <c r="M1" s="1"/>
    </row>
    <row r="2" spans="1:13" ht="15.75">
      <c r="A2" s="41" t="s">
        <v>80</v>
      </c>
      <c r="J2" s="2"/>
      <c r="K2" s="2"/>
      <c r="L2" s="2"/>
      <c r="M2" s="2"/>
    </row>
    <row r="3" spans="1:13" ht="15.75" customHeight="1">
      <c r="A3" s="203" t="s">
        <v>204</v>
      </c>
      <c r="B3" s="203"/>
      <c r="C3" s="203"/>
      <c r="D3" s="203"/>
      <c r="E3" s="203"/>
      <c r="F3" s="203"/>
      <c r="G3" s="203"/>
      <c r="H3" s="203"/>
      <c r="I3" s="203"/>
      <c r="J3" s="3"/>
      <c r="K3" s="3"/>
      <c r="L3" s="3"/>
    </row>
    <row r="4" spans="1:13" ht="31.5" customHeight="1">
      <c r="A4" s="204" t="s">
        <v>205</v>
      </c>
      <c r="B4" s="204"/>
      <c r="C4" s="204"/>
      <c r="D4" s="204"/>
      <c r="E4" s="204"/>
      <c r="F4" s="204"/>
      <c r="G4" s="204"/>
      <c r="H4" s="204"/>
      <c r="I4" s="204"/>
    </row>
    <row r="5" spans="1:13" ht="15.75">
      <c r="A5" s="203" t="s">
        <v>287</v>
      </c>
      <c r="B5" s="205"/>
      <c r="C5" s="205"/>
      <c r="D5" s="205"/>
      <c r="E5" s="205"/>
      <c r="F5" s="205"/>
      <c r="G5" s="205"/>
      <c r="H5" s="205"/>
      <c r="I5" s="205"/>
      <c r="J5" s="2"/>
      <c r="K5" s="2"/>
      <c r="L5" s="2"/>
      <c r="M5" s="2"/>
    </row>
    <row r="6" spans="1:13" ht="15.75">
      <c r="A6" s="2"/>
      <c r="B6" s="120"/>
      <c r="C6" s="120"/>
      <c r="D6" s="120"/>
      <c r="E6" s="120"/>
      <c r="F6" s="120"/>
      <c r="G6" s="120"/>
      <c r="H6" s="120"/>
      <c r="I6" s="43">
        <v>43373</v>
      </c>
      <c r="J6" s="2"/>
      <c r="K6" s="2"/>
      <c r="L6" s="2"/>
      <c r="M6" s="2"/>
    </row>
    <row r="7" spans="1:13" ht="15.75">
      <c r="B7" s="125"/>
      <c r="C7" s="125"/>
      <c r="D7" s="125"/>
      <c r="E7" s="3"/>
      <c r="F7" s="3"/>
      <c r="G7" s="3"/>
      <c r="H7" s="3"/>
      <c r="J7" s="3"/>
      <c r="K7" s="3"/>
      <c r="L7" s="3"/>
      <c r="M7" s="3"/>
    </row>
    <row r="8" spans="1:13" ht="78.75" customHeight="1">
      <c r="A8" s="206" t="s">
        <v>267</v>
      </c>
      <c r="B8" s="206"/>
      <c r="C8" s="206"/>
      <c r="D8" s="206"/>
      <c r="E8" s="206"/>
      <c r="F8" s="206"/>
      <c r="G8" s="206"/>
      <c r="H8" s="206"/>
      <c r="I8" s="206"/>
      <c r="J8" s="5"/>
      <c r="K8" s="5"/>
      <c r="L8" s="5"/>
      <c r="M8" s="5"/>
    </row>
    <row r="9" spans="1:13" ht="15.75">
      <c r="A9" s="4"/>
      <c r="J9" s="2"/>
      <c r="K9" s="2"/>
      <c r="L9" s="2"/>
      <c r="M9" s="2"/>
    </row>
    <row r="10" spans="1:13" ht="47.25" customHeight="1">
      <c r="A10" s="207" t="s">
        <v>207</v>
      </c>
      <c r="B10" s="207"/>
      <c r="C10" s="207"/>
      <c r="D10" s="207"/>
      <c r="E10" s="207"/>
      <c r="F10" s="207"/>
      <c r="G10" s="207"/>
      <c r="H10" s="207"/>
      <c r="I10" s="207"/>
      <c r="J10" s="2"/>
      <c r="K10" s="2"/>
      <c r="L10" s="2"/>
      <c r="M10" s="2"/>
    </row>
    <row r="11" spans="1:13" ht="15.75" customHeight="1">
      <c r="A11" s="4"/>
    </row>
    <row r="12" spans="1:13" ht="75">
      <c r="A12" s="22" t="s">
        <v>0</v>
      </c>
      <c r="B12" s="22" t="s">
        <v>162</v>
      </c>
      <c r="C12" s="22" t="s">
        <v>2</v>
      </c>
      <c r="D12" s="22" t="s">
        <v>18</v>
      </c>
      <c r="E12" s="22" t="s">
        <v>19</v>
      </c>
      <c r="F12" s="22"/>
      <c r="G12" s="22" t="s">
        <v>23</v>
      </c>
      <c r="H12" s="22"/>
      <c r="I12" s="22" t="s">
        <v>3</v>
      </c>
    </row>
    <row r="13" spans="1:13">
      <c r="A13" s="96">
        <v>1</v>
      </c>
      <c r="B13" s="96">
        <v>2</v>
      </c>
      <c r="C13" s="96">
        <v>3</v>
      </c>
      <c r="D13" s="96">
        <v>4</v>
      </c>
      <c r="E13" s="96">
        <v>5</v>
      </c>
      <c r="F13" s="96"/>
      <c r="G13" s="96">
        <v>5</v>
      </c>
      <c r="H13" s="96"/>
      <c r="I13" s="96">
        <v>6</v>
      </c>
      <c r="J13" s="10"/>
      <c r="K13" s="10"/>
      <c r="L13" s="10"/>
      <c r="M13" s="10"/>
    </row>
    <row r="14" spans="1:13" ht="15" customHeight="1">
      <c r="A14" s="208" t="s">
        <v>73</v>
      </c>
      <c r="B14" s="208"/>
      <c r="C14" s="208"/>
      <c r="D14" s="208"/>
      <c r="E14" s="208"/>
      <c r="F14" s="208"/>
      <c r="G14" s="208"/>
      <c r="H14" s="208"/>
      <c r="I14" s="208"/>
      <c r="J14" s="10"/>
      <c r="K14" s="10"/>
      <c r="L14" s="10"/>
      <c r="M14" s="10"/>
    </row>
    <row r="15" spans="1:13">
      <c r="A15" s="194" t="s">
        <v>4</v>
      </c>
      <c r="B15" s="194"/>
      <c r="C15" s="194"/>
      <c r="D15" s="194"/>
      <c r="E15" s="194"/>
      <c r="F15" s="194"/>
      <c r="G15" s="194"/>
      <c r="H15" s="194"/>
      <c r="I15" s="194"/>
      <c r="J15" s="10"/>
      <c r="K15" s="10"/>
      <c r="L15" s="10"/>
      <c r="M15" s="10"/>
    </row>
    <row r="16" spans="1:13" ht="15.75" customHeight="1">
      <c r="A16" s="42">
        <v>1</v>
      </c>
      <c r="B16" s="51" t="s">
        <v>137</v>
      </c>
      <c r="C16" s="104" t="s">
        <v>138</v>
      </c>
      <c r="D16" s="103" t="s">
        <v>208</v>
      </c>
      <c r="E16" s="105">
        <v>38.1</v>
      </c>
      <c r="F16" s="106">
        <f>SUM(E16*156/100)</f>
        <v>59.436000000000007</v>
      </c>
      <c r="G16" s="106">
        <v>218.21</v>
      </c>
      <c r="H16" s="107">
        <f t="shared" ref="H16:H28" si="0">SUM(F16*G16/1000)</f>
        <v>12.969529560000003</v>
      </c>
      <c r="I16" s="19">
        <f>F16/12*G16</f>
        <v>1080.79413</v>
      </c>
      <c r="J16" s="34"/>
      <c r="K16" s="10"/>
      <c r="L16" s="10"/>
      <c r="M16" s="10"/>
    </row>
    <row r="17" spans="1:13" ht="15.75" customHeight="1">
      <c r="A17" s="42">
        <v>2</v>
      </c>
      <c r="B17" s="51" t="s">
        <v>140</v>
      </c>
      <c r="C17" s="104" t="s">
        <v>138</v>
      </c>
      <c r="D17" s="103" t="s">
        <v>209</v>
      </c>
      <c r="E17" s="105">
        <v>114.4</v>
      </c>
      <c r="F17" s="106">
        <f>SUM(E17*104/100)</f>
        <v>118.976</v>
      </c>
      <c r="G17" s="106">
        <v>218.21</v>
      </c>
      <c r="H17" s="107">
        <f t="shared" si="0"/>
        <v>25.961752960000002</v>
      </c>
      <c r="I17" s="19">
        <f>F17/12*G17</f>
        <v>2163.4794133333335</v>
      </c>
      <c r="J17" s="35"/>
      <c r="K17" s="10"/>
      <c r="L17" s="10"/>
      <c r="M17" s="10"/>
    </row>
    <row r="18" spans="1:13" ht="15.75" customHeight="1">
      <c r="A18" s="42">
        <v>3</v>
      </c>
      <c r="B18" s="51" t="s">
        <v>142</v>
      </c>
      <c r="C18" s="104" t="s">
        <v>138</v>
      </c>
      <c r="D18" s="103" t="s">
        <v>210</v>
      </c>
      <c r="E18" s="105">
        <f>SUM(E16+E17)</f>
        <v>152.5</v>
      </c>
      <c r="F18" s="106">
        <f>SUM(E18*24/100)</f>
        <v>36.6</v>
      </c>
      <c r="G18" s="106">
        <v>627.77</v>
      </c>
      <c r="H18" s="107">
        <f t="shared" si="0"/>
        <v>22.976382000000001</v>
      </c>
      <c r="I18" s="19">
        <f>F18/12*G18</f>
        <v>1914.6985000000002</v>
      </c>
      <c r="J18" s="35"/>
      <c r="K18" s="10"/>
      <c r="L18" s="10"/>
      <c r="M18" s="10"/>
    </row>
    <row r="19" spans="1:13" ht="15.75" hidden="1" customHeight="1">
      <c r="A19" s="42">
        <v>4</v>
      </c>
      <c r="B19" s="103" t="s">
        <v>168</v>
      </c>
      <c r="C19" s="104" t="s">
        <v>169</v>
      </c>
      <c r="D19" s="103" t="s">
        <v>170</v>
      </c>
      <c r="E19" s="105">
        <v>32.4</v>
      </c>
      <c r="F19" s="106">
        <f>SUM(E19/10)</f>
        <v>3.2399999999999998</v>
      </c>
      <c r="G19" s="106">
        <v>211.74</v>
      </c>
      <c r="H19" s="107">
        <f t="shared" si="0"/>
        <v>0.68603760000000003</v>
      </c>
      <c r="I19" s="19">
        <f>F19/2*G19</f>
        <v>343.0188</v>
      </c>
      <c r="J19" s="35"/>
      <c r="K19" s="10"/>
      <c r="L19" s="10"/>
      <c r="M19" s="10"/>
    </row>
    <row r="20" spans="1:13" ht="15.75" customHeight="1">
      <c r="A20" s="42">
        <v>4</v>
      </c>
      <c r="B20" s="103" t="s">
        <v>171</v>
      </c>
      <c r="C20" s="104" t="s">
        <v>138</v>
      </c>
      <c r="D20" s="103" t="s">
        <v>49</v>
      </c>
      <c r="E20" s="105">
        <v>10.5</v>
      </c>
      <c r="F20" s="106">
        <f>SUM(E20*2/100)</f>
        <v>0.21</v>
      </c>
      <c r="G20" s="106">
        <v>271.12</v>
      </c>
      <c r="H20" s="107">
        <f t="shared" si="0"/>
        <v>5.6935200000000005E-2</v>
      </c>
      <c r="I20" s="19">
        <f t="shared" ref="I20:I21" si="1">F20/2*G20</f>
        <v>28.467600000000001</v>
      </c>
      <c r="J20" s="35"/>
      <c r="K20" s="10"/>
      <c r="L20" s="10"/>
      <c r="M20" s="10"/>
    </row>
    <row r="21" spans="1:13" ht="15.75" customHeight="1">
      <c r="A21" s="42">
        <v>5</v>
      </c>
      <c r="B21" s="103" t="s">
        <v>172</v>
      </c>
      <c r="C21" s="104" t="s">
        <v>138</v>
      </c>
      <c r="D21" s="103" t="s">
        <v>49</v>
      </c>
      <c r="E21" s="105">
        <v>10.08</v>
      </c>
      <c r="F21" s="106">
        <f>SUM(E21*2/100)</f>
        <v>0.2016</v>
      </c>
      <c r="G21" s="106">
        <v>268.92</v>
      </c>
      <c r="H21" s="107">
        <f t="shared" si="0"/>
        <v>5.4214272000000001E-2</v>
      </c>
      <c r="I21" s="19">
        <f t="shared" si="1"/>
        <v>27.107136000000001</v>
      </c>
      <c r="J21" s="35"/>
      <c r="K21" s="10"/>
      <c r="L21" s="10"/>
      <c r="M21" s="10"/>
    </row>
    <row r="22" spans="1:13" ht="15.75" hidden="1" customHeight="1">
      <c r="A22" s="42">
        <v>7</v>
      </c>
      <c r="B22" s="103" t="s">
        <v>173</v>
      </c>
      <c r="C22" s="104" t="s">
        <v>62</v>
      </c>
      <c r="D22" s="103" t="s">
        <v>170</v>
      </c>
      <c r="E22" s="105">
        <v>293.76</v>
      </c>
      <c r="F22" s="106">
        <f>SUM(E22/100)</f>
        <v>2.9375999999999998</v>
      </c>
      <c r="G22" s="106">
        <v>335.05</v>
      </c>
      <c r="H22" s="107">
        <f t="shared" si="0"/>
        <v>0.98424287999999993</v>
      </c>
      <c r="I22" s="19">
        <f>F22*G22</f>
        <v>984.2428799999999</v>
      </c>
      <c r="J22" s="35"/>
      <c r="K22" s="10"/>
      <c r="L22" s="10"/>
      <c r="M22" s="10"/>
    </row>
    <row r="23" spans="1:13" ht="15.75" hidden="1" customHeight="1">
      <c r="A23" s="42">
        <v>8</v>
      </c>
      <c r="B23" s="103" t="s">
        <v>174</v>
      </c>
      <c r="C23" s="104" t="s">
        <v>62</v>
      </c>
      <c r="D23" s="103" t="s">
        <v>170</v>
      </c>
      <c r="E23" s="108">
        <v>17.64</v>
      </c>
      <c r="F23" s="106">
        <f>SUM(E23/100)</f>
        <v>0.1764</v>
      </c>
      <c r="G23" s="106">
        <v>55.1</v>
      </c>
      <c r="H23" s="107">
        <f t="shared" si="0"/>
        <v>9.7196399999999999E-3</v>
      </c>
      <c r="I23" s="19">
        <f t="shared" ref="I23:I26" si="2">F23*G23</f>
        <v>9.7196400000000001</v>
      </c>
      <c r="J23" s="35"/>
      <c r="K23" s="10"/>
      <c r="L23" s="10"/>
      <c r="M23" s="10"/>
    </row>
    <row r="24" spans="1:13" ht="15.75" hidden="1" customHeight="1">
      <c r="A24" s="42">
        <v>9</v>
      </c>
      <c r="B24" s="103" t="s">
        <v>175</v>
      </c>
      <c r="C24" s="104" t="s">
        <v>62</v>
      </c>
      <c r="D24" s="103" t="s">
        <v>176</v>
      </c>
      <c r="E24" s="105">
        <v>10.8</v>
      </c>
      <c r="F24" s="106">
        <f>E24/100</f>
        <v>0.10800000000000001</v>
      </c>
      <c r="G24" s="106">
        <v>484.94</v>
      </c>
      <c r="H24" s="107">
        <f t="shared" si="0"/>
        <v>5.2373520000000007E-2</v>
      </c>
      <c r="I24" s="19">
        <f t="shared" si="2"/>
        <v>52.373520000000006</v>
      </c>
      <c r="J24" s="35"/>
      <c r="K24" s="10"/>
      <c r="L24" s="10"/>
      <c r="M24" s="10"/>
    </row>
    <row r="25" spans="1:13" ht="31.5" hidden="1" customHeight="1">
      <c r="A25" s="42">
        <v>10</v>
      </c>
      <c r="B25" s="103" t="s">
        <v>177</v>
      </c>
      <c r="C25" s="104" t="s">
        <v>62</v>
      </c>
      <c r="D25" s="103" t="s">
        <v>63</v>
      </c>
      <c r="E25" s="105">
        <v>12.6</v>
      </c>
      <c r="F25" s="106">
        <v>0.13</v>
      </c>
      <c r="G25" s="106">
        <v>268.92</v>
      </c>
      <c r="H25" s="107">
        <f t="shared" si="0"/>
        <v>3.49596E-2</v>
      </c>
      <c r="I25" s="19">
        <f t="shared" si="2"/>
        <v>34.959600000000002</v>
      </c>
      <c r="J25" s="35"/>
      <c r="K25" s="10"/>
      <c r="L25" s="10"/>
      <c r="M25" s="10"/>
    </row>
    <row r="26" spans="1:13" ht="15.75" hidden="1" customHeight="1">
      <c r="A26" s="42">
        <v>11</v>
      </c>
      <c r="B26" s="103" t="s">
        <v>178</v>
      </c>
      <c r="C26" s="104" t="s">
        <v>62</v>
      </c>
      <c r="D26" s="103" t="s">
        <v>170</v>
      </c>
      <c r="E26" s="105">
        <v>14.4</v>
      </c>
      <c r="F26" s="106">
        <f>SUM(E26/100)</f>
        <v>0.14400000000000002</v>
      </c>
      <c r="G26" s="106">
        <v>648.04999999999995</v>
      </c>
      <c r="H26" s="107">
        <f t="shared" si="0"/>
        <v>9.3319200000000005E-2</v>
      </c>
      <c r="I26" s="19">
        <f t="shared" si="2"/>
        <v>93.319200000000009</v>
      </c>
      <c r="J26" s="35"/>
      <c r="K26" s="10"/>
      <c r="L26" s="10"/>
      <c r="M26" s="10"/>
    </row>
    <row r="27" spans="1:13" ht="15.75" customHeight="1">
      <c r="A27" s="42">
        <v>6</v>
      </c>
      <c r="B27" s="103" t="s">
        <v>84</v>
      </c>
      <c r="C27" s="104" t="s">
        <v>35</v>
      </c>
      <c r="D27" s="58"/>
      <c r="E27" s="105">
        <v>0.1</v>
      </c>
      <c r="F27" s="106">
        <f>SUM(E27*365)</f>
        <v>36.5</v>
      </c>
      <c r="G27" s="106">
        <v>182.96</v>
      </c>
      <c r="H27" s="107">
        <f t="shared" si="0"/>
        <v>6.6780400000000002</v>
      </c>
      <c r="I27" s="19">
        <f>F27/12*G27</f>
        <v>556.50333333333333</v>
      </c>
      <c r="J27" s="35"/>
      <c r="K27" s="10"/>
      <c r="L27" s="10"/>
      <c r="M27" s="10"/>
    </row>
    <row r="28" spans="1:13" ht="15.75" customHeight="1">
      <c r="A28" s="42">
        <v>7</v>
      </c>
      <c r="B28" s="110" t="s">
        <v>24</v>
      </c>
      <c r="C28" s="104" t="s">
        <v>25</v>
      </c>
      <c r="D28" s="58"/>
      <c r="E28" s="105">
        <v>2062.5</v>
      </c>
      <c r="F28" s="106">
        <f>SUM(E28*12)</f>
        <v>24750</v>
      </c>
      <c r="G28" s="106">
        <v>3.43</v>
      </c>
      <c r="H28" s="107">
        <f t="shared" si="0"/>
        <v>84.892499999999998</v>
      </c>
      <c r="I28" s="19">
        <f>F28/12*G28</f>
        <v>7074.375</v>
      </c>
      <c r="J28" s="35"/>
      <c r="K28" s="10"/>
      <c r="L28" s="10"/>
      <c r="M28" s="10"/>
    </row>
    <row r="29" spans="1:13" ht="15.75" customHeight="1">
      <c r="A29" s="194" t="s">
        <v>120</v>
      </c>
      <c r="B29" s="194"/>
      <c r="C29" s="194"/>
      <c r="D29" s="194"/>
      <c r="E29" s="194"/>
      <c r="F29" s="194"/>
      <c r="G29" s="194"/>
      <c r="H29" s="194"/>
      <c r="I29" s="194"/>
      <c r="J29" s="35"/>
      <c r="K29" s="10"/>
      <c r="L29" s="10"/>
      <c r="M29" s="10"/>
    </row>
    <row r="30" spans="1:13" ht="15.75" customHeight="1">
      <c r="A30" s="64"/>
      <c r="B30" s="74" t="s">
        <v>31</v>
      </c>
      <c r="C30" s="74"/>
      <c r="D30" s="74"/>
      <c r="E30" s="74"/>
      <c r="F30" s="74"/>
      <c r="G30" s="74"/>
      <c r="H30" s="74"/>
      <c r="I30" s="26"/>
      <c r="J30" s="35"/>
      <c r="K30" s="10"/>
      <c r="L30" s="10"/>
      <c r="M30" s="10"/>
    </row>
    <row r="31" spans="1:13" ht="15.75" customHeight="1">
      <c r="A31" s="64">
        <v>8</v>
      </c>
      <c r="B31" s="51" t="s">
        <v>190</v>
      </c>
      <c r="C31" s="104" t="s">
        <v>156</v>
      </c>
      <c r="D31" s="103" t="s">
        <v>211</v>
      </c>
      <c r="E31" s="106">
        <v>52.9</v>
      </c>
      <c r="F31" s="106">
        <f>SUM(E31*52/1000)</f>
        <v>2.7507999999999999</v>
      </c>
      <c r="G31" s="106">
        <v>193.97</v>
      </c>
      <c r="H31" s="107">
        <f t="shared" ref="H31:H36" si="3">SUM(F31*G31/1000)</f>
        <v>0.53357267600000002</v>
      </c>
      <c r="I31" s="19">
        <f>F31/6*G31</f>
        <v>88.928779333333324</v>
      </c>
      <c r="J31" s="35"/>
      <c r="K31" s="10"/>
      <c r="L31" s="10"/>
      <c r="M31" s="10"/>
    </row>
    <row r="32" spans="1:13" ht="31.5" customHeight="1">
      <c r="A32" s="64">
        <v>9</v>
      </c>
      <c r="B32" s="51" t="s">
        <v>191</v>
      </c>
      <c r="C32" s="104" t="s">
        <v>156</v>
      </c>
      <c r="D32" s="103" t="s">
        <v>212</v>
      </c>
      <c r="E32" s="106">
        <v>58.2</v>
      </c>
      <c r="F32" s="106">
        <f>SUM(E32*78/1000)</f>
        <v>4.5396000000000001</v>
      </c>
      <c r="G32" s="106">
        <v>321.82</v>
      </c>
      <c r="H32" s="107">
        <f t="shared" si="3"/>
        <v>1.4609340719999999</v>
      </c>
      <c r="I32" s="19">
        <f t="shared" ref="I32:I34" si="4">F32/6*G32</f>
        <v>243.489012</v>
      </c>
      <c r="J32" s="35"/>
      <c r="K32" s="10"/>
      <c r="L32" s="10"/>
      <c r="M32" s="10"/>
    </row>
    <row r="33" spans="1:13" hidden="1">
      <c r="A33" s="64">
        <v>16</v>
      </c>
      <c r="B33" s="51" t="s">
        <v>30</v>
      </c>
      <c r="C33" s="104" t="s">
        <v>156</v>
      </c>
      <c r="D33" s="103" t="s">
        <v>63</v>
      </c>
      <c r="E33" s="106">
        <v>52.9</v>
      </c>
      <c r="F33" s="106">
        <f>SUM(E33/1000)</f>
        <v>5.2899999999999996E-2</v>
      </c>
      <c r="G33" s="106">
        <v>3758.28</v>
      </c>
      <c r="H33" s="107">
        <f t="shared" si="3"/>
        <v>0.19881301199999998</v>
      </c>
      <c r="I33" s="19">
        <f>F33*G33</f>
        <v>198.81301199999999</v>
      </c>
      <c r="J33" s="35"/>
      <c r="K33" s="10"/>
      <c r="L33" s="10"/>
      <c r="M33" s="10"/>
    </row>
    <row r="34" spans="1:13" ht="16.5" customHeight="1">
      <c r="A34" s="64">
        <v>10</v>
      </c>
      <c r="B34" s="51" t="s">
        <v>192</v>
      </c>
      <c r="C34" s="104" t="s">
        <v>33</v>
      </c>
      <c r="D34" s="103" t="s">
        <v>83</v>
      </c>
      <c r="E34" s="109">
        <f>1/3</f>
        <v>0.33333333333333331</v>
      </c>
      <c r="F34" s="106">
        <f>155/3</f>
        <v>51.666666666666664</v>
      </c>
      <c r="G34" s="106">
        <v>70.540000000000006</v>
      </c>
      <c r="H34" s="107">
        <f t="shared" si="3"/>
        <v>3.6445666666666665</v>
      </c>
      <c r="I34" s="19">
        <f t="shared" si="4"/>
        <v>607.42777777777781</v>
      </c>
      <c r="J34" s="35"/>
      <c r="K34" s="10"/>
      <c r="L34" s="10"/>
      <c r="M34" s="10"/>
    </row>
    <row r="35" spans="1:13" ht="16.5" hidden="1" customHeight="1">
      <c r="A35" s="64">
        <v>4</v>
      </c>
      <c r="B35" s="103" t="s">
        <v>85</v>
      </c>
      <c r="C35" s="104" t="s">
        <v>35</v>
      </c>
      <c r="D35" s="103" t="s">
        <v>87</v>
      </c>
      <c r="E35" s="105"/>
      <c r="F35" s="106">
        <v>1</v>
      </c>
      <c r="G35" s="106">
        <v>238.07</v>
      </c>
      <c r="H35" s="107">
        <f t="shared" si="3"/>
        <v>0.23807</v>
      </c>
      <c r="I35" s="19">
        <v>0</v>
      </c>
      <c r="J35" s="35"/>
      <c r="K35" s="10"/>
      <c r="L35" s="10"/>
      <c r="M35" s="10"/>
    </row>
    <row r="36" spans="1:13" ht="16.5" hidden="1" customHeight="1">
      <c r="A36" s="42">
        <v>7</v>
      </c>
      <c r="B36" s="103" t="s">
        <v>179</v>
      </c>
      <c r="C36" s="104" t="s">
        <v>34</v>
      </c>
      <c r="D36" s="103" t="s">
        <v>87</v>
      </c>
      <c r="E36" s="105"/>
      <c r="F36" s="106">
        <v>1</v>
      </c>
      <c r="G36" s="106">
        <v>1413.96</v>
      </c>
      <c r="H36" s="107">
        <f t="shared" si="3"/>
        <v>1.4139600000000001</v>
      </c>
      <c r="I36" s="19">
        <v>0</v>
      </c>
      <c r="J36" s="35"/>
      <c r="K36" s="10"/>
      <c r="L36" s="10"/>
      <c r="M36" s="10"/>
    </row>
    <row r="37" spans="1:13" hidden="1">
      <c r="A37" s="64"/>
      <c r="B37" s="72" t="s">
        <v>5</v>
      </c>
      <c r="C37" s="72"/>
      <c r="D37" s="72"/>
      <c r="E37" s="19"/>
      <c r="F37" s="19"/>
      <c r="G37" s="20"/>
      <c r="H37" s="20"/>
      <c r="I37" s="26"/>
      <c r="J37" s="35"/>
      <c r="K37" s="10"/>
      <c r="L37" s="10"/>
      <c r="M37" s="10"/>
    </row>
    <row r="38" spans="1:13" ht="15.75" hidden="1" customHeight="1">
      <c r="A38" s="52">
        <v>6</v>
      </c>
      <c r="B38" s="103" t="s">
        <v>29</v>
      </c>
      <c r="C38" s="104" t="s">
        <v>34</v>
      </c>
      <c r="D38" s="103"/>
      <c r="E38" s="105"/>
      <c r="F38" s="106">
        <v>5</v>
      </c>
      <c r="G38" s="106">
        <v>1900.37</v>
      </c>
      <c r="H38" s="107">
        <f t="shared" ref="H38:H44" si="5">SUM(F38*G38/1000)</f>
        <v>9.5018499999999992</v>
      </c>
      <c r="I38" s="19">
        <f>F38/6*G38</f>
        <v>1583.6416666666667</v>
      </c>
      <c r="J38" s="35"/>
      <c r="K38" s="10"/>
      <c r="L38" s="10"/>
      <c r="M38" s="10"/>
    </row>
    <row r="39" spans="1:13" ht="15.75" hidden="1" customHeight="1">
      <c r="A39" s="52">
        <v>7</v>
      </c>
      <c r="B39" s="103" t="s">
        <v>151</v>
      </c>
      <c r="C39" s="104" t="s">
        <v>32</v>
      </c>
      <c r="D39" s="103" t="s">
        <v>152</v>
      </c>
      <c r="E39" s="106">
        <v>58.2</v>
      </c>
      <c r="F39" s="106">
        <f>SUM(E39*30/1000)</f>
        <v>1.746</v>
      </c>
      <c r="G39" s="106">
        <v>2616.4899999999998</v>
      </c>
      <c r="H39" s="107">
        <f t="shared" si="5"/>
        <v>4.5683915399999995</v>
      </c>
      <c r="I39" s="19">
        <f>F39/6*G39</f>
        <v>761.3985899999999</v>
      </c>
      <c r="J39" s="35"/>
      <c r="K39" s="10"/>
      <c r="L39" s="10"/>
      <c r="M39" s="10"/>
    </row>
    <row r="40" spans="1:13" ht="15.75" hidden="1" customHeight="1">
      <c r="A40" s="52">
        <v>5</v>
      </c>
      <c r="B40" s="103" t="s">
        <v>153</v>
      </c>
      <c r="C40" s="104" t="s">
        <v>154</v>
      </c>
      <c r="D40" s="103" t="s">
        <v>87</v>
      </c>
      <c r="E40" s="105"/>
      <c r="F40" s="106">
        <v>39</v>
      </c>
      <c r="G40" s="106">
        <v>226.84</v>
      </c>
      <c r="H40" s="107">
        <f t="shared" si="5"/>
        <v>8.8467599999999997</v>
      </c>
      <c r="I40" s="19">
        <v>0</v>
      </c>
      <c r="J40" s="35"/>
      <c r="K40" s="10"/>
      <c r="L40" s="10"/>
      <c r="M40" s="10"/>
    </row>
    <row r="41" spans="1:13" ht="15.75" hidden="1" customHeight="1">
      <c r="A41" s="52">
        <v>8</v>
      </c>
      <c r="B41" s="103" t="s">
        <v>90</v>
      </c>
      <c r="C41" s="104" t="s">
        <v>32</v>
      </c>
      <c r="D41" s="103" t="s">
        <v>155</v>
      </c>
      <c r="E41" s="106">
        <v>58.2</v>
      </c>
      <c r="F41" s="106">
        <f>SUM(E41*155/1000)</f>
        <v>9.0210000000000008</v>
      </c>
      <c r="G41" s="106">
        <v>436.45</v>
      </c>
      <c r="H41" s="107">
        <f t="shared" si="5"/>
        <v>3.9372154500000001</v>
      </c>
      <c r="I41" s="19">
        <f>F41/6*G41</f>
        <v>656.20257500000002</v>
      </c>
      <c r="J41" s="35"/>
      <c r="K41" s="10"/>
    </row>
    <row r="42" spans="1:13" ht="45" hidden="1" customHeight="1">
      <c r="A42" s="52">
        <v>9</v>
      </c>
      <c r="B42" s="103" t="s">
        <v>118</v>
      </c>
      <c r="C42" s="104" t="s">
        <v>156</v>
      </c>
      <c r="D42" s="103" t="s">
        <v>157</v>
      </c>
      <c r="E42" s="106">
        <v>25.2</v>
      </c>
      <c r="F42" s="106">
        <f>SUM(E42*35/1000)</f>
        <v>0.88200000000000001</v>
      </c>
      <c r="G42" s="106">
        <v>7221.21</v>
      </c>
      <c r="H42" s="107">
        <f t="shared" si="5"/>
        <v>6.3691072200000001</v>
      </c>
      <c r="I42" s="19">
        <f>F42/6*G42</f>
        <v>1061.5178699999999</v>
      </c>
      <c r="J42" s="36"/>
    </row>
    <row r="43" spans="1:13" ht="15.75" hidden="1" customHeight="1">
      <c r="A43" s="52">
        <v>10</v>
      </c>
      <c r="B43" s="103" t="s">
        <v>158</v>
      </c>
      <c r="C43" s="104" t="s">
        <v>156</v>
      </c>
      <c r="D43" s="103" t="s">
        <v>159</v>
      </c>
      <c r="E43" s="106">
        <v>58.2</v>
      </c>
      <c r="F43" s="106">
        <f>SUM(E43*20/1000)</f>
        <v>1.1639999999999999</v>
      </c>
      <c r="G43" s="106">
        <v>533.45000000000005</v>
      </c>
      <c r="H43" s="107">
        <f t="shared" si="5"/>
        <v>0.62093579999999993</v>
      </c>
      <c r="I43" s="19">
        <f>F43/6*G43</f>
        <v>103.4893</v>
      </c>
      <c r="J43" s="36"/>
    </row>
    <row r="44" spans="1:13" ht="15.75" hidden="1" customHeight="1">
      <c r="A44" s="52">
        <v>11</v>
      </c>
      <c r="B44" s="103" t="s">
        <v>94</v>
      </c>
      <c r="C44" s="104" t="s">
        <v>35</v>
      </c>
      <c r="D44" s="103"/>
      <c r="E44" s="105"/>
      <c r="F44" s="106">
        <v>0.9</v>
      </c>
      <c r="G44" s="106">
        <v>992.97</v>
      </c>
      <c r="H44" s="107">
        <f t="shared" si="5"/>
        <v>0.89367300000000005</v>
      </c>
      <c r="I44" s="19">
        <f>F44/6*G44</f>
        <v>148.94550000000001</v>
      </c>
      <c r="J44" s="36"/>
    </row>
    <row r="45" spans="1:13" ht="15.75" customHeight="1">
      <c r="A45" s="195" t="s">
        <v>163</v>
      </c>
      <c r="B45" s="196"/>
      <c r="C45" s="196"/>
      <c r="D45" s="196"/>
      <c r="E45" s="196"/>
      <c r="F45" s="196"/>
      <c r="G45" s="196"/>
      <c r="H45" s="196"/>
      <c r="I45" s="197"/>
      <c r="J45" s="36"/>
    </row>
    <row r="46" spans="1:13" ht="15.75" customHeight="1">
      <c r="A46" s="64">
        <v>11</v>
      </c>
      <c r="B46" s="103" t="s">
        <v>180</v>
      </c>
      <c r="C46" s="104" t="s">
        <v>156</v>
      </c>
      <c r="D46" s="103" t="s">
        <v>49</v>
      </c>
      <c r="E46" s="105">
        <v>881.3</v>
      </c>
      <c r="F46" s="106">
        <f>SUM(E46*2/1000)</f>
        <v>1.7625999999999999</v>
      </c>
      <c r="G46" s="19">
        <v>1283.46</v>
      </c>
      <c r="H46" s="107">
        <f t="shared" ref="H46:H54" si="6">SUM(F46*G46/1000)</f>
        <v>2.2622265960000001</v>
      </c>
      <c r="I46" s="19">
        <f t="shared" ref="I46:I48" si="7">F46/2*G46</f>
        <v>1131.113298</v>
      </c>
      <c r="J46" s="36"/>
    </row>
    <row r="47" spans="1:13" ht="15.75" customHeight="1">
      <c r="A47" s="64">
        <v>12</v>
      </c>
      <c r="B47" s="103" t="s">
        <v>40</v>
      </c>
      <c r="C47" s="104" t="s">
        <v>156</v>
      </c>
      <c r="D47" s="103" t="s">
        <v>49</v>
      </c>
      <c r="E47" s="105">
        <v>939.64</v>
      </c>
      <c r="F47" s="106">
        <f>SUM(E47*2/1000)</f>
        <v>1.8792800000000001</v>
      </c>
      <c r="G47" s="19">
        <v>1711.28</v>
      </c>
      <c r="H47" s="107">
        <f t="shared" si="6"/>
        <v>3.2159742784000001</v>
      </c>
      <c r="I47" s="19">
        <f t="shared" si="7"/>
        <v>1607.9871392</v>
      </c>
      <c r="J47" s="36"/>
    </row>
    <row r="48" spans="1:13" ht="15.75" customHeight="1">
      <c r="A48" s="64">
        <v>13</v>
      </c>
      <c r="B48" s="103" t="s">
        <v>41</v>
      </c>
      <c r="C48" s="104" t="s">
        <v>156</v>
      </c>
      <c r="D48" s="103" t="s">
        <v>49</v>
      </c>
      <c r="E48" s="105">
        <v>1247.3699999999999</v>
      </c>
      <c r="F48" s="106">
        <f>SUM(E48*2/1000)</f>
        <v>2.4947399999999997</v>
      </c>
      <c r="G48" s="19">
        <v>1179.73</v>
      </c>
      <c r="H48" s="107">
        <f t="shared" si="6"/>
        <v>2.9431196201999996</v>
      </c>
      <c r="I48" s="19">
        <f t="shared" si="7"/>
        <v>1471.5598100999998</v>
      </c>
      <c r="J48" s="36"/>
    </row>
    <row r="49" spans="1:14" ht="15.75" customHeight="1">
      <c r="A49" s="64">
        <v>14</v>
      </c>
      <c r="B49" s="103" t="s">
        <v>37</v>
      </c>
      <c r="C49" s="104" t="s">
        <v>38</v>
      </c>
      <c r="D49" s="103" t="s">
        <v>49</v>
      </c>
      <c r="E49" s="105">
        <v>65.03</v>
      </c>
      <c r="F49" s="106">
        <f>SUM(E49*2/100)</f>
        <v>1.3006</v>
      </c>
      <c r="G49" s="19">
        <v>90.61</v>
      </c>
      <c r="H49" s="107">
        <f t="shared" si="6"/>
        <v>0.117847366</v>
      </c>
      <c r="I49" s="19">
        <f>F49/2*G49</f>
        <v>58.923682999999997</v>
      </c>
      <c r="J49" s="36"/>
      <c r="L49" s="28"/>
      <c r="M49" s="29"/>
      <c r="N49" s="30"/>
    </row>
    <row r="50" spans="1:14" ht="15.75" customHeight="1">
      <c r="A50" s="64">
        <v>15</v>
      </c>
      <c r="B50" s="103" t="s">
        <v>70</v>
      </c>
      <c r="C50" s="104" t="s">
        <v>156</v>
      </c>
      <c r="D50" s="103" t="s">
        <v>193</v>
      </c>
      <c r="E50" s="105">
        <v>2062.5</v>
      </c>
      <c r="F50" s="106">
        <f>SUM(E50*5/1000)</f>
        <v>10.3125</v>
      </c>
      <c r="G50" s="19">
        <v>1711.28</v>
      </c>
      <c r="H50" s="107">
        <f t="shared" si="6"/>
        <v>17.647575</v>
      </c>
      <c r="I50" s="19">
        <f>F50/5*G50</f>
        <v>3529.5149999999999</v>
      </c>
      <c r="J50" s="36"/>
      <c r="L50" s="28"/>
      <c r="M50" s="29"/>
      <c r="N50" s="30"/>
    </row>
    <row r="51" spans="1:14" ht="31.5" hidden="1" customHeight="1">
      <c r="A51" s="64">
        <v>12</v>
      </c>
      <c r="B51" s="103" t="s">
        <v>144</v>
      </c>
      <c r="C51" s="104" t="s">
        <v>156</v>
      </c>
      <c r="D51" s="103" t="s">
        <v>49</v>
      </c>
      <c r="E51" s="105">
        <v>2062.5</v>
      </c>
      <c r="F51" s="106">
        <f>SUM(E51*2/1000)</f>
        <v>4.125</v>
      </c>
      <c r="G51" s="19">
        <v>1510.06</v>
      </c>
      <c r="H51" s="107">
        <f t="shared" si="6"/>
        <v>6.2289974999999993</v>
      </c>
      <c r="I51" s="19">
        <f>F51/2*G51</f>
        <v>3114.4987499999997</v>
      </c>
      <c r="J51" s="36"/>
      <c r="L51" s="28"/>
      <c r="M51" s="29"/>
      <c r="N51" s="30"/>
    </row>
    <row r="52" spans="1:14" ht="31.5" hidden="1" customHeight="1">
      <c r="A52" s="64">
        <v>13</v>
      </c>
      <c r="B52" s="103" t="s">
        <v>145</v>
      </c>
      <c r="C52" s="104" t="s">
        <v>44</v>
      </c>
      <c r="D52" s="103" t="s">
        <v>49</v>
      </c>
      <c r="E52" s="105">
        <v>12</v>
      </c>
      <c r="F52" s="106">
        <f>SUM(E52*2/100)</f>
        <v>0.24</v>
      </c>
      <c r="G52" s="19">
        <v>3850.4</v>
      </c>
      <c r="H52" s="107">
        <f t="shared" si="6"/>
        <v>0.92409600000000003</v>
      </c>
      <c r="I52" s="19">
        <f t="shared" ref="I52:I53" si="8">F52/2*G52</f>
        <v>462.048</v>
      </c>
      <c r="J52" s="36"/>
      <c r="L52" s="28"/>
      <c r="M52" s="29"/>
      <c r="N52" s="30"/>
    </row>
    <row r="53" spans="1:14" ht="15.75" hidden="1" customHeight="1">
      <c r="A53" s="64">
        <v>14</v>
      </c>
      <c r="B53" s="103" t="s">
        <v>45</v>
      </c>
      <c r="C53" s="104" t="s">
        <v>46</v>
      </c>
      <c r="D53" s="103" t="s">
        <v>49</v>
      </c>
      <c r="E53" s="105">
        <v>1</v>
      </c>
      <c r="F53" s="106">
        <v>0.02</v>
      </c>
      <c r="G53" s="19">
        <v>7033.13</v>
      </c>
      <c r="H53" s="107">
        <f t="shared" si="6"/>
        <v>0.1406626</v>
      </c>
      <c r="I53" s="19">
        <f t="shared" si="8"/>
        <v>70.331299999999999</v>
      </c>
      <c r="J53" s="36"/>
      <c r="L53" s="28"/>
      <c r="M53" s="29"/>
      <c r="N53" s="30"/>
    </row>
    <row r="54" spans="1:14" ht="15.75" customHeight="1">
      <c r="A54" s="64">
        <v>16</v>
      </c>
      <c r="B54" s="103" t="s">
        <v>48</v>
      </c>
      <c r="C54" s="104" t="s">
        <v>130</v>
      </c>
      <c r="D54" s="103" t="s">
        <v>95</v>
      </c>
      <c r="E54" s="105">
        <v>72</v>
      </c>
      <c r="F54" s="106">
        <f>SUM(E54)*3</f>
        <v>216</v>
      </c>
      <c r="G54" s="19">
        <v>81.73</v>
      </c>
      <c r="H54" s="107">
        <f t="shared" si="6"/>
        <v>17.653680000000001</v>
      </c>
      <c r="I54" s="19">
        <f>E54*G54</f>
        <v>5884.56</v>
      </c>
      <c r="J54" s="36"/>
      <c r="L54" s="28"/>
      <c r="M54" s="29"/>
      <c r="N54" s="30"/>
    </row>
    <row r="55" spans="1:14" ht="15.75" customHeight="1">
      <c r="A55" s="195" t="s">
        <v>164</v>
      </c>
      <c r="B55" s="198"/>
      <c r="C55" s="198"/>
      <c r="D55" s="198"/>
      <c r="E55" s="198"/>
      <c r="F55" s="198"/>
      <c r="G55" s="198"/>
      <c r="H55" s="198"/>
      <c r="I55" s="199"/>
      <c r="J55" s="36"/>
      <c r="L55" s="28"/>
      <c r="M55" s="29"/>
      <c r="N55" s="30"/>
    </row>
    <row r="56" spans="1:14" ht="17.25" hidden="1" customHeight="1">
      <c r="A56" s="119"/>
      <c r="B56" s="71" t="s">
        <v>50</v>
      </c>
      <c r="C56" s="23"/>
      <c r="D56" s="22"/>
      <c r="E56" s="22"/>
      <c r="F56" s="22"/>
      <c r="G56" s="42"/>
      <c r="H56" s="42"/>
      <c r="I56" s="26"/>
      <c r="J56" s="36"/>
      <c r="L56" s="28"/>
      <c r="M56" s="29"/>
      <c r="N56" s="30"/>
    </row>
    <row r="57" spans="1:14" ht="31.5" hidden="1" customHeight="1">
      <c r="A57" s="64">
        <v>14</v>
      </c>
      <c r="B57" s="103" t="s">
        <v>181</v>
      </c>
      <c r="C57" s="104" t="s">
        <v>138</v>
      </c>
      <c r="D57" s="103" t="s">
        <v>182</v>
      </c>
      <c r="E57" s="105">
        <v>55.3</v>
      </c>
      <c r="F57" s="106">
        <f>SUM(E57*6/100)</f>
        <v>3.3179999999999996</v>
      </c>
      <c r="G57" s="19">
        <v>2306.62</v>
      </c>
      <c r="H57" s="107">
        <f>SUM(F57*G57/1000)</f>
        <v>7.6533651599999981</v>
      </c>
      <c r="I57" s="19">
        <f>F57/6*G57</f>
        <v>1275.5608599999998</v>
      </c>
      <c r="J57" s="36"/>
      <c r="L57" s="28"/>
      <c r="M57" s="29"/>
      <c r="N57" s="30"/>
    </row>
    <row r="58" spans="1:14" ht="15.75" hidden="1" customHeight="1">
      <c r="A58" s="64">
        <v>26</v>
      </c>
      <c r="B58" s="103" t="s">
        <v>189</v>
      </c>
      <c r="C58" s="104" t="s">
        <v>213</v>
      </c>
      <c r="D58" s="103" t="s">
        <v>87</v>
      </c>
      <c r="E58" s="105"/>
      <c r="F58" s="106">
        <v>1.5</v>
      </c>
      <c r="G58" s="19">
        <v>1501</v>
      </c>
      <c r="H58" s="107">
        <f>SUM(F58*G58/1000)</f>
        <v>2.2515000000000001</v>
      </c>
      <c r="I58" s="19">
        <v>0</v>
      </c>
      <c r="J58" s="36"/>
      <c r="L58" s="28"/>
      <c r="M58" s="29"/>
      <c r="N58" s="30"/>
    </row>
    <row r="59" spans="1:14" ht="15.75" customHeight="1">
      <c r="A59" s="64"/>
      <c r="B59" s="121" t="s">
        <v>51</v>
      </c>
      <c r="C59" s="121"/>
      <c r="D59" s="121"/>
      <c r="E59" s="121"/>
      <c r="F59" s="121"/>
      <c r="G59" s="121"/>
      <c r="H59" s="121"/>
      <c r="I59" s="54"/>
      <c r="J59" s="36"/>
      <c r="L59" s="28"/>
      <c r="M59" s="29"/>
      <c r="N59" s="30"/>
    </row>
    <row r="60" spans="1:14" ht="15.75" hidden="1" customHeight="1">
      <c r="A60" s="64">
        <v>27</v>
      </c>
      <c r="B60" s="103" t="s">
        <v>183</v>
      </c>
      <c r="C60" s="104" t="s">
        <v>138</v>
      </c>
      <c r="D60" s="103" t="s">
        <v>63</v>
      </c>
      <c r="E60" s="105">
        <v>130</v>
      </c>
      <c r="F60" s="107">
        <f>E60/100</f>
        <v>1.3</v>
      </c>
      <c r="G60" s="19">
        <v>987.51</v>
      </c>
      <c r="H60" s="111">
        <f>F60*G60/1000</f>
        <v>1.283763</v>
      </c>
      <c r="I60" s="19">
        <v>0</v>
      </c>
      <c r="J60" s="36"/>
      <c r="L60" s="28"/>
      <c r="M60" s="29"/>
      <c r="N60" s="30"/>
    </row>
    <row r="61" spans="1:14" ht="15.75" customHeight="1">
      <c r="A61" s="64">
        <v>17</v>
      </c>
      <c r="B61" s="113" t="s">
        <v>146</v>
      </c>
      <c r="C61" s="112" t="s">
        <v>27</v>
      </c>
      <c r="D61" s="113" t="s">
        <v>147</v>
      </c>
      <c r="E61" s="114">
        <v>140.4</v>
      </c>
      <c r="F61" s="107">
        <v>1440</v>
      </c>
      <c r="G61" s="19">
        <v>1.2</v>
      </c>
      <c r="H61" s="111">
        <f>F61*G61/1000</f>
        <v>1.728</v>
      </c>
      <c r="I61" s="19">
        <f>F61/12*G61</f>
        <v>144</v>
      </c>
      <c r="J61" s="36"/>
      <c r="L61" s="28"/>
      <c r="M61" s="29"/>
      <c r="N61" s="30"/>
    </row>
    <row r="62" spans="1:14" ht="15.75" customHeight="1">
      <c r="A62" s="64"/>
      <c r="B62" s="121" t="s">
        <v>53</v>
      </c>
      <c r="C62" s="23"/>
      <c r="D62" s="118"/>
      <c r="E62" s="22"/>
      <c r="F62" s="22"/>
      <c r="G62" s="42"/>
      <c r="H62" s="42"/>
      <c r="I62" s="26"/>
      <c r="J62" s="36"/>
      <c r="L62" s="28"/>
      <c r="M62" s="29"/>
      <c r="N62" s="30"/>
    </row>
    <row r="63" spans="1:14" ht="15.75" hidden="1" customHeight="1">
      <c r="A63" s="64">
        <v>17</v>
      </c>
      <c r="B63" s="21" t="s">
        <v>54</v>
      </c>
      <c r="C63" s="23" t="s">
        <v>130</v>
      </c>
      <c r="D63" s="21" t="s">
        <v>87</v>
      </c>
      <c r="E63" s="26">
        <v>2</v>
      </c>
      <c r="F63" s="106">
        <f>E63</f>
        <v>2</v>
      </c>
      <c r="G63" s="19">
        <v>276.74</v>
      </c>
      <c r="H63" s="102">
        <f t="shared" ref="H63:H71" si="9">SUM(F63*G63/1000)</f>
        <v>0.55347999999999997</v>
      </c>
      <c r="I63" s="19">
        <v>0</v>
      </c>
      <c r="J63" s="36"/>
      <c r="L63" s="28"/>
      <c r="M63" s="29"/>
      <c r="N63" s="30"/>
    </row>
    <row r="64" spans="1:14" ht="15.75" hidden="1" customHeight="1">
      <c r="A64" s="42">
        <v>29</v>
      </c>
      <c r="B64" s="21" t="s">
        <v>55</v>
      </c>
      <c r="C64" s="23" t="s">
        <v>130</v>
      </c>
      <c r="D64" s="21" t="s">
        <v>87</v>
      </c>
      <c r="E64" s="26">
        <v>2</v>
      </c>
      <c r="F64" s="106">
        <f>E64</f>
        <v>2</v>
      </c>
      <c r="G64" s="19">
        <v>94.89</v>
      </c>
      <c r="H64" s="102">
        <f t="shared" si="9"/>
        <v>0.18978</v>
      </c>
      <c r="I64" s="19">
        <v>0</v>
      </c>
      <c r="J64" s="36"/>
      <c r="L64" s="28"/>
      <c r="M64" s="29"/>
      <c r="N64" s="30"/>
    </row>
    <row r="65" spans="1:22" ht="15.75" hidden="1" customHeight="1">
      <c r="A65" s="42">
        <v>25</v>
      </c>
      <c r="B65" s="21" t="s">
        <v>56</v>
      </c>
      <c r="C65" s="23" t="s">
        <v>184</v>
      </c>
      <c r="D65" s="21" t="s">
        <v>63</v>
      </c>
      <c r="E65" s="105">
        <v>8607</v>
      </c>
      <c r="F65" s="19">
        <f>SUM(E65/100)</f>
        <v>86.07</v>
      </c>
      <c r="G65" s="19">
        <v>263.99</v>
      </c>
      <c r="H65" s="102">
        <f t="shared" si="9"/>
        <v>22.721619299999997</v>
      </c>
      <c r="I65" s="19">
        <f>F65*G65</f>
        <v>22721.619299999998</v>
      </c>
      <c r="J65" s="36"/>
      <c r="L65" s="28"/>
      <c r="M65" s="29"/>
      <c r="N65" s="30"/>
    </row>
    <row r="66" spans="1:22" ht="15.75" hidden="1" customHeight="1">
      <c r="A66" s="42">
        <v>26</v>
      </c>
      <c r="B66" s="21" t="s">
        <v>57</v>
      </c>
      <c r="C66" s="23" t="s">
        <v>185</v>
      </c>
      <c r="D66" s="21"/>
      <c r="E66" s="105">
        <v>8607</v>
      </c>
      <c r="F66" s="19">
        <f>SUM(E66/1000)</f>
        <v>8.6069999999999993</v>
      </c>
      <c r="G66" s="19">
        <v>205.57</v>
      </c>
      <c r="H66" s="102">
        <f t="shared" si="9"/>
        <v>1.7693409899999997</v>
      </c>
      <c r="I66" s="19">
        <f t="shared" ref="I66:I69" si="10">F66*G66</f>
        <v>1769.3409899999997</v>
      </c>
      <c r="J66" s="36"/>
      <c r="L66" s="28"/>
      <c r="M66" s="29"/>
      <c r="N66" s="30"/>
    </row>
    <row r="67" spans="1:22" ht="15.75" hidden="1" customHeight="1">
      <c r="A67" s="42">
        <v>27</v>
      </c>
      <c r="B67" s="21" t="s">
        <v>58</v>
      </c>
      <c r="C67" s="23" t="s">
        <v>105</v>
      </c>
      <c r="D67" s="21" t="s">
        <v>63</v>
      </c>
      <c r="E67" s="105">
        <v>1370</v>
      </c>
      <c r="F67" s="19">
        <f>SUM(E67/100)</f>
        <v>13.7</v>
      </c>
      <c r="G67" s="19">
        <v>2581.5300000000002</v>
      </c>
      <c r="H67" s="102">
        <f t="shared" si="9"/>
        <v>35.366961000000003</v>
      </c>
      <c r="I67" s="19">
        <f t="shared" si="10"/>
        <v>35366.961000000003</v>
      </c>
      <c r="J67" s="36"/>
      <c r="L67" s="28"/>
      <c r="M67" s="29"/>
      <c r="N67" s="30"/>
    </row>
    <row r="68" spans="1:22" ht="15.75" hidden="1" customHeight="1">
      <c r="A68" s="42">
        <v>28</v>
      </c>
      <c r="B68" s="115" t="s">
        <v>186</v>
      </c>
      <c r="C68" s="23" t="s">
        <v>35</v>
      </c>
      <c r="D68" s="21"/>
      <c r="E68" s="105">
        <v>8.6</v>
      </c>
      <c r="F68" s="19">
        <f>SUM(E68)</f>
        <v>8.6</v>
      </c>
      <c r="G68" s="19">
        <v>47.45</v>
      </c>
      <c r="H68" s="102">
        <f t="shared" si="9"/>
        <v>0.40806999999999999</v>
      </c>
      <c r="I68" s="19">
        <f t="shared" si="10"/>
        <v>408.07</v>
      </c>
      <c r="J68" s="36"/>
      <c r="L68" s="28"/>
      <c r="M68" s="29"/>
      <c r="N68" s="30"/>
    </row>
    <row r="69" spans="1:22" ht="15.75" hidden="1" customHeight="1">
      <c r="A69" s="42">
        <v>29</v>
      </c>
      <c r="B69" s="115" t="s">
        <v>214</v>
      </c>
      <c r="C69" s="23" t="s">
        <v>35</v>
      </c>
      <c r="D69" s="21"/>
      <c r="E69" s="105">
        <v>8.6</v>
      </c>
      <c r="F69" s="19">
        <f>SUM(E69)</f>
        <v>8.6</v>
      </c>
      <c r="G69" s="19">
        <v>44.27</v>
      </c>
      <c r="H69" s="102">
        <f t="shared" si="9"/>
        <v>0.38072200000000006</v>
      </c>
      <c r="I69" s="19">
        <f t="shared" si="10"/>
        <v>380.72200000000004</v>
      </c>
      <c r="J69" s="36"/>
      <c r="L69" s="28"/>
      <c r="M69" s="29"/>
      <c r="N69" s="30"/>
    </row>
    <row r="70" spans="1:22" ht="15.75" customHeight="1">
      <c r="A70" s="42">
        <v>18</v>
      </c>
      <c r="B70" s="21" t="s">
        <v>71</v>
      </c>
      <c r="C70" s="23" t="s">
        <v>72</v>
      </c>
      <c r="D70" s="21" t="s">
        <v>63</v>
      </c>
      <c r="E70" s="26">
        <v>3</v>
      </c>
      <c r="F70" s="106">
        <v>3</v>
      </c>
      <c r="G70" s="19">
        <v>62.07</v>
      </c>
      <c r="H70" s="102">
        <f t="shared" si="9"/>
        <v>0.18621000000000001</v>
      </c>
      <c r="I70" s="19">
        <f>F70*G70</f>
        <v>186.21</v>
      </c>
      <c r="J70" s="36"/>
      <c r="L70" s="28"/>
      <c r="M70" s="29"/>
      <c r="N70" s="30"/>
    </row>
    <row r="71" spans="1:22" ht="15.75" customHeight="1">
      <c r="A71" s="42">
        <v>19</v>
      </c>
      <c r="B71" s="21" t="s">
        <v>149</v>
      </c>
      <c r="C71" s="42" t="s">
        <v>150</v>
      </c>
      <c r="D71" s="21" t="s">
        <v>147</v>
      </c>
      <c r="E71" s="26">
        <v>2062.5</v>
      </c>
      <c r="F71" s="98">
        <f>E71*12</f>
        <v>24750</v>
      </c>
      <c r="G71" s="19">
        <v>2.16</v>
      </c>
      <c r="H71" s="102">
        <f t="shared" si="9"/>
        <v>53.46</v>
      </c>
      <c r="I71" s="19">
        <f>F71/12*G71</f>
        <v>4455</v>
      </c>
      <c r="J71" s="36"/>
      <c r="L71" s="28"/>
    </row>
    <row r="72" spans="1:22" ht="15.75" hidden="1" customHeight="1">
      <c r="A72" s="42"/>
      <c r="B72" s="72" t="s">
        <v>99</v>
      </c>
      <c r="C72" s="72"/>
      <c r="D72" s="72"/>
      <c r="E72" s="26"/>
      <c r="F72" s="26"/>
      <c r="G72" s="42"/>
      <c r="H72" s="42"/>
      <c r="I72" s="26"/>
    </row>
    <row r="73" spans="1:22" ht="15.75" hidden="1" customHeight="1">
      <c r="A73" s="42">
        <v>37</v>
      </c>
      <c r="B73" s="21" t="s">
        <v>215</v>
      </c>
      <c r="C73" s="23" t="s">
        <v>216</v>
      </c>
      <c r="D73" s="21" t="s">
        <v>87</v>
      </c>
      <c r="E73" s="26">
        <v>2</v>
      </c>
      <c r="F73" s="19">
        <f>E73</f>
        <v>2</v>
      </c>
      <c r="G73" s="19">
        <v>976.4</v>
      </c>
      <c r="H73" s="102">
        <f t="shared" ref="H73:H75" si="11">SUM(F73*G73/1000)</f>
        <v>1.9527999999999999</v>
      </c>
      <c r="I73" s="19">
        <v>0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1"/>
    </row>
    <row r="74" spans="1:22" ht="15.75" hidden="1" customHeight="1">
      <c r="A74" s="42"/>
      <c r="B74" s="21" t="s">
        <v>217</v>
      </c>
      <c r="C74" s="23" t="s">
        <v>218</v>
      </c>
      <c r="D74" s="21" t="s">
        <v>87</v>
      </c>
      <c r="E74" s="26">
        <v>1</v>
      </c>
      <c r="F74" s="19">
        <v>1</v>
      </c>
      <c r="G74" s="19">
        <v>650</v>
      </c>
      <c r="H74" s="102">
        <f t="shared" si="11"/>
        <v>0.65</v>
      </c>
      <c r="I74" s="19">
        <v>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1"/>
    </row>
    <row r="75" spans="1:22" ht="15.75" hidden="1" customHeight="1">
      <c r="A75" s="42"/>
      <c r="B75" s="21" t="s">
        <v>100</v>
      </c>
      <c r="C75" s="23" t="s">
        <v>102</v>
      </c>
      <c r="D75" s="21" t="s">
        <v>87</v>
      </c>
      <c r="E75" s="26">
        <v>2</v>
      </c>
      <c r="F75" s="19">
        <v>0.2</v>
      </c>
      <c r="G75" s="19">
        <v>624.16999999999996</v>
      </c>
      <c r="H75" s="102">
        <f t="shared" si="11"/>
        <v>0.124834</v>
      </c>
      <c r="I75" s="19">
        <v>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1"/>
    </row>
    <row r="76" spans="1:22" ht="15.75" hidden="1" customHeight="1">
      <c r="A76" s="42">
        <v>38</v>
      </c>
      <c r="B76" s="21" t="s">
        <v>101</v>
      </c>
      <c r="C76" s="23" t="s">
        <v>33</v>
      </c>
      <c r="D76" s="21" t="s">
        <v>87</v>
      </c>
      <c r="E76" s="26">
        <v>1</v>
      </c>
      <c r="F76" s="98">
        <v>1</v>
      </c>
      <c r="G76" s="19">
        <v>1061.4100000000001</v>
      </c>
      <c r="H76" s="102">
        <f>F76*G76/1000</f>
        <v>1.0614100000000002</v>
      </c>
      <c r="I76" s="19">
        <v>0</v>
      </c>
      <c r="J76" s="38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2" ht="15.75" hidden="1" customHeight="1">
      <c r="A77" s="42"/>
      <c r="B77" s="73" t="s">
        <v>103</v>
      </c>
      <c r="C77" s="59"/>
      <c r="D77" s="42"/>
      <c r="E77" s="26"/>
      <c r="F77" s="26"/>
      <c r="G77" s="55"/>
      <c r="H77" s="55"/>
      <c r="I77" s="26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</row>
    <row r="78" spans="1:22" ht="15.75" hidden="1" customHeight="1">
      <c r="A78" s="42">
        <v>39</v>
      </c>
      <c r="B78" s="75" t="s">
        <v>194</v>
      </c>
      <c r="C78" s="23" t="s">
        <v>105</v>
      </c>
      <c r="D78" s="21"/>
      <c r="E78" s="26"/>
      <c r="F78" s="19">
        <v>1</v>
      </c>
      <c r="G78" s="19">
        <v>3433.68</v>
      </c>
      <c r="H78" s="102">
        <f t="shared" ref="H78" si="12">SUM(F78*G78/1000)</f>
        <v>3.4336799999999998</v>
      </c>
      <c r="I78" s="19">
        <v>0</v>
      </c>
      <c r="J78" s="5"/>
      <c r="K78" s="5"/>
      <c r="L78" s="5"/>
      <c r="M78" s="5"/>
      <c r="N78" s="5"/>
      <c r="O78" s="5"/>
      <c r="P78" s="5"/>
      <c r="Q78" s="5"/>
      <c r="R78" s="188"/>
      <c r="S78" s="188"/>
      <c r="T78" s="188"/>
      <c r="U78" s="188"/>
    </row>
    <row r="79" spans="1:22" ht="15.75" hidden="1" customHeight="1">
      <c r="A79" s="119"/>
      <c r="B79" s="121" t="s">
        <v>148</v>
      </c>
      <c r="C79" s="117"/>
      <c r="D79" s="47"/>
      <c r="E79" s="117"/>
      <c r="F79" s="117"/>
      <c r="G79" s="117"/>
      <c r="H79" s="126"/>
      <c r="I79" s="26"/>
    </row>
    <row r="80" spans="1:22" ht="15.75" hidden="1" customHeight="1">
      <c r="A80" s="42">
        <v>12</v>
      </c>
      <c r="B80" s="103" t="s">
        <v>187</v>
      </c>
      <c r="C80" s="23"/>
      <c r="D80" s="21"/>
      <c r="E80" s="116"/>
      <c r="F80" s="19">
        <v>1</v>
      </c>
      <c r="G80" s="19">
        <v>8177.4</v>
      </c>
      <c r="H80" s="102">
        <f>G80*F80/1000</f>
        <v>8.1774000000000004</v>
      </c>
      <c r="I80" s="19">
        <v>0</v>
      </c>
    </row>
    <row r="81" spans="1:21" ht="15.75" customHeight="1">
      <c r="A81" s="200" t="s">
        <v>165</v>
      </c>
      <c r="B81" s="201"/>
      <c r="C81" s="201"/>
      <c r="D81" s="201"/>
      <c r="E81" s="201"/>
      <c r="F81" s="201"/>
      <c r="G81" s="201"/>
      <c r="H81" s="201"/>
      <c r="I81" s="20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>
      <c r="A82" s="42">
        <v>20</v>
      </c>
      <c r="B82" s="103" t="s">
        <v>188</v>
      </c>
      <c r="C82" s="23" t="s">
        <v>68</v>
      </c>
      <c r="D82" s="118" t="s">
        <v>69</v>
      </c>
      <c r="E82" s="19">
        <v>2062.5</v>
      </c>
      <c r="F82" s="19">
        <f>SUM(E82*12)</f>
        <v>24750</v>
      </c>
      <c r="G82" s="19">
        <v>2.95</v>
      </c>
      <c r="H82" s="102">
        <f>SUM(F82*G82/1000)</f>
        <v>73.012500000000003</v>
      </c>
      <c r="I82" s="19">
        <f>F82/12*G82</f>
        <v>6084.375</v>
      </c>
    </row>
    <row r="83" spans="1:21" ht="31.5" customHeight="1">
      <c r="A83" s="42">
        <v>21</v>
      </c>
      <c r="B83" s="21" t="s">
        <v>106</v>
      </c>
      <c r="C83" s="23"/>
      <c r="D83" s="118" t="s">
        <v>69</v>
      </c>
      <c r="E83" s="105">
        <v>2062.5</v>
      </c>
      <c r="F83" s="19">
        <f>E83*12</f>
        <v>24750</v>
      </c>
      <c r="G83" s="19">
        <v>3.05</v>
      </c>
      <c r="H83" s="102">
        <f>F83*G83/1000</f>
        <v>75.487499999999997</v>
      </c>
      <c r="I83" s="19">
        <f>F83/12*G83</f>
        <v>6290.625</v>
      </c>
    </row>
    <row r="84" spans="1:21" ht="15.75" customHeight="1">
      <c r="A84" s="119"/>
      <c r="B84" s="62" t="s">
        <v>112</v>
      </c>
      <c r="C84" s="64"/>
      <c r="D84" s="22"/>
      <c r="E84" s="22"/>
      <c r="F84" s="22"/>
      <c r="G84" s="26"/>
      <c r="H84" s="26"/>
      <c r="I84" s="49">
        <f>I83+I82+I71+I70+I61+I54+I50+I49+I48+I47+I46+I34+I32+I31+I28+I27+I21+I20+I18+I17+I16</f>
        <v>44629.139612077786</v>
      </c>
    </row>
    <row r="85" spans="1:21" ht="15.75" customHeight="1">
      <c r="A85" s="181" t="s">
        <v>75</v>
      </c>
      <c r="B85" s="182"/>
      <c r="C85" s="182"/>
      <c r="D85" s="182"/>
      <c r="E85" s="182"/>
      <c r="F85" s="182"/>
      <c r="G85" s="182"/>
      <c r="H85" s="182"/>
      <c r="I85" s="183"/>
    </row>
    <row r="86" spans="1:21" ht="31.5" customHeight="1">
      <c r="A86" s="135">
        <v>22</v>
      </c>
      <c r="B86" s="171" t="s">
        <v>288</v>
      </c>
      <c r="C86" s="172" t="s">
        <v>224</v>
      </c>
      <c r="D86" s="23" t="s">
        <v>289</v>
      </c>
      <c r="E86" s="19"/>
      <c r="F86" s="19">
        <v>2</v>
      </c>
      <c r="G86" s="165">
        <v>1272</v>
      </c>
      <c r="H86" s="102">
        <f t="shared" ref="H86" si="13">G86*F86/1000</f>
        <v>2.544</v>
      </c>
      <c r="I86" s="136">
        <f>G86*2</f>
        <v>2544</v>
      </c>
    </row>
    <row r="87" spans="1:21" ht="15.75" customHeight="1">
      <c r="A87" s="175">
        <v>23</v>
      </c>
      <c r="B87" s="166" t="s">
        <v>240</v>
      </c>
      <c r="C87" s="173" t="s">
        <v>130</v>
      </c>
      <c r="D87" s="176"/>
      <c r="E87" s="177"/>
      <c r="F87" s="177"/>
      <c r="G87" s="165">
        <v>151.31</v>
      </c>
      <c r="H87" s="178"/>
      <c r="I87" s="179">
        <f>G87*2</f>
        <v>302.62</v>
      </c>
    </row>
    <row r="88" spans="1:21" ht="15.75" customHeight="1">
      <c r="A88" s="175">
        <v>24</v>
      </c>
      <c r="B88" s="166" t="s">
        <v>281</v>
      </c>
      <c r="C88" s="173" t="s">
        <v>130</v>
      </c>
      <c r="D88" s="176"/>
      <c r="E88" s="177"/>
      <c r="F88" s="177"/>
      <c r="G88" s="165">
        <v>169.24</v>
      </c>
      <c r="H88" s="178"/>
      <c r="I88" s="179">
        <f>G88*2</f>
        <v>338.48</v>
      </c>
    </row>
    <row r="89" spans="1:21" ht="15.75" customHeight="1">
      <c r="A89" s="175">
        <v>25</v>
      </c>
      <c r="B89" s="166" t="s">
        <v>115</v>
      </c>
      <c r="C89" s="173" t="s">
        <v>130</v>
      </c>
      <c r="D89" s="176"/>
      <c r="E89" s="177"/>
      <c r="F89" s="177"/>
      <c r="G89" s="165">
        <v>197.48</v>
      </c>
      <c r="H89" s="178"/>
      <c r="I89" s="179">
        <f>G89*2</f>
        <v>394.96</v>
      </c>
    </row>
    <row r="90" spans="1:21" ht="15.75" hidden="1" customHeight="1">
      <c r="A90" s="175"/>
      <c r="B90" s="171"/>
      <c r="C90" s="172"/>
      <c r="D90" s="176"/>
      <c r="E90" s="177"/>
      <c r="F90" s="177"/>
      <c r="G90" s="177"/>
      <c r="H90" s="178"/>
      <c r="I90" s="179"/>
    </row>
    <row r="91" spans="1:21" ht="15.75" hidden="1" customHeight="1">
      <c r="A91" s="175"/>
      <c r="B91" s="171"/>
      <c r="C91" s="172"/>
      <c r="D91" s="176"/>
      <c r="E91" s="177"/>
      <c r="F91" s="177"/>
      <c r="G91" s="177"/>
      <c r="H91" s="178"/>
      <c r="I91" s="179"/>
    </row>
    <row r="92" spans="1:21" ht="15.75" customHeight="1">
      <c r="A92" s="42"/>
      <c r="B92" s="69" t="s">
        <v>60</v>
      </c>
      <c r="C92" s="65"/>
      <c r="D92" s="95"/>
      <c r="E92" s="65">
        <v>1</v>
      </c>
      <c r="F92" s="65"/>
      <c r="G92" s="65"/>
      <c r="H92" s="65"/>
      <c r="I92" s="49">
        <f>SUM(I86:I91)</f>
        <v>3580.06</v>
      </c>
    </row>
    <row r="93" spans="1:21" ht="15.75" customHeight="1">
      <c r="A93" s="42"/>
      <c r="B93" s="75" t="s">
        <v>107</v>
      </c>
      <c r="C93" s="22"/>
      <c r="D93" s="22"/>
      <c r="E93" s="66"/>
      <c r="F93" s="66"/>
      <c r="G93" s="67"/>
      <c r="H93" s="67"/>
      <c r="I93" s="25">
        <v>0</v>
      </c>
    </row>
    <row r="94" spans="1:21" ht="15.75" customHeight="1">
      <c r="A94" s="79"/>
      <c r="B94" s="70" t="s">
        <v>219</v>
      </c>
      <c r="C94" s="53"/>
      <c r="D94" s="53"/>
      <c r="E94" s="53"/>
      <c r="F94" s="53"/>
      <c r="G94" s="53"/>
      <c r="H94" s="53"/>
      <c r="I94" s="68">
        <f>I84+I92</f>
        <v>48209.199612077784</v>
      </c>
    </row>
    <row r="95" spans="1:21" ht="15.75">
      <c r="A95" s="190" t="s">
        <v>290</v>
      </c>
      <c r="B95" s="190"/>
      <c r="C95" s="190"/>
      <c r="D95" s="190"/>
      <c r="E95" s="190"/>
      <c r="F95" s="190"/>
      <c r="G95" s="190"/>
      <c r="H95" s="190"/>
      <c r="I95" s="190"/>
    </row>
    <row r="96" spans="1:21" ht="15.75" customHeight="1">
      <c r="A96" s="97"/>
      <c r="B96" s="191" t="s">
        <v>291</v>
      </c>
      <c r="C96" s="191"/>
      <c r="D96" s="191"/>
      <c r="E96" s="191"/>
      <c r="F96" s="191"/>
      <c r="G96" s="191"/>
      <c r="H96" s="101"/>
      <c r="I96" s="3"/>
    </row>
    <row r="97" spans="1:9">
      <c r="A97" s="123"/>
      <c r="B97" s="186" t="s">
        <v>6</v>
      </c>
      <c r="C97" s="186"/>
      <c r="D97" s="186"/>
      <c r="E97" s="186"/>
      <c r="F97" s="186"/>
      <c r="G97" s="186"/>
      <c r="H97" s="37"/>
      <c r="I97" s="5"/>
    </row>
    <row r="98" spans="1:9" ht="15.75" customHeight="1">
      <c r="A98" s="12"/>
      <c r="B98" s="12"/>
      <c r="C98" s="12"/>
      <c r="D98" s="12"/>
      <c r="E98" s="12"/>
      <c r="F98" s="12"/>
      <c r="G98" s="12"/>
      <c r="H98" s="12"/>
      <c r="I98" s="12"/>
    </row>
    <row r="99" spans="1:9" ht="15.75">
      <c r="A99" s="192" t="s">
        <v>7</v>
      </c>
      <c r="B99" s="192"/>
      <c r="C99" s="192"/>
      <c r="D99" s="192"/>
      <c r="E99" s="192"/>
      <c r="F99" s="192"/>
      <c r="G99" s="192"/>
      <c r="H99" s="192"/>
      <c r="I99" s="192"/>
    </row>
    <row r="100" spans="1:9" ht="16.5" customHeight="1">
      <c r="A100" s="192" t="s">
        <v>8</v>
      </c>
      <c r="B100" s="192"/>
      <c r="C100" s="192"/>
      <c r="D100" s="192"/>
      <c r="E100" s="192"/>
      <c r="F100" s="192"/>
      <c r="G100" s="192"/>
      <c r="H100" s="192"/>
      <c r="I100" s="192"/>
    </row>
    <row r="101" spans="1:9" ht="16.5" customHeight="1">
      <c r="A101" s="193" t="s">
        <v>78</v>
      </c>
      <c r="B101" s="193"/>
      <c r="C101" s="193"/>
      <c r="D101" s="193"/>
      <c r="E101" s="193"/>
      <c r="F101" s="193"/>
      <c r="G101" s="193"/>
      <c r="H101" s="193"/>
      <c r="I101" s="193"/>
    </row>
    <row r="102" spans="1:9" ht="15.75" customHeight="1">
      <c r="A102" s="13"/>
    </row>
    <row r="103" spans="1:9" ht="15.75" customHeight="1">
      <c r="A103" s="184" t="s">
        <v>9</v>
      </c>
      <c r="B103" s="184"/>
      <c r="C103" s="184"/>
      <c r="D103" s="184"/>
      <c r="E103" s="184"/>
      <c r="F103" s="184"/>
      <c r="G103" s="184"/>
      <c r="H103" s="184"/>
      <c r="I103" s="184"/>
    </row>
    <row r="104" spans="1:9" ht="15.75">
      <c r="A104" s="4"/>
    </row>
    <row r="105" spans="1:9" ht="15.75" customHeight="1">
      <c r="B105" s="125" t="s">
        <v>10</v>
      </c>
      <c r="C105" s="185" t="s">
        <v>166</v>
      </c>
      <c r="D105" s="185"/>
      <c r="E105" s="185"/>
      <c r="F105" s="99"/>
      <c r="I105" s="122"/>
    </row>
    <row r="106" spans="1:9">
      <c r="A106" s="123"/>
      <c r="C106" s="186" t="s">
        <v>11</v>
      </c>
      <c r="D106" s="186"/>
      <c r="E106" s="186"/>
      <c r="F106" s="37"/>
      <c r="I106" s="124" t="s">
        <v>12</v>
      </c>
    </row>
    <row r="107" spans="1:9" ht="15.75">
      <c r="A107" s="38"/>
      <c r="C107" s="14"/>
      <c r="D107" s="14"/>
      <c r="G107" s="14"/>
      <c r="H107" s="14"/>
    </row>
    <row r="108" spans="1:9" ht="15.75">
      <c r="B108" s="125" t="s">
        <v>13</v>
      </c>
      <c r="C108" s="187"/>
      <c r="D108" s="187"/>
      <c r="E108" s="187"/>
      <c r="F108" s="100"/>
      <c r="I108" s="122"/>
    </row>
    <row r="109" spans="1:9">
      <c r="A109" s="123"/>
      <c r="C109" s="188" t="s">
        <v>11</v>
      </c>
      <c r="D109" s="188"/>
      <c r="E109" s="188"/>
      <c r="F109" s="123"/>
      <c r="I109" s="124" t="s">
        <v>12</v>
      </c>
    </row>
    <row r="110" spans="1:9" ht="15.75">
      <c r="A110" s="4" t="s">
        <v>14</v>
      </c>
    </row>
    <row r="111" spans="1:9">
      <c r="A111" s="189" t="s">
        <v>15</v>
      </c>
      <c r="B111" s="189"/>
      <c r="C111" s="189"/>
      <c r="D111" s="189"/>
      <c r="E111" s="189"/>
      <c r="F111" s="189"/>
      <c r="G111" s="189"/>
      <c r="H111" s="189"/>
      <c r="I111" s="189"/>
    </row>
    <row r="112" spans="1:9" ht="45" customHeight="1">
      <c r="A112" s="180" t="s">
        <v>16</v>
      </c>
      <c r="B112" s="180"/>
      <c r="C112" s="180"/>
      <c r="D112" s="180"/>
      <c r="E112" s="180"/>
      <c r="F112" s="180"/>
      <c r="G112" s="180"/>
      <c r="H112" s="180"/>
      <c r="I112" s="180"/>
    </row>
    <row r="113" spans="1:9" ht="30" customHeight="1">
      <c r="A113" s="180" t="s">
        <v>17</v>
      </c>
      <c r="B113" s="180"/>
      <c r="C113" s="180"/>
      <c r="D113" s="180"/>
      <c r="E113" s="180"/>
      <c r="F113" s="180"/>
      <c r="G113" s="180"/>
      <c r="H113" s="180"/>
      <c r="I113" s="180"/>
    </row>
    <row r="114" spans="1:9" ht="30" customHeight="1">
      <c r="A114" s="180" t="s">
        <v>22</v>
      </c>
      <c r="B114" s="180"/>
      <c r="C114" s="180"/>
      <c r="D114" s="180"/>
      <c r="E114" s="180"/>
      <c r="F114" s="180"/>
      <c r="G114" s="180"/>
      <c r="H114" s="180"/>
      <c r="I114" s="180"/>
    </row>
    <row r="115" spans="1:9" ht="15" customHeight="1">
      <c r="A115" s="180" t="s">
        <v>21</v>
      </c>
      <c r="B115" s="180"/>
      <c r="C115" s="180"/>
      <c r="D115" s="180"/>
      <c r="E115" s="180"/>
      <c r="F115" s="180"/>
      <c r="G115" s="180"/>
      <c r="H115" s="180"/>
      <c r="I115" s="180"/>
    </row>
  </sheetData>
  <autoFilter ref="I12:I71"/>
  <mergeCells count="29">
    <mergeCell ref="A14:I14"/>
    <mergeCell ref="A15:I15"/>
    <mergeCell ref="A29:I29"/>
    <mergeCell ref="A45:I45"/>
    <mergeCell ref="A55:I55"/>
    <mergeCell ref="A3:I3"/>
    <mergeCell ref="A4:I4"/>
    <mergeCell ref="A5:I5"/>
    <mergeCell ref="A8:I8"/>
    <mergeCell ref="A10:I10"/>
    <mergeCell ref="R78:U78"/>
    <mergeCell ref="C109:E109"/>
    <mergeCell ref="A85:I85"/>
    <mergeCell ref="A95:I95"/>
    <mergeCell ref="B96:G96"/>
    <mergeCell ref="B97:G97"/>
    <mergeCell ref="A99:I99"/>
    <mergeCell ref="A100:I100"/>
    <mergeCell ref="A101:I101"/>
    <mergeCell ref="A103:I103"/>
    <mergeCell ref="C105:E105"/>
    <mergeCell ref="C106:E106"/>
    <mergeCell ref="C108:E108"/>
    <mergeCell ref="A81:I81"/>
    <mergeCell ref="A111:I111"/>
    <mergeCell ref="A112:I112"/>
    <mergeCell ref="A113:I113"/>
    <mergeCell ref="A114:I114"/>
    <mergeCell ref="A115:I115"/>
  </mergeCells>
  <pageMargins left="0.70866141732283472" right="0.23622047244094491" top="0.27559055118110237" bottom="0.27559055118110237" header="0.31496062992125984" footer="0.31496062992125984"/>
  <pageSetup paperSize="9" scale="6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01.18</vt:lpstr>
      <vt:lpstr>02.18</vt:lpstr>
      <vt:lpstr>03.18</vt:lpstr>
      <vt:lpstr>04.18</vt:lpstr>
      <vt:lpstr>05.18</vt:lpstr>
      <vt:lpstr>06.18</vt:lpstr>
      <vt:lpstr>07.18</vt:lpstr>
      <vt:lpstr>08.18</vt:lpstr>
      <vt:lpstr>09.18</vt:lpstr>
      <vt:lpstr>10.18</vt:lpstr>
      <vt:lpstr>11.18</vt:lpstr>
      <vt:lpstr>12.18</vt:lpstr>
      <vt:lpstr>юбьмрмить</vt:lpstr>
      <vt:lpstr>'01.18'!Область_печати</vt:lpstr>
      <vt:lpstr>'02.18'!Область_печати</vt:lpstr>
      <vt:lpstr>'03.18'!Область_печати</vt:lpstr>
      <vt:lpstr>'04.18'!Область_печати</vt:lpstr>
      <vt:lpstr>'05.18'!Область_печати</vt:lpstr>
      <vt:lpstr>'06.18'!Область_печати</vt:lpstr>
      <vt:lpstr>'07.18'!Область_печати</vt:lpstr>
      <vt:lpstr>'08.18'!Область_печати</vt:lpstr>
      <vt:lpstr>'09.18'!Область_печати</vt:lpstr>
      <vt:lpstr>'10.18'!Область_печати</vt:lpstr>
      <vt:lpstr>'11.18'!Область_печати</vt:lpstr>
      <vt:lpstr>'12.18'!Область_печати</vt:lpstr>
      <vt:lpstr>юбьмрмить!Область_печати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2018-09-12T09:54:24Z</cp:lastPrinted>
  <dcterms:created xsi:type="dcterms:W3CDTF">2016-03-25T08:33:47Z</dcterms:created>
  <dcterms:modified xsi:type="dcterms:W3CDTF">2019-01-17T10:48:40Z</dcterms:modified>
</cp:coreProperties>
</file>