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Косм.,4" sheetId="1" r:id="rId1"/>
  </sheets>
  <definedNames>
    <definedName name="_xlnm.Print_Area" localSheetId="0">'Косм.,4'!$A$1:$U$113</definedName>
  </definedNames>
  <calcPr calcId="124519"/>
</workbook>
</file>

<file path=xl/calcChain.xml><?xml version="1.0" encoding="utf-8"?>
<calcChain xmlns="http://schemas.openxmlformats.org/spreadsheetml/2006/main">
  <c r="U80" i="1"/>
  <c r="T99"/>
  <c r="T98"/>
  <c r="F98"/>
  <c r="S96"/>
  <c r="H99"/>
  <c r="U98"/>
  <c r="U99"/>
  <c r="H98"/>
  <c r="Q60" l="1"/>
  <c r="C111"/>
  <c r="C108"/>
  <c r="T100"/>
  <c r="U100" s="1"/>
  <c r="H100"/>
  <c r="U73"/>
  <c r="U70"/>
  <c r="U71"/>
  <c r="U69"/>
  <c r="U58"/>
  <c r="U36"/>
  <c r="U28"/>
  <c r="U29"/>
  <c r="S60"/>
  <c r="S90"/>
  <c r="F97"/>
  <c r="S97" s="1"/>
  <c r="U97" s="1"/>
  <c r="R86"/>
  <c r="R91"/>
  <c r="F91"/>
  <c r="Q91"/>
  <c r="U60"/>
  <c r="P95"/>
  <c r="F95"/>
  <c r="P53"/>
  <c r="P52"/>
  <c r="O96"/>
  <c r="U96" s="1"/>
  <c r="H96"/>
  <c r="O92"/>
  <c r="O95"/>
  <c r="U95" s="1"/>
  <c r="H95"/>
  <c r="N86"/>
  <c r="N92"/>
  <c r="M93"/>
  <c r="U93" s="1"/>
  <c r="F93"/>
  <c r="H93" s="1"/>
  <c r="L91"/>
  <c r="U91" s="1"/>
  <c r="M94"/>
  <c r="U94" s="1"/>
  <c r="H94"/>
  <c r="M89"/>
  <c r="I53"/>
  <c r="L53" s="1"/>
  <c r="I52"/>
  <c r="L52" s="1"/>
  <c r="L92"/>
  <c r="U92" s="1"/>
  <c r="H92"/>
  <c r="L86"/>
  <c r="H91"/>
  <c r="L90"/>
  <c r="U90" s="1"/>
  <c r="L89"/>
  <c r="U89" s="1"/>
  <c r="K88"/>
  <c r="J88"/>
  <c r="U88" s="1"/>
  <c r="F87"/>
  <c r="I87" s="1"/>
  <c r="U87" s="1"/>
  <c r="H97" l="1"/>
  <c r="U52"/>
  <c r="U53"/>
  <c r="H87"/>
  <c r="I86"/>
  <c r="U86" s="1"/>
  <c r="U101" s="1"/>
  <c r="J75"/>
  <c r="U75" s="1"/>
  <c r="H89" l="1"/>
  <c r="F52"/>
  <c r="T40"/>
  <c r="S40"/>
  <c r="T33"/>
  <c r="S33"/>
  <c r="Q67"/>
  <c r="U67" s="1"/>
  <c r="Q51"/>
  <c r="F26"/>
  <c r="R26" s="1"/>
  <c r="L40"/>
  <c r="L33"/>
  <c r="K40"/>
  <c r="K33"/>
  <c r="N26" l="1"/>
  <c r="O26"/>
  <c r="Q26"/>
  <c r="M26"/>
  <c r="U26" s="1"/>
  <c r="P26"/>
  <c r="H90"/>
  <c r="H75"/>
  <c r="H88"/>
  <c r="K51"/>
  <c r="U51" s="1"/>
  <c r="J40"/>
  <c r="J33"/>
  <c r="H86"/>
  <c r="H101" s="1"/>
  <c r="I61"/>
  <c r="U61" s="1"/>
  <c r="I40"/>
  <c r="U40" s="1"/>
  <c r="I33"/>
  <c r="U33" s="1"/>
  <c r="F47"/>
  <c r="M47" s="1"/>
  <c r="F44"/>
  <c r="M44" s="1"/>
  <c r="F19"/>
  <c r="M19" s="1"/>
  <c r="U19" s="1"/>
  <c r="F16"/>
  <c r="M16" s="1"/>
  <c r="U16" s="1"/>
  <c r="F15"/>
  <c r="M15" s="1"/>
  <c r="U15" s="1"/>
  <c r="H52"/>
  <c r="F53"/>
  <c r="F38"/>
  <c r="F34"/>
  <c r="J34" s="1"/>
  <c r="F35"/>
  <c r="H58"/>
  <c r="H19" l="1"/>
  <c r="I35"/>
  <c r="T35"/>
  <c r="S35"/>
  <c r="L35"/>
  <c r="K35"/>
  <c r="I38"/>
  <c r="T38"/>
  <c r="S38"/>
  <c r="L38"/>
  <c r="K38"/>
  <c r="Q44"/>
  <c r="U44" s="1"/>
  <c r="H34"/>
  <c r="T34"/>
  <c r="L34"/>
  <c r="K34"/>
  <c r="S34"/>
  <c r="H47"/>
  <c r="Q47"/>
  <c r="U47" s="1"/>
  <c r="J35"/>
  <c r="J38"/>
  <c r="I34"/>
  <c r="U34" s="1"/>
  <c r="U38" l="1"/>
  <c r="U35"/>
  <c r="H36"/>
  <c r="H35" l="1"/>
  <c r="H71"/>
  <c r="H70" l="1"/>
  <c r="F14" l="1"/>
  <c r="M14" s="1"/>
  <c r="U14" s="1"/>
  <c r="F17"/>
  <c r="M17" s="1"/>
  <c r="U17" s="1"/>
  <c r="F18"/>
  <c r="M18" s="1"/>
  <c r="U18" s="1"/>
  <c r="H14" l="1"/>
  <c r="F104"/>
  <c r="H103"/>
  <c r="E78"/>
  <c r="H82" s="1"/>
  <c r="F76"/>
  <c r="H73"/>
  <c r="H69"/>
  <c r="H67"/>
  <c r="F66"/>
  <c r="F65"/>
  <c r="F64"/>
  <c r="F63"/>
  <c r="F62"/>
  <c r="H61"/>
  <c r="H60"/>
  <c r="F56"/>
  <c r="H53"/>
  <c r="H51"/>
  <c r="F50"/>
  <c r="L50" s="1"/>
  <c r="F49"/>
  <c r="L49" s="1"/>
  <c r="F48"/>
  <c r="F46"/>
  <c r="M46" s="1"/>
  <c r="F45"/>
  <c r="M45" s="1"/>
  <c r="H44"/>
  <c r="F43"/>
  <c r="M43" s="1"/>
  <c r="H40"/>
  <c r="F39"/>
  <c r="H38"/>
  <c r="F37"/>
  <c r="H33"/>
  <c r="F30"/>
  <c r="H29"/>
  <c r="H28"/>
  <c r="F27"/>
  <c r="H26"/>
  <c r="F25"/>
  <c r="F24"/>
  <c r="F23"/>
  <c r="F20"/>
  <c r="M20" s="1"/>
  <c r="U20" s="1"/>
  <c r="H18"/>
  <c r="H17"/>
  <c r="E13"/>
  <c r="F13" s="1"/>
  <c r="F12"/>
  <c r="F11"/>
  <c r="H24" l="1"/>
  <c r="Q24"/>
  <c r="O24"/>
  <c r="M24"/>
  <c r="R24"/>
  <c r="P24"/>
  <c r="N24"/>
  <c r="T11"/>
  <c r="R11"/>
  <c r="P11"/>
  <c r="N11"/>
  <c r="L11"/>
  <c r="K11"/>
  <c r="I11"/>
  <c r="S11"/>
  <c r="Q11"/>
  <c r="O11"/>
  <c r="M11"/>
  <c r="J11"/>
  <c r="I13"/>
  <c r="T13"/>
  <c r="R13"/>
  <c r="P13"/>
  <c r="N13"/>
  <c r="M13"/>
  <c r="L13"/>
  <c r="K13"/>
  <c r="S13"/>
  <c r="Q13"/>
  <c r="O13"/>
  <c r="J13"/>
  <c r="H23"/>
  <c r="R23"/>
  <c r="P23"/>
  <c r="N23"/>
  <c r="Q23"/>
  <c r="O23"/>
  <c r="M23"/>
  <c r="U23" s="1"/>
  <c r="H25"/>
  <c r="M25"/>
  <c r="U25" s="1"/>
  <c r="I27"/>
  <c r="T27"/>
  <c r="Q27"/>
  <c r="O27"/>
  <c r="M27"/>
  <c r="S27"/>
  <c r="R27"/>
  <c r="P27"/>
  <c r="N27"/>
  <c r="L27"/>
  <c r="K27"/>
  <c r="J27"/>
  <c r="H46"/>
  <c r="Q46"/>
  <c r="U46" s="1"/>
  <c r="H49"/>
  <c r="Q49"/>
  <c r="U49" s="1"/>
  <c r="T56"/>
  <c r="K56"/>
  <c r="S56"/>
  <c r="L56"/>
  <c r="J56"/>
  <c r="H63"/>
  <c r="M63"/>
  <c r="U63" s="1"/>
  <c r="H65"/>
  <c r="M65"/>
  <c r="U65" s="1"/>
  <c r="I12"/>
  <c r="T12"/>
  <c r="Q12"/>
  <c r="O12"/>
  <c r="M12"/>
  <c r="S12"/>
  <c r="R12"/>
  <c r="P12"/>
  <c r="N12"/>
  <c r="L12"/>
  <c r="K12"/>
  <c r="J12"/>
  <c r="H20"/>
  <c r="T30"/>
  <c r="R30"/>
  <c r="P30"/>
  <c r="N30"/>
  <c r="L30"/>
  <c r="K30"/>
  <c r="S30"/>
  <c r="Q30"/>
  <c r="O30"/>
  <c r="M30"/>
  <c r="J30"/>
  <c r="T37"/>
  <c r="L37"/>
  <c r="K37"/>
  <c r="S37"/>
  <c r="J37"/>
  <c r="T39"/>
  <c r="L39"/>
  <c r="K39"/>
  <c r="S39"/>
  <c r="J39"/>
  <c r="H43"/>
  <c r="Q43"/>
  <c r="U43" s="1"/>
  <c r="H45"/>
  <c r="Q45"/>
  <c r="U45" s="1"/>
  <c r="I48"/>
  <c r="Q48"/>
  <c r="M48"/>
  <c r="T48"/>
  <c r="J48"/>
  <c r="H50"/>
  <c r="Q50"/>
  <c r="U50" s="1"/>
  <c r="H62"/>
  <c r="M62"/>
  <c r="U62" s="1"/>
  <c r="H64"/>
  <c r="M64"/>
  <c r="U64" s="1"/>
  <c r="H66"/>
  <c r="M66"/>
  <c r="U66" s="1"/>
  <c r="I76"/>
  <c r="T76"/>
  <c r="R76"/>
  <c r="P76"/>
  <c r="N76"/>
  <c r="M76"/>
  <c r="L76"/>
  <c r="K76"/>
  <c r="S76"/>
  <c r="Q76"/>
  <c r="O76"/>
  <c r="J76"/>
  <c r="H30"/>
  <c r="I30"/>
  <c r="U30" s="1"/>
  <c r="H37"/>
  <c r="I37"/>
  <c r="U37" s="1"/>
  <c r="H39"/>
  <c r="I39"/>
  <c r="U39" s="1"/>
  <c r="H56"/>
  <c r="I56"/>
  <c r="U56" s="1"/>
  <c r="H76"/>
  <c r="H77" s="1"/>
  <c r="H27"/>
  <c r="H48"/>
  <c r="H54" s="1"/>
  <c r="H11"/>
  <c r="H12"/>
  <c r="H16"/>
  <c r="H13"/>
  <c r="H15"/>
  <c r="F78"/>
  <c r="U48" l="1"/>
  <c r="U12"/>
  <c r="U13"/>
  <c r="U11"/>
  <c r="U24"/>
  <c r="U76"/>
  <c r="U27"/>
  <c r="U21"/>
  <c r="U74"/>
  <c r="H41"/>
  <c r="H31"/>
  <c r="H74"/>
  <c r="I78"/>
  <c r="T78"/>
  <c r="T104" s="1"/>
  <c r="Q78"/>
  <c r="Q104" s="1"/>
  <c r="O78"/>
  <c r="O104" s="1"/>
  <c r="S78"/>
  <c r="S104" s="1"/>
  <c r="R78"/>
  <c r="P78"/>
  <c r="P104" s="1"/>
  <c r="N78"/>
  <c r="M78"/>
  <c r="M104" s="1"/>
  <c r="L78"/>
  <c r="L104" s="1"/>
  <c r="K78"/>
  <c r="J78"/>
  <c r="J104" s="1"/>
  <c r="U77"/>
  <c r="U54"/>
  <c r="K104"/>
  <c r="N104"/>
  <c r="R104"/>
  <c r="U41"/>
  <c r="H78"/>
  <c r="H79" s="1"/>
  <c r="C110"/>
  <c r="H21"/>
  <c r="U78" l="1"/>
  <c r="U79"/>
  <c r="U31"/>
  <c r="I104"/>
  <c r="H80"/>
  <c r="H83" s="1"/>
  <c r="G104" s="1"/>
  <c r="H104" s="1"/>
  <c r="U104" l="1"/>
  <c r="C113" l="1"/>
  <c r="C109"/>
</calcChain>
</file>

<file path=xl/sharedStrings.xml><?xml version="1.0" encoding="utf-8"?>
<sst xmlns="http://schemas.openxmlformats.org/spreadsheetml/2006/main" count="306" uniqueCount="227">
  <si>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</si>
  <si>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</si>
  <si>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</si>
  <si>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</si>
  <si>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</si>
  <si>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</si>
  <si>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</si>
  <si>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</si>
  <si>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</si>
  <si>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</si>
  <si>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</si>
  <si>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</si>
  <si>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</si>
  <si>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</si>
  <si>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</si>
  <si>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</si>
  <si>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</si>
  <si>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</si>
  <si>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</si>
  <si>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</si>
  <si>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</si>
  <si>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</si>
  <si>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</si>
  <si>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</si>
  <si>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</si>
  <si>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</si>
  <si>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</si>
  <si>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</si>
  <si>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</si>
  <si>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</si>
  <si>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</si>
  <si>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</si>
  <si>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</si>
  <si>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</si>
  <si>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</si>
  <si>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</si>
  <si>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</si>
  <si>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</si>
  <si>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</si>
  <si>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</si>
  <si>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</si>
  <si>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</si>
  <si>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</si>
  <si>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</si>
  <si>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</si>
  <si>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</si>
  <si>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</si>
  <si>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</si>
  <si>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</si>
  <si>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</si>
  <si>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</si>
  <si>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</si>
  <si>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</si>
  <si>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</si>
  <si>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</si>
  <si>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</si>
  <si>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</si>
  <si>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</si>
  <si>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</si>
  <si>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</si>
  <si>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</si>
  <si>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</si>
  <si>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</si>
  <si>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</si>
  <si>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</si>
  <si>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</si>
  <si>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</si>
  <si>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</si>
  <si>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</si>
  <si>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</si>
  <si>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</si>
  <si>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</si>
  <si>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</si>
  <si>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</si>
  <si>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</si>
  <si>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</si>
  <si>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</si>
  <si>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</si>
  <si>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</si>
  <si>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</si>
  <si>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</si>
  <si>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</si>
  <si>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</si>
  <si>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</si>
  <si>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</si>
  <si>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</si>
  <si>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</si>
  <si>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</si>
  <si>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</si>
  <si>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</si>
  <si>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</si>
  <si>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</si>
  <si>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</si>
  <si>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</si>
  <si>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</si>
  <si>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</si>
  <si>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</si>
  <si>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</si>
  <si>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</si>
  <si>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</si>
  <si>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</si>
  <si>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</si>
  <si>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</si>
  <si>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</si>
  <si>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</si>
  <si>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</si>
  <si>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30 раз за сезон</t>
  </si>
  <si>
    <t>12 раз за сезон</t>
  </si>
  <si>
    <t>Сдвигание снега в дни снегопада (проезд)</t>
  </si>
  <si>
    <t>24 раза за сезон</t>
  </si>
  <si>
    <t>2-1-1а</t>
  </si>
  <si>
    <t>Проверка дымоходов</t>
  </si>
  <si>
    <t>Влажная протирка подоконников</t>
  </si>
  <si>
    <t>Осмотр деревянных конструкций стропил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</si>
  <si>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</si>
  <si>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</si>
  <si>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</si>
  <si>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</si>
  <si>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</si>
  <si>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</si>
  <si>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</si>
  <si>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</si>
  <si>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</si>
  <si>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</si>
  <si>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</si>
  <si>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</si>
  <si>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</si>
  <si>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Ремонт групповых щитков на лестничной клетке без ремонта автоматов</t>
  </si>
  <si>
    <t>калькуляция</t>
  </si>
  <si>
    <t>Работа автовышки</t>
  </si>
  <si>
    <t>маш/час</t>
  </si>
  <si>
    <t>5 этажей, 4 подъезда</t>
  </si>
  <si>
    <t>Стоимость (руб.)</t>
  </si>
  <si>
    <t>договор</t>
  </si>
  <si>
    <t>ТО внутридомового газ.оборудования</t>
  </si>
  <si>
    <t xml:space="preserve">Смена сгонов у трубопроводов диаметром до 20 мм </t>
  </si>
  <si>
    <t>1 сгон</t>
  </si>
  <si>
    <t>Баланс выполненных работ на 01.01.2016 г. ( -долг за предприятием, +долг за населением)</t>
  </si>
  <si>
    <t>Ремонт и регулировка доводчика (со стоимостью доводчика)</t>
  </si>
  <si>
    <t>1шт.</t>
  </si>
  <si>
    <t>1 шт</t>
  </si>
  <si>
    <t>Ремонт рамы слух.окна</t>
  </si>
  <si>
    <t>Начислено за содержание и текущий ремонт за 2016  г.</t>
  </si>
  <si>
    <t>Выполнено работ по текущему ремонту за 2016 г.</t>
  </si>
  <si>
    <t>Фактически оплачено за 2016 г.</t>
  </si>
  <si>
    <t>Утепление металлической двери монажной пеной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</si>
  <si>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Космонавтов, 4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</si>
  <si>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Выполнено работ по содержанию за 2016 г.</t>
  </si>
  <si>
    <t>Внеплановый осмотр электросетей, армазуры и электрооборудования на лестничных клетках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</si>
  <si>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</si>
  <si>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</si>
  <si>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</si>
  <si>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</si>
  <si>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</si>
  <si>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</si>
  <si>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</si>
  <si>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</si>
  <si>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Осмотр шиферной кровли</t>
  </si>
  <si>
    <t>100 м3</t>
  </si>
  <si>
    <t>Очистка края кровли от слежавшегося снега со сбрасыванием сосулек (10% от S кровли и козырьки)</t>
  </si>
  <si>
    <t>Очистка от мусора</t>
  </si>
  <si>
    <t>100шт</t>
  </si>
  <si>
    <t>Внеплановый осмотр вводных электрических щитков</t>
  </si>
  <si>
    <t>Прочистка засоров ГВС, XВC</t>
  </si>
  <si>
    <t>3м</t>
  </si>
  <si>
    <t>Проверка дымоходов (кв.18, 59)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</si>
  <si>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</si>
  <si>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</si>
  <si>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</si>
  <si>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</si>
  <si>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</si>
  <si>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</si>
  <si>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</si>
  <si>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</si>
  <si>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</si>
  <si>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</si>
  <si>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</si>
  <si>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</si>
  <si>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</si>
  <si>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</si>
  <si>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</si>
  <si>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</si>
  <si>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</si>
  <si>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</si>
  <si>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</si>
  <si>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</si>
  <si>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</si>
  <si>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</si>
  <si>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</si>
  <si>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</si>
  <si>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</si>
  <si>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</si>
  <si>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</si>
  <si>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</si>
  <si>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</si>
  <si>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</si>
  <si>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 xml:space="preserve">пр.ТЕР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</si>
  <si>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</si>
  <si>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</si>
  <si>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</si>
  <si>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</si>
  <si>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</si>
  <si>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</si>
  <si>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</si>
  <si>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</si>
  <si>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</si>
  <si>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</si>
  <si>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ТЕР 33-030</t>
  </si>
  <si>
    <t>пр.ТЕР 15-028</t>
  </si>
  <si>
    <t>ТЕР 31-009</t>
  </si>
  <si>
    <t>ТЕР 2-1-1а</t>
  </si>
  <si>
    <t>пр.ТЕР 15-008</t>
  </si>
  <si>
    <t>ТЕР 32-101</t>
  </si>
  <si>
    <t>ТЕР 2-2-1-2-7</t>
  </si>
  <si>
    <t>10 м2</t>
  </si>
  <si>
    <t>пр.ТЕР 14-006</t>
  </si>
  <si>
    <t>Устройство короба в коридоре</t>
  </si>
  <si>
    <t>Подключение и отключение сварочного аппарата</t>
  </si>
  <si>
    <t>ТЕР 33-060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</si>
  <si>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</si>
  <si>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</si>
  <si>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пр.ТЕР 32-101</t>
  </si>
  <si>
    <t>Прогрев XВC</t>
  </si>
  <si>
    <t>пр.ТЕР 31-057</t>
  </si>
  <si>
    <t>Утепление трубопроводов минеральной ватой</t>
  </si>
  <si>
    <t>1 мЗ</t>
  </si>
  <si>
    <t>С учетом показателя инфляции (К=1,094)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</si>
</sst>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4" fontId="1" fillId="4" borderId="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4" fontId="1" fillId="4" borderId="4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1" fillId="8" borderId="1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3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0" borderId="13" xfId="0" applyFont="1" applyBorder="1" applyAlignment="1">
      <alignment horizontal="center" vertical="center" wrapText="1"/>
    </xf>
    <xf numFmtId="0" fontId="17" fillId="0" borderId="0" xfId="0" applyFont="1" applyAlignment="1"/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0" borderId="22" xfId="0" applyFont="1" applyBorder="1"/>
    <xf numFmtId="0" fontId="1" fillId="5" borderId="22" xfId="0" applyFont="1" applyFill="1" applyBorder="1"/>
    <xf numFmtId="0" fontId="1" fillId="4" borderId="23" xfId="0" applyFont="1" applyFill="1" applyBorder="1" applyAlignment="1">
      <alignment horizontal="center" vertical="center"/>
    </xf>
    <xf numFmtId="0" fontId="1" fillId="4" borderId="22" xfId="0" applyFont="1" applyFill="1" applyBorder="1" applyAlignment="1" applyProtection="1">
      <alignment horizontal="center" vertical="center" wrapText="1"/>
    </xf>
    <xf numFmtId="0" fontId="1" fillId="0" borderId="3" xfId="0" applyFont="1" applyBorder="1"/>
    <xf numFmtId="4" fontId="1" fillId="2" borderId="2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17"/>
  <sheetViews>
    <sheetView tabSelected="1" view="pageBreakPreview" zoomScaleNormal="75" zoomScaleSheetLayoutView="100" workbookViewId="0">
      <pane ySplit="7" topLeftCell="A71" activePane="bottomLeft" state="frozen"/>
      <selection activeCell="B1" sqref="B1"/>
      <selection pane="bottomLeft" activeCell="U82" sqref="U82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8" width="10.140625" customWidth="1"/>
    <col min="9" max="20" width="9.85546875" customWidth="1"/>
    <col min="21" max="21" width="12.28515625" customWidth="1"/>
  </cols>
  <sheetData>
    <row r="1" spans="1:21" ht="14.25" customHeight="1">
      <c r="A1" s="149"/>
    </row>
    <row r="3" spans="1:21" ht="18">
      <c r="A3" s="127"/>
      <c r="B3" s="166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69"/>
      <c r="N3" s="69"/>
      <c r="O3" s="69"/>
      <c r="P3" s="69"/>
      <c r="Q3" s="69"/>
      <c r="R3" s="69"/>
      <c r="S3" s="69"/>
      <c r="T3" s="69"/>
      <c r="U3" s="69"/>
    </row>
    <row r="4" spans="1:21" ht="34.5" customHeight="1">
      <c r="A4" s="69"/>
      <c r="B4" s="167" t="s">
        <v>1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69"/>
      <c r="N4" s="69"/>
      <c r="O4" s="69"/>
      <c r="P4" s="69"/>
      <c r="Q4" s="69"/>
      <c r="R4" s="69"/>
      <c r="S4" s="69"/>
      <c r="T4" s="69"/>
      <c r="U4" s="69"/>
    </row>
    <row r="5" spans="1:21" ht="18">
      <c r="A5" s="69"/>
      <c r="B5" s="167" t="s">
        <v>146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69"/>
      <c r="N5" s="69"/>
      <c r="O5" s="69"/>
      <c r="P5" s="69"/>
      <c r="Q5" s="69"/>
      <c r="R5" s="69"/>
      <c r="S5" s="69"/>
      <c r="T5" s="69"/>
      <c r="U5" s="69"/>
    </row>
    <row r="6" spans="1:21" ht="15">
      <c r="A6" s="69"/>
      <c r="B6" s="168" t="s">
        <v>131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69"/>
      <c r="N6" s="69"/>
      <c r="O6" s="69"/>
      <c r="P6" s="69"/>
      <c r="Q6" s="69"/>
      <c r="R6" s="69"/>
      <c r="S6" s="69"/>
      <c r="T6" s="69"/>
      <c r="U6" s="69"/>
    </row>
    <row r="7" spans="1:21" ht="46.5" customHeight="1">
      <c r="A7" s="150" t="s">
        <v>2</v>
      </c>
      <c r="B7" s="151" t="s">
        <v>3</v>
      </c>
      <c r="C7" s="151" t="s">
        <v>4</v>
      </c>
      <c r="D7" s="151" t="s">
        <v>5</v>
      </c>
      <c r="E7" s="151" t="s">
        <v>6</v>
      </c>
      <c r="F7" s="151" t="s">
        <v>7</v>
      </c>
      <c r="G7" s="151" t="s">
        <v>8</v>
      </c>
      <c r="H7" s="152" t="s">
        <v>9</v>
      </c>
      <c r="I7" s="26" t="s">
        <v>114</v>
      </c>
      <c r="J7" s="26" t="s">
        <v>115</v>
      </c>
      <c r="K7" s="26" t="s">
        <v>116</v>
      </c>
      <c r="L7" s="26" t="s">
        <v>117</v>
      </c>
      <c r="M7" s="26" t="s">
        <v>118</v>
      </c>
      <c r="N7" s="26" t="s">
        <v>119</v>
      </c>
      <c r="O7" s="26" t="s">
        <v>120</v>
      </c>
      <c r="P7" s="26" t="s">
        <v>121</v>
      </c>
      <c r="Q7" s="26" t="s">
        <v>122</v>
      </c>
      <c r="R7" s="26" t="s">
        <v>123</v>
      </c>
      <c r="S7" s="26" t="s">
        <v>124</v>
      </c>
      <c r="T7" s="26" t="s">
        <v>125</v>
      </c>
      <c r="U7" s="26" t="s">
        <v>132</v>
      </c>
    </row>
    <row r="8" spans="1:21">
      <c r="A8" s="153">
        <v>1</v>
      </c>
      <c r="B8" s="7">
        <v>2</v>
      </c>
      <c r="C8" s="27">
        <v>3</v>
      </c>
      <c r="D8" s="7">
        <v>4</v>
      </c>
      <c r="E8" s="7">
        <v>5</v>
      </c>
      <c r="F8" s="27">
        <v>6</v>
      </c>
      <c r="G8" s="27">
        <v>7</v>
      </c>
      <c r="H8" s="28">
        <v>8</v>
      </c>
      <c r="I8" s="29">
        <v>9</v>
      </c>
      <c r="J8" s="29">
        <v>10</v>
      </c>
      <c r="K8" s="29">
        <v>11</v>
      </c>
      <c r="L8" s="29">
        <v>12</v>
      </c>
      <c r="M8" s="29">
        <v>13</v>
      </c>
      <c r="N8" s="29">
        <v>14</v>
      </c>
      <c r="O8" s="29">
        <v>15</v>
      </c>
      <c r="P8" s="29">
        <v>16</v>
      </c>
      <c r="Q8" s="29">
        <v>17</v>
      </c>
      <c r="R8" s="29">
        <v>18</v>
      </c>
      <c r="S8" s="29">
        <v>19</v>
      </c>
      <c r="T8" s="29">
        <v>20</v>
      </c>
      <c r="U8" s="29">
        <v>21</v>
      </c>
    </row>
    <row r="9" spans="1:21" ht="38.25">
      <c r="A9" s="153"/>
      <c r="B9" s="9" t="s">
        <v>10</v>
      </c>
      <c r="C9" s="27"/>
      <c r="D9" s="10"/>
      <c r="E9" s="10"/>
      <c r="F9" s="27"/>
      <c r="G9" s="27"/>
      <c r="H9" s="30"/>
      <c r="I9" s="31"/>
      <c r="J9" s="31"/>
      <c r="K9" s="31"/>
      <c r="L9" s="31"/>
      <c r="M9" s="32"/>
      <c r="N9" s="33"/>
      <c r="O9" s="33"/>
      <c r="P9" s="33"/>
      <c r="Q9" s="33"/>
      <c r="R9" s="33"/>
      <c r="S9" s="33"/>
      <c r="T9" s="33"/>
      <c r="U9" s="33"/>
    </row>
    <row r="10" spans="1:21">
      <c r="A10" s="153"/>
      <c r="B10" s="9" t="s">
        <v>11</v>
      </c>
      <c r="C10" s="27"/>
      <c r="D10" s="10"/>
      <c r="E10" s="10"/>
      <c r="F10" s="27"/>
      <c r="G10" s="27"/>
      <c r="H10" s="30"/>
      <c r="I10" s="31"/>
      <c r="J10" s="31"/>
      <c r="K10" s="31"/>
      <c r="L10" s="31"/>
      <c r="M10" s="32"/>
      <c r="N10" s="33"/>
      <c r="O10" s="33"/>
      <c r="P10" s="33"/>
      <c r="Q10" s="33"/>
      <c r="R10" s="33"/>
      <c r="S10" s="33"/>
      <c r="T10" s="33"/>
      <c r="U10" s="33"/>
    </row>
    <row r="11" spans="1:21" ht="25.5">
      <c r="A11" s="153" t="s">
        <v>168</v>
      </c>
      <c r="B11" s="10" t="s">
        <v>12</v>
      </c>
      <c r="C11" s="27" t="s">
        <v>13</v>
      </c>
      <c r="D11" s="10" t="s">
        <v>14</v>
      </c>
      <c r="E11" s="34">
        <v>59.9</v>
      </c>
      <c r="F11" s="35">
        <f>SUM(E11*156/100)</f>
        <v>93.444000000000003</v>
      </c>
      <c r="G11" s="35">
        <v>175.38</v>
      </c>
      <c r="H11" s="36">
        <f t="shared" ref="H11:H20" si="0">SUM(F11*G11/1000)</f>
        <v>16.388208719999998</v>
      </c>
      <c r="I11" s="37">
        <f>F11/12*G11</f>
        <v>1365.68406</v>
      </c>
      <c r="J11" s="37">
        <f>F11/12*G11</f>
        <v>1365.68406</v>
      </c>
      <c r="K11" s="37">
        <f>F11/12*G11</f>
        <v>1365.68406</v>
      </c>
      <c r="L11" s="37">
        <f>F11/12*G11</f>
        <v>1365.68406</v>
      </c>
      <c r="M11" s="37">
        <f>F11/12*G11</f>
        <v>1365.68406</v>
      </c>
      <c r="N11" s="37">
        <f>F11/12*G11</f>
        <v>1365.68406</v>
      </c>
      <c r="O11" s="37">
        <f>F11/12*G11</f>
        <v>1365.68406</v>
      </c>
      <c r="P11" s="37">
        <f>F11/12*G11</f>
        <v>1365.68406</v>
      </c>
      <c r="Q11" s="37">
        <f>F11/12*G11</f>
        <v>1365.68406</v>
      </c>
      <c r="R11" s="37">
        <f>F11/12*G11</f>
        <v>1365.68406</v>
      </c>
      <c r="S11" s="37">
        <f>F11/12*G11</f>
        <v>1365.68406</v>
      </c>
      <c r="T11" s="37">
        <f>F11/12*G11</f>
        <v>1365.68406</v>
      </c>
      <c r="U11" s="37">
        <f>SUM(I11:T11)</f>
        <v>16388.208719999999</v>
      </c>
    </row>
    <row r="12" spans="1:21" ht="25.5">
      <c r="A12" s="153" t="s">
        <v>168</v>
      </c>
      <c r="B12" s="10" t="s">
        <v>15</v>
      </c>
      <c r="C12" s="27" t="s">
        <v>13</v>
      </c>
      <c r="D12" s="10" t="s">
        <v>16</v>
      </c>
      <c r="E12" s="34">
        <v>239.4</v>
      </c>
      <c r="F12" s="35">
        <f>SUM(E12*104/100)</f>
        <v>248.97600000000003</v>
      </c>
      <c r="G12" s="35">
        <v>175.38</v>
      </c>
      <c r="H12" s="36">
        <f t="shared" si="0"/>
        <v>43.665410880000003</v>
      </c>
      <c r="I12" s="37">
        <f>F12/12*G12</f>
        <v>3638.78424</v>
      </c>
      <c r="J12" s="37">
        <f>F12/12*G12</f>
        <v>3638.78424</v>
      </c>
      <c r="K12" s="37">
        <f>F12/12*G12</f>
        <v>3638.78424</v>
      </c>
      <c r="L12" s="37">
        <f>F12/12*G12</f>
        <v>3638.78424</v>
      </c>
      <c r="M12" s="37">
        <f>F12/12*G12</f>
        <v>3638.78424</v>
      </c>
      <c r="N12" s="37">
        <f>F12/12*G12</f>
        <v>3638.78424</v>
      </c>
      <c r="O12" s="37">
        <f>F12/12*G12</f>
        <v>3638.78424</v>
      </c>
      <c r="P12" s="37">
        <f>F12/12*G12</f>
        <v>3638.78424</v>
      </c>
      <c r="Q12" s="37">
        <f>F12/12*G12</f>
        <v>3638.78424</v>
      </c>
      <c r="R12" s="37">
        <f>F12/12*G12</f>
        <v>3638.78424</v>
      </c>
      <c r="S12" s="37">
        <f>F12/12*G12</f>
        <v>3638.78424</v>
      </c>
      <c r="T12" s="37">
        <f>F12/12*G12</f>
        <v>3638.78424</v>
      </c>
      <c r="U12" s="37">
        <f t="shared" ref="U12:U20" si="1">SUM(I12:T12)</f>
        <v>43665.410880000003</v>
      </c>
    </row>
    <row r="13" spans="1:21" ht="25.5">
      <c r="A13" s="153" t="s">
        <v>169</v>
      </c>
      <c r="B13" s="10" t="s">
        <v>17</v>
      </c>
      <c r="C13" s="27" t="s">
        <v>13</v>
      </c>
      <c r="D13" s="10" t="s">
        <v>18</v>
      </c>
      <c r="E13" s="34">
        <f>SUM(E11+E12)</f>
        <v>299.3</v>
      </c>
      <c r="F13" s="35">
        <f>SUM(E13*24/100)</f>
        <v>71.832000000000008</v>
      </c>
      <c r="G13" s="35">
        <v>504.5</v>
      </c>
      <c r="H13" s="36">
        <f t="shared" si="0"/>
        <v>36.239244000000006</v>
      </c>
      <c r="I13" s="37">
        <f>F13/12*G13</f>
        <v>3019.9370000000004</v>
      </c>
      <c r="J13" s="37">
        <f>F13/12*G13</f>
        <v>3019.9370000000004</v>
      </c>
      <c r="K13" s="37">
        <f>F13/12*G13</f>
        <v>3019.9370000000004</v>
      </c>
      <c r="L13" s="37">
        <f>F13/12*G13</f>
        <v>3019.9370000000004</v>
      </c>
      <c r="M13" s="37">
        <f>F13/12*G13</f>
        <v>3019.9370000000004</v>
      </c>
      <c r="N13" s="37">
        <f>F13/12*G13</f>
        <v>3019.9370000000004</v>
      </c>
      <c r="O13" s="37">
        <f>F13/12*G13</f>
        <v>3019.9370000000004</v>
      </c>
      <c r="P13" s="37">
        <f>F13/12*G13</f>
        <v>3019.9370000000004</v>
      </c>
      <c r="Q13" s="37">
        <f>F13/12*G13</f>
        <v>3019.9370000000004</v>
      </c>
      <c r="R13" s="37">
        <f>F13/12*G13</f>
        <v>3019.9370000000004</v>
      </c>
      <c r="S13" s="37">
        <f>F13/12*G13</f>
        <v>3019.9370000000004</v>
      </c>
      <c r="T13" s="37">
        <f>F13/12*G13</f>
        <v>3019.9370000000004</v>
      </c>
      <c r="U13" s="37">
        <f t="shared" si="1"/>
        <v>36239.244000000006</v>
      </c>
    </row>
    <row r="14" spans="1:21">
      <c r="A14" s="153" t="s">
        <v>170</v>
      </c>
      <c r="B14" s="10" t="s">
        <v>19</v>
      </c>
      <c r="C14" s="27" t="s">
        <v>20</v>
      </c>
      <c r="D14" s="147" t="s">
        <v>99</v>
      </c>
      <c r="E14" s="34">
        <v>40</v>
      </c>
      <c r="F14" s="35">
        <f>SUM(E14/10)</f>
        <v>4</v>
      </c>
      <c r="G14" s="35">
        <v>170.16</v>
      </c>
      <c r="H14" s="36">
        <f>SUM(F14*G14/1000)</f>
        <v>0.68064000000000002</v>
      </c>
      <c r="I14" s="37">
        <v>0</v>
      </c>
      <c r="J14" s="37">
        <v>0</v>
      </c>
      <c r="K14" s="37">
        <v>0</v>
      </c>
      <c r="L14" s="37">
        <v>0</v>
      </c>
      <c r="M14" s="37">
        <f>F14/2*G14</f>
        <v>340.32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f t="shared" si="1"/>
        <v>340.32</v>
      </c>
    </row>
    <row r="15" spans="1:21">
      <c r="A15" s="153" t="s">
        <v>171</v>
      </c>
      <c r="B15" s="10" t="s">
        <v>21</v>
      </c>
      <c r="C15" s="27" t="s">
        <v>13</v>
      </c>
      <c r="D15" s="147" t="s">
        <v>33</v>
      </c>
      <c r="E15" s="34">
        <v>10.5</v>
      </c>
      <c r="F15" s="35">
        <f t="shared" ref="F15:F20" si="2">SUM(E15/100)</f>
        <v>0.105</v>
      </c>
      <c r="G15" s="35">
        <v>217.88</v>
      </c>
      <c r="H15" s="36">
        <f t="shared" si="0"/>
        <v>2.2877399999999999E-2</v>
      </c>
      <c r="I15" s="37">
        <v>0</v>
      </c>
      <c r="J15" s="37">
        <v>0</v>
      </c>
      <c r="K15" s="37">
        <v>0</v>
      </c>
      <c r="L15" s="37">
        <v>0</v>
      </c>
      <c r="M15" s="37">
        <f t="shared" ref="M15:M20" si="3">G15*F15</f>
        <v>22.877399999999998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f t="shared" si="1"/>
        <v>22.877399999999998</v>
      </c>
    </row>
    <row r="16" spans="1:21">
      <c r="A16" s="153" t="s">
        <v>172</v>
      </c>
      <c r="B16" s="10" t="s">
        <v>22</v>
      </c>
      <c r="C16" s="27" t="s">
        <v>13</v>
      </c>
      <c r="D16" s="147" t="s">
        <v>33</v>
      </c>
      <c r="E16" s="34">
        <v>2.7</v>
      </c>
      <c r="F16" s="35">
        <f t="shared" si="2"/>
        <v>2.7000000000000003E-2</v>
      </c>
      <c r="G16" s="35">
        <v>203.5</v>
      </c>
      <c r="H16" s="36">
        <f t="shared" si="0"/>
        <v>5.4945000000000003E-3</v>
      </c>
      <c r="I16" s="37">
        <v>0</v>
      </c>
      <c r="J16" s="37">
        <v>0</v>
      </c>
      <c r="K16" s="37">
        <v>0</v>
      </c>
      <c r="L16" s="37">
        <v>0</v>
      </c>
      <c r="M16" s="37">
        <f t="shared" si="3"/>
        <v>5.4945000000000004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f t="shared" si="1"/>
        <v>5.4945000000000004</v>
      </c>
    </row>
    <row r="17" spans="1:21">
      <c r="A17" s="153" t="s">
        <v>173</v>
      </c>
      <c r="B17" s="10" t="s">
        <v>23</v>
      </c>
      <c r="C17" s="27" t="s">
        <v>24</v>
      </c>
      <c r="D17" s="147" t="s">
        <v>99</v>
      </c>
      <c r="E17" s="34">
        <v>357</v>
      </c>
      <c r="F17" s="35">
        <f t="shared" si="2"/>
        <v>3.57</v>
      </c>
      <c r="G17" s="35">
        <v>269.26</v>
      </c>
      <c r="H17" s="36">
        <f t="shared" si="0"/>
        <v>0.96125819999999984</v>
      </c>
      <c r="I17" s="37">
        <v>0</v>
      </c>
      <c r="J17" s="37">
        <v>0</v>
      </c>
      <c r="K17" s="37">
        <v>0</v>
      </c>
      <c r="L17" s="37">
        <v>0</v>
      </c>
      <c r="M17" s="37">
        <f t="shared" si="3"/>
        <v>961.25819999999987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f t="shared" si="1"/>
        <v>961.25819999999987</v>
      </c>
    </row>
    <row r="18" spans="1:21">
      <c r="A18" s="153" t="s">
        <v>174</v>
      </c>
      <c r="B18" s="10" t="s">
        <v>25</v>
      </c>
      <c r="C18" s="27" t="s">
        <v>24</v>
      </c>
      <c r="D18" s="147" t="s">
        <v>99</v>
      </c>
      <c r="E18" s="39">
        <v>38.64</v>
      </c>
      <c r="F18" s="35">
        <f t="shared" si="2"/>
        <v>0.38640000000000002</v>
      </c>
      <c r="G18" s="35">
        <v>44.29</v>
      </c>
      <c r="H18" s="36">
        <f t="shared" si="0"/>
        <v>1.7113655999999998E-2</v>
      </c>
      <c r="I18" s="37">
        <v>0</v>
      </c>
      <c r="J18" s="37">
        <v>0</v>
      </c>
      <c r="K18" s="37">
        <v>0</v>
      </c>
      <c r="L18" s="37">
        <v>0</v>
      </c>
      <c r="M18" s="37">
        <f t="shared" si="3"/>
        <v>17.113655999999999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f t="shared" si="1"/>
        <v>17.113655999999999</v>
      </c>
    </row>
    <row r="19" spans="1:21">
      <c r="A19" s="153" t="s">
        <v>175</v>
      </c>
      <c r="B19" s="10" t="s">
        <v>112</v>
      </c>
      <c r="C19" s="27" t="s">
        <v>24</v>
      </c>
      <c r="D19" s="148" t="s">
        <v>99</v>
      </c>
      <c r="E19" s="40">
        <v>15</v>
      </c>
      <c r="F19" s="41">
        <f t="shared" si="2"/>
        <v>0.15</v>
      </c>
      <c r="G19" s="35">
        <v>389.72</v>
      </c>
      <c r="H19" s="36">
        <f t="shared" ref="H19" si="4">SUM(F19*G19/1000)</f>
        <v>5.8457999999999996E-2</v>
      </c>
      <c r="I19" s="37">
        <v>0</v>
      </c>
      <c r="J19" s="37">
        <v>0</v>
      </c>
      <c r="K19" s="37">
        <v>0</v>
      </c>
      <c r="L19" s="37">
        <v>0</v>
      </c>
      <c r="M19" s="37">
        <f t="shared" si="3"/>
        <v>58.457999999999998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f t="shared" si="1"/>
        <v>58.457999999999998</v>
      </c>
    </row>
    <row r="20" spans="1:21">
      <c r="A20" s="153" t="s">
        <v>176</v>
      </c>
      <c r="B20" s="10" t="s">
        <v>26</v>
      </c>
      <c r="C20" s="27" t="s">
        <v>24</v>
      </c>
      <c r="D20" s="147" t="s">
        <v>99</v>
      </c>
      <c r="E20" s="42">
        <v>6.38</v>
      </c>
      <c r="F20" s="35">
        <f t="shared" si="2"/>
        <v>6.3799999999999996E-2</v>
      </c>
      <c r="G20" s="35">
        <v>520.79999999999995</v>
      </c>
      <c r="H20" s="36">
        <f t="shared" si="0"/>
        <v>3.3227039999999992E-2</v>
      </c>
      <c r="I20" s="37">
        <v>0</v>
      </c>
      <c r="J20" s="37">
        <v>0</v>
      </c>
      <c r="K20" s="37">
        <v>0</v>
      </c>
      <c r="L20" s="37">
        <v>0</v>
      </c>
      <c r="M20" s="37">
        <f t="shared" si="3"/>
        <v>33.227039999999995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f t="shared" si="1"/>
        <v>33.227039999999995</v>
      </c>
    </row>
    <row r="21" spans="1:21" s="18" customFormat="1">
      <c r="A21" s="154"/>
      <c r="B21" s="19" t="s">
        <v>27</v>
      </c>
      <c r="C21" s="43"/>
      <c r="D21" s="19"/>
      <c r="E21" s="44"/>
      <c r="F21" s="45"/>
      <c r="G21" s="45"/>
      <c r="H21" s="46">
        <f>SUM(H11:H20)</f>
        <v>98.071932396000008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>
        <f>SUM(U11:U20)</f>
        <v>97731.612396000011</v>
      </c>
    </row>
    <row r="22" spans="1:21">
      <c r="A22" s="153"/>
      <c r="B22" s="11" t="s">
        <v>28</v>
      </c>
      <c r="C22" s="27"/>
      <c r="D22" s="10"/>
      <c r="E22" s="34"/>
      <c r="F22" s="35"/>
      <c r="G22" s="35"/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1" ht="25.5" customHeight="1">
      <c r="A23" s="153" t="s">
        <v>177</v>
      </c>
      <c r="B23" s="10" t="s">
        <v>149</v>
      </c>
      <c r="C23" s="27" t="s">
        <v>30</v>
      </c>
      <c r="D23" s="10" t="s">
        <v>29</v>
      </c>
      <c r="E23" s="35">
        <v>786.4</v>
      </c>
      <c r="F23" s="35">
        <f>SUM(E23*52/1000)</f>
        <v>40.892799999999994</v>
      </c>
      <c r="G23" s="35">
        <v>155.88999999999999</v>
      </c>
      <c r="H23" s="36">
        <f t="shared" ref="H23:H30" si="5">SUM(F23*G23/1000)</f>
        <v>6.3747785919999984</v>
      </c>
      <c r="I23" s="37">
        <v>0</v>
      </c>
      <c r="J23" s="37">
        <v>0</v>
      </c>
      <c r="K23" s="37">
        <v>0</v>
      </c>
      <c r="L23" s="37">
        <v>0</v>
      </c>
      <c r="M23" s="37">
        <f>F23/6*G23</f>
        <v>1062.4630986666664</v>
      </c>
      <c r="N23" s="37">
        <f>F23/6*G23</f>
        <v>1062.4630986666664</v>
      </c>
      <c r="O23" s="37">
        <f>F23/6*G23</f>
        <v>1062.4630986666664</v>
      </c>
      <c r="P23" s="37">
        <f>F23/6*G23</f>
        <v>1062.4630986666664</v>
      </c>
      <c r="Q23" s="37">
        <f>F23/6*G23</f>
        <v>1062.4630986666664</v>
      </c>
      <c r="R23" s="37">
        <f>F23/6*G23</f>
        <v>1062.4630986666664</v>
      </c>
      <c r="S23" s="37">
        <v>0</v>
      </c>
      <c r="T23" s="37">
        <v>0</v>
      </c>
      <c r="U23" s="37">
        <f>SUM(I23:T23)</f>
        <v>6374.7785919999978</v>
      </c>
    </row>
    <row r="24" spans="1:21" ht="38.25" customHeight="1">
      <c r="A24" s="153" t="s">
        <v>178</v>
      </c>
      <c r="B24" s="10" t="s">
        <v>150</v>
      </c>
      <c r="C24" s="27" t="s">
        <v>30</v>
      </c>
      <c r="D24" s="10" t="s">
        <v>31</v>
      </c>
      <c r="E24" s="35">
        <v>97.33</v>
      </c>
      <c r="F24" s="35">
        <f>SUM(E24*78/1000)</f>
        <v>7.5917399999999997</v>
      </c>
      <c r="G24" s="35">
        <v>258.63</v>
      </c>
      <c r="H24" s="36">
        <f t="shared" si="5"/>
        <v>1.9634517162</v>
      </c>
      <c r="I24" s="37">
        <v>0</v>
      </c>
      <c r="J24" s="37">
        <v>0</v>
      </c>
      <c r="K24" s="37">
        <v>0</v>
      </c>
      <c r="L24" s="37">
        <v>0</v>
      </c>
      <c r="M24" s="37">
        <f>F24/6*G24</f>
        <v>327.24195270000001</v>
      </c>
      <c r="N24" s="37">
        <f>F24/6*G24</f>
        <v>327.24195270000001</v>
      </c>
      <c r="O24" s="37">
        <f>F24/6*G24</f>
        <v>327.24195270000001</v>
      </c>
      <c r="P24" s="37">
        <f>F24/6*G24</f>
        <v>327.24195270000001</v>
      </c>
      <c r="Q24" s="37">
        <f>F24/6*G24</f>
        <v>327.24195270000001</v>
      </c>
      <c r="R24" s="37">
        <f>F24/6*G24</f>
        <v>327.24195270000001</v>
      </c>
      <c r="S24" s="37">
        <v>0</v>
      </c>
      <c r="T24" s="37">
        <v>0</v>
      </c>
      <c r="U24" s="37">
        <f t="shared" ref="U24:U30" si="6">SUM(I24:T24)</f>
        <v>1963.4517162</v>
      </c>
    </row>
    <row r="25" spans="1:21">
      <c r="A25" s="153" t="s">
        <v>179</v>
      </c>
      <c r="B25" s="10" t="s">
        <v>32</v>
      </c>
      <c r="C25" s="27" t="s">
        <v>30</v>
      </c>
      <c r="D25" s="10" t="s">
        <v>33</v>
      </c>
      <c r="E25" s="35">
        <v>786.4</v>
      </c>
      <c r="F25" s="35">
        <f>SUM(E25/1000)</f>
        <v>0.78639999999999999</v>
      </c>
      <c r="G25" s="35">
        <v>3020.33</v>
      </c>
      <c r="H25" s="36">
        <f t="shared" si="5"/>
        <v>2.3751875120000001</v>
      </c>
      <c r="I25" s="37">
        <v>0</v>
      </c>
      <c r="J25" s="37">
        <v>0</v>
      </c>
      <c r="K25" s="37">
        <v>0</v>
      </c>
      <c r="L25" s="37">
        <v>0</v>
      </c>
      <c r="M25" s="37">
        <f>F25*G25</f>
        <v>2375.187512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f t="shared" si="6"/>
        <v>2375.187512</v>
      </c>
    </row>
    <row r="26" spans="1:21">
      <c r="A26" s="153" t="s">
        <v>180</v>
      </c>
      <c r="B26" s="10" t="s">
        <v>34</v>
      </c>
      <c r="C26" s="27" t="s">
        <v>35</v>
      </c>
      <c r="D26" s="10" t="s">
        <v>36</v>
      </c>
      <c r="E26" s="49">
        <v>0.33333333333333331</v>
      </c>
      <c r="F26" s="35">
        <f>155/3</f>
        <v>51.666666666666664</v>
      </c>
      <c r="G26" s="35">
        <v>56.69</v>
      </c>
      <c r="H26" s="36">
        <f>SUM(G26*155/3/1000)</f>
        <v>2.9289833333333331</v>
      </c>
      <c r="I26" s="37">
        <v>0</v>
      </c>
      <c r="J26" s="37">
        <v>0</v>
      </c>
      <c r="K26" s="37">
        <v>0</v>
      </c>
      <c r="L26" s="37">
        <v>0</v>
      </c>
      <c r="M26" s="37">
        <f>F26/6*G26</f>
        <v>488.16388888888883</v>
      </c>
      <c r="N26" s="37">
        <f>F26/6*G26</f>
        <v>488.16388888888883</v>
      </c>
      <c r="O26" s="37">
        <f>F26/6*G26</f>
        <v>488.16388888888883</v>
      </c>
      <c r="P26" s="37">
        <f>F26/6*G26</f>
        <v>488.16388888888883</v>
      </c>
      <c r="Q26" s="37">
        <f>F26/6*G26</f>
        <v>488.16388888888883</v>
      </c>
      <c r="R26" s="37">
        <f>F26/6*G26</f>
        <v>488.16388888888883</v>
      </c>
      <c r="S26" s="37">
        <v>0</v>
      </c>
      <c r="T26" s="37">
        <v>0</v>
      </c>
      <c r="U26" s="37">
        <f t="shared" si="6"/>
        <v>2928.9833333333331</v>
      </c>
    </row>
    <row r="27" spans="1:21" ht="12.75" customHeight="1">
      <c r="A27" s="153" t="s">
        <v>181</v>
      </c>
      <c r="B27" s="10" t="s">
        <v>37</v>
      </c>
      <c r="C27" s="27" t="s">
        <v>38</v>
      </c>
      <c r="D27" s="10" t="s">
        <v>39</v>
      </c>
      <c r="E27" s="50">
        <v>0.1</v>
      </c>
      <c r="F27" s="35">
        <f>SUM(E27*365)</f>
        <v>36.5</v>
      </c>
      <c r="G27" s="35">
        <v>147.03</v>
      </c>
      <c r="H27" s="36">
        <f t="shared" si="5"/>
        <v>5.3665950000000002</v>
      </c>
      <c r="I27" s="37">
        <f>F27/12*G27</f>
        <v>447.21625</v>
      </c>
      <c r="J27" s="37">
        <f>F27/12*G27</f>
        <v>447.21625</v>
      </c>
      <c r="K27" s="37">
        <f>F27/12*G27</f>
        <v>447.21625</v>
      </c>
      <c r="L27" s="37">
        <f>F27/12*G27</f>
        <v>447.21625</v>
      </c>
      <c r="M27" s="37">
        <f>F27/12*G27</f>
        <v>447.21625</v>
      </c>
      <c r="N27" s="37">
        <f>F27/12*G27</f>
        <v>447.21625</v>
      </c>
      <c r="O27" s="37">
        <f>F27/12*G27</f>
        <v>447.21625</v>
      </c>
      <c r="P27" s="37">
        <f>F27/12*G27</f>
        <v>447.21625</v>
      </c>
      <c r="Q27" s="37">
        <f>F27/12*G27</f>
        <v>447.21625</v>
      </c>
      <c r="R27" s="37">
        <f>F27/12*G27</f>
        <v>447.21625</v>
      </c>
      <c r="S27" s="37">
        <f>F27/12*G27</f>
        <v>447.21625</v>
      </c>
      <c r="T27" s="37">
        <f>F27/12*G27</f>
        <v>447.21625</v>
      </c>
      <c r="U27" s="37">
        <f t="shared" si="6"/>
        <v>5366.5950000000012</v>
      </c>
    </row>
    <row r="28" spans="1:21" ht="12.75" customHeight="1">
      <c r="A28" s="153" t="s">
        <v>182</v>
      </c>
      <c r="B28" s="10" t="s">
        <v>151</v>
      </c>
      <c r="C28" s="27" t="s">
        <v>38</v>
      </c>
      <c r="D28" s="10" t="s">
        <v>40</v>
      </c>
      <c r="E28" s="34"/>
      <c r="F28" s="35">
        <v>3</v>
      </c>
      <c r="G28" s="35">
        <v>191.32</v>
      </c>
      <c r="H28" s="36">
        <f t="shared" si="5"/>
        <v>0.57396000000000003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f t="shared" si="6"/>
        <v>0</v>
      </c>
    </row>
    <row r="29" spans="1:21" ht="12.75" customHeight="1">
      <c r="A29" s="153" t="s">
        <v>128</v>
      </c>
      <c r="B29" s="10" t="s">
        <v>41</v>
      </c>
      <c r="C29" s="27" t="s">
        <v>42</v>
      </c>
      <c r="D29" s="10" t="s">
        <v>40</v>
      </c>
      <c r="E29" s="34"/>
      <c r="F29" s="35">
        <v>2</v>
      </c>
      <c r="G29" s="35">
        <v>1136.33</v>
      </c>
      <c r="H29" s="36">
        <f t="shared" si="5"/>
        <v>2.2726599999999997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f t="shared" si="6"/>
        <v>0</v>
      </c>
    </row>
    <row r="30" spans="1:21">
      <c r="A30" s="153"/>
      <c r="B30" s="51" t="s">
        <v>43</v>
      </c>
      <c r="C30" s="27" t="s">
        <v>44</v>
      </c>
      <c r="D30" s="51" t="s">
        <v>45</v>
      </c>
      <c r="E30" s="34">
        <v>3181</v>
      </c>
      <c r="F30" s="35">
        <f>SUM(E30*12)</f>
        <v>38172</v>
      </c>
      <c r="G30" s="35">
        <v>4.95</v>
      </c>
      <c r="H30" s="36">
        <f t="shared" si="5"/>
        <v>188.95140000000001</v>
      </c>
      <c r="I30" s="37">
        <f>F30/12*G30</f>
        <v>15745.95</v>
      </c>
      <c r="J30" s="37">
        <f>F30/12*G30</f>
        <v>15745.95</v>
      </c>
      <c r="K30" s="37">
        <f>F30/12*G30</f>
        <v>15745.95</v>
      </c>
      <c r="L30" s="37">
        <f>F30/12*G30</f>
        <v>15745.95</v>
      </c>
      <c r="M30" s="37">
        <f>F30/12*G30</f>
        <v>15745.95</v>
      </c>
      <c r="N30" s="37">
        <f>F30/12*G30</f>
        <v>15745.95</v>
      </c>
      <c r="O30" s="37">
        <f>F30/12*G30</f>
        <v>15745.95</v>
      </c>
      <c r="P30" s="37">
        <f>F30/12*G30</f>
        <v>15745.95</v>
      </c>
      <c r="Q30" s="37">
        <f>F30/12*G30</f>
        <v>15745.95</v>
      </c>
      <c r="R30" s="37">
        <f>F30/12*G30</f>
        <v>15745.95</v>
      </c>
      <c r="S30" s="37">
        <f>F30/12*G30</f>
        <v>15745.95</v>
      </c>
      <c r="T30" s="37">
        <f>F30/12*G30</f>
        <v>15745.95</v>
      </c>
      <c r="U30" s="37">
        <f t="shared" si="6"/>
        <v>188951.40000000002</v>
      </c>
    </row>
    <row r="31" spans="1:21" s="18" customFormat="1">
      <c r="A31" s="154"/>
      <c r="B31" s="19" t="s">
        <v>27</v>
      </c>
      <c r="C31" s="43"/>
      <c r="D31" s="19"/>
      <c r="E31" s="44"/>
      <c r="F31" s="45"/>
      <c r="G31" s="45"/>
      <c r="H31" s="52">
        <f>SUM(H23:H30)</f>
        <v>210.80701615353334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>
        <f>SUM(U23:U30)</f>
        <v>207960.39615353337</v>
      </c>
    </row>
    <row r="32" spans="1:21">
      <c r="A32" s="153"/>
      <c r="B32" s="11" t="s">
        <v>46</v>
      </c>
      <c r="C32" s="27"/>
      <c r="D32" s="10"/>
      <c r="E32" s="34"/>
      <c r="F32" s="35"/>
      <c r="G32" s="35"/>
      <c r="H32" s="36" t="s">
        <v>45</v>
      </c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ht="12.75" customHeight="1">
      <c r="A33" s="153" t="s">
        <v>128</v>
      </c>
      <c r="B33" s="12" t="s">
        <v>47</v>
      </c>
      <c r="C33" s="27" t="s">
        <v>42</v>
      </c>
      <c r="D33" s="10"/>
      <c r="E33" s="34"/>
      <c r="F33" s="35">
        <v>8</v>
      </c>
      <c r="G33" s="35">
        <v>1527.22</v>
      </c>
      <c r="H33" s="36">
        <f t="shared" ref="H33:H40" si="7">SUM(F33*G33/1000)</f>
        <v>12.21776</v>
      </c>
      <c r="I33" s="37">
        <f>F33/6*G33</f>
        <v>2036.2933333333333</v>
      </c>
      <c r="J33" s="37">
        <f>F33/6*G33</f>
        <v>2036.2933333333333</v>
      </c>
      <c r="K33" s="37">
        <f>F33/6*G33</f>
        <v>2036.2933333333333</v>
      </c>
      <c r="L33" s="37">
        <f>F33/6*G33</f>
        <v>2036.2933333333333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f>F33/6*G33</f>
        <v>2036.2933333333333</v>
      </c>
      <c r="T33" s="37">
        <f>F33/6*G33</f>
        <v>2036.2933333333333</v>
      </c>
      <c r="U33" s="37">
        <f>SUM(I33:T33)</f>
        <v>12217.76</v>
      </c>
    </row>
    <row r="34" spans="1:21">
      <c r="A34" s="155" t="s">
        <v>183</v>
      </c>
      <c r="B34" s="12" t="s">
        <v>108</v>
      </c>
      <c r="C34" s="54" t="s">
        <v>48</v>
      </c>
      <c r="D34" s="10" t="s">
        <v>107</v>
      </c>
      <c r="E34" s="34">
        <v>485.66</v>
      </c>
      <c r="F34" s="53">
        <f>E34*12/1000</f>
        <v>5.8279199999999998</v>
      </c>
      <c r="G34" s="35">
        <v>2102.71</v>
      </c>
      <c r="H34" s="36">
        <f>G34*F34/1000</f>
        <v>12.254425663199999</v>
      </c>
      <c r="I34" s="37">
        <f>F34/6*G34</f>
        <v>2042.4042772</v>
      </c>
      <c r="J34" s="37">
        <f>F34/6*G34</f>
        <v>2042.4042772</v>
      </c>
      <c r="K34" s="37">
        <f>F34/6*G34</f>
        <v>2042.4042772</v>
      </c>
      <c r="L34" s="37">
        <f>F34/6*G34</f>
        <v>2042.4042772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f>F34/6*G34</f>
        <v>2042.4042772</v>
      </c>
      <c r="T34" s="37">
        <f>F34/6*G34</f>
        <v>2042.4042772</v>
      </c>
      <c r="U34" s="37">
        <f t="shared" ref="U34:U40" si="8">SUM(I34:T34)</f>
        <v>12254.4256632</v>
      </c>
    </row>
    <row r="35" spans="1:21" ht="25.5">
      <c r="A35" s="155" t="s">
        <v>183</v>
      </c>
      <c r="B35" s="12" t="s">
        <v>152</v>
      </c>
      <c r="C35" s="54" t="s">
        <v>48</v>
      </c>
      <c r="D35" s="10" t="s">
        <v>106</v>
      </c>
      <c r="E35" s="34">
        <v>97.33</v>
      </c>
      <c r="F35" s="53">
        <f>E35*30/1000</f>
        <v>2.9199000000000002</v>
      </c>
      <c r="G35" s="35">
        <v>2102.71</v>
      </c>
      <c r="H35" s="36">
        <f>G35*F35/1000</f>
        <v>6.1397029290000003</v>
      </c>
      <c r="I35" s="37">
        <f>F35/6*G35</f>
        <v>1023.2838215</v>
      </c>
      <c r="J35" s="37">
        <f>F35/6*G35</f>
        <v>1023.2838215</v>
      </c>
      <c r="K35" s="37">
        <f>F35/6*G35</f>
        <v>1023.2838215</v>
      </c>
      <c r="L35" s="37">
        <f>F35/6*G35</f>
        <v>1023.2838215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f>F35/6*G35</f>
        <v>1023.2838215</v>
      </c>
      <c r="T35" s="37">
        <f>F35/6*G35</f>
        <v>1023.2838215</v>
      </c>
      <c r="U35" s="37">
        <f t="shared" si="8"/>
        <v>6139.702929</v>
      </c>
    </row>
    <row r="36" spans="1:21">
      <c r="A36" s="153" t="s">
        <v>128</v>
      </c>
      <c r="B36" s="10" t="s">
        <v>105</v>
      </c>
      <c r="C36" s="27" t="s">
        <v>69</v>
      </c>
      <c r="D36" s="10" t="s">
        <v>40</v>
      </c>
      <c r="E36" s="34"/>
      <c r="F36" s="53">
        <v>100</v>
      </c>
      <c r="G36" s="35">
        <v>213.2</v>
      </c>
      <c r="H36" s="36">
        <f>G36*F36/1000</f>
        <v>21.32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f t="shared" si="8"/>
        <v>0</v>
      </c>
    </row>
    <row r="37" spans="1:21" ht="24.75" customHeight="1">
      <c r="A37" s="153" t="s">
        <v>184</v>
      </c>
      <c r="B37" s="10" t="s">
        <v>153</v>
      </c>
      <c r="C37" s="27" t="s">
        <v>48</v>
      </c>
      <c r="D37" s="10" t="s">
        <v>49</v>
      </c>
      <c r="E37" s="35">
        <v>97.33</v>
      </c>
      <c r="F37" s="53">
        <f>SUM(E37*155/1000)</f>
        <v>15.08615</v>
      </c>
      <c r="G37" s="35">
        <v>350.75</v>
      </c>
      <c r="H37" s="36">
        <f t="shared" si="7"/>
        <v>5.2914671124999995</v>
      </c>
      <c r="I37" s="37">
        <f>F37/6*G37</f>
        <v>881.91118541666674</v>
      </c>
      <c r="J37" s="37">
        <f>F37/6*G37</f>
        <v>881.91118541666674</v>
      </c>
      <c r="K37" s="37">
        <f>F37/6*G37</f>
        <v>881.91118541666674</v>
      </c>
      <c r="L37" s="37">
        <f>F37/6*G37</f>
        <v>881.91118541666674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f>F37/6*G37</f>
        <v>881.91118541666674</v>
      </c>
      <c r="T37" s="37">
        <f>F37/6*G37</f>
        <v>881.91118541666674</v>
      </c>
      <c r="U37" s="37">
        <f t="shared" si="8"/>
        <v>5291.4671125000004</v>
      </c>
    </row>
    <row r="38" spans="1:21" ht="51" customHeight="1">
      <c r="A38" s="153" t="s">
        <v>185</v>
      </c>
      <c r="B38" s="10" t="s">
        <v>154</v>
      </c>
      <c r="C38" s="27" t="s">
        <v>30</v>
      </c>
      <c r="D38" s="10" t="s">
        <v>109</v>
      </c>
      <c r="E38" s="35">
        <v>97.33</v>
      </c>
      <c r="F38" s="53">
        <f>SUM(E38*24/1000)</f>
        <v>2.3359200000000002</v>
      </c>
      <c r="G38" s="35">
        <v>5803.28</v>
      </c>
      <c r="H38" s="36">
        <f t="shared" si="7"/>
        <v>13.5559978176</v>
      </c>
      <c r="I38" s="37">
        <f>F38/6*G38</f>
        <v>2259.3329696000001</v>
      </c>
      <c r="J38" s="37">
        <f>F38/6*G38</f>
        <v>2259.3329696000001</v>
      </c>
      <c r="K38" s="37">
        <f>F38/6*G38</f>
        <v>2259.3329696000001</v>
      </c>
      <c r="L38" s="37">
        <f>F38/6*G38</f>
        <v>2259.3329696000001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f>F38/6*G38</f>
        <v>2259.3329696000001</v>
      </c>
      <c r="T38" s="37">
        <f>F38/6*G38</f>
        <v>2259.3329696000001</v>
      </c>
      <c r="U38" s="37">
        <f t="shared" si="8"/>
        <v>13555.9978176</v>
      </c>
    </row>
    <row r="39" spans="1:21" ht="12.75" customHeight="1">
      <c r="A39" s="153" t="s">
        <v>186</v>
      </c>
      <c r="B39" s="10" t="s">
        <v>155</v>
      </c>
      <c r="C39" s="27" t="s">
        <v>30</v>
      </c>
      <c r="D39" s="10" t="s">
        <v>50</v>
      </c>
      <c r="E39" s="35">
        <v>97.33</v>
      </c>
      <c r="F39" s="53">
        <f>SUM(E39*45/1000)</f>
        <v>4.3798500000000002</v>
      </c>
      <c r="G39" s="35">
        <v>428.7</v>
      </c>
      <c r="H39" s="36">
        <f t="shared" si="7"/>
        <v>1.8776416950000001</v>
      </c>
      <c r="I39" s="37">
        <f>F39/6*G39</f>
        <v>312.94028250000002</v>
      </c>
      <c r="J39" s="37">
        <f>F39/6*G39</f>
        <v>312.94028250000002</v>
      </c>
      <c r="K39" s="37">
        <f>F39/6*G39</f>
        <v>312.94028250000002</v>
      </c>
      <c r="L39" s="37">
        <f>F39/6*G39</f>
        <v>312.94028250000002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f>F39/6*G39</f>
        <v>312.94028250000002</v>
      </c>
      <c r="T39" s="37">
        <f>F39/6*G39</f>
        <v>312.94028250000002</v>
      </c>
      <c r="U39" s="37">
        <f t="shared" si="8"/>
        <v>1877.641695</v>
      </c>
    </row>
    <row r="40" spans="1:21" s="1" customFormat="1">
      <c r="A40" s="155"/>
      <c r="B40" s="12" t="s">
        <v>156</v>
      </c>
      <c r="C40" s="54" t="s">
        <v>38</v>
      </c>
      <c r="D40" s="12"/>
      <c r="E40" s="50"/>
      <c r="F40" s="53">
        <v>0.8</v>
      </c>
      <c r="G40" s="53">
        <v>798</v>
      </c>
      <c r="H40" s="36">
        <f t="shared" si="7"/>
        <v>0.63840000000000008</v>
      </c>
      <c r="I40" s="55">
        <f>F40/6*G40</f>
        <v>106.39999999999999</v>
      </c>
      <c r="J40" s="55">
        <f>F40/6*G40</f>
        <v>106.39999999999999</v>
      </c>
      <c r="K40" s="55">
        <f>F40/6*G40</f>
        <v>106.39999999999999</v>
      </c>
      <c r="L40" s="55">
        <f>F40/6*G40</f>
        <v>106.39999999999999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f>F40/6*G40</f>
        <v>106.39999999999999</v>
      </c>
      <c r="T40" s="55">
        <f>F40/6*G40</f>
        <v>106.39999999999999</v>
      </c>
      <c r="U40" s="37">
        <f t="shared" si="8"/>
        <v>638.4</v>
      </c>
    </row>
    <row r="41" spans="1:21" s="18" customFormat="1">
      <c r="A41" s="154"/>
      <c r="B41" s="19" t="s">
        <v>27</v>
      </c>
      <c r="C41" s="43"/>
      <c r="D41" s="19"/>
      <c r="E41" s="44"/>
      <c r="F41" s="45" t="s">
        <v>45</v>
      </c>
      <c r="G41" s="45"/>
      <c r="H41" s="52">
        <f>SUM(H33:H40)</f>
        <v>73.295395217299998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>
        <f>SUM(U33:U40)</f>
        <v>51975.3952173</v>
      </c>
    </row>
    <row r="42" spans="1:21">
      <c r="A42" s="153"/>
      <c r="B42" s="13" t="s">
        <v>51</v>
      </c>
      <c r="C42" s="27"/>
      <c r="D42" s="10"/>
      <c r="E42" s="34"/>
      <c r="F42" s="35"/>
      <c r="G42" s="35"/>
      <c r="H42" s="36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>
      <c r="A43" s="153" t="s">
        <v>187</v>
      </c>
      <c r="B43" s="10" t="s">
        <v>157</v>
      </c>
      <c r="C43" s="27" t="s">
        <v>30</v>
      </c>
      <c r="D43" s="10" t="s">
        <v>52</v>
      </c>
      <c r="E43" s="34">
        <v>1114.25</v>
      </c>
      <c r="F43" s="35">
        <f>SUM(E43*2/1000)</f>
        <v>2.2284999999999999</v>
      </c>
      <c r="G43" s="56">
        <v>910.17</v>
      </c>
      <c r="H43" s="36">
        <f t="shared" ref="H43:H53" si="9">SUM(F43*G43/1000)</f>
        <v>2.028313845</v>
      </c>
      <c r="I43" s="37">
        <v>0</v>
      </c>
      <c r="J43" s="37">
        <v>0</v>
      </c>
      <c r="K43" s="37">
        <v>0</v>
      </c>
      <c r="L43" s="37">
        <v>0</v>
      </c>
      <c r="M43" s="37">
        <f>F43/2*G43</f>
        <v>1014.1569225</v>
      </c>
      <c r="N43" s="37">
        <v>0</v>
      </c>
      <c r="O43" s="37">
        <v>0</v>
      </c>
      <c r="P43" s="37">
        <v>0</v>
      </c>
      <c r="Q43" s="37">
        <f>F43/2*G43</f>
        <v>1014.1569225</v>
      </c>
      <c r="R43" s="37">
        <v>0</v>
      </c>
      <c r="S43" s="37">
        <v>0</v>
      </c>
      <c r="T43" s="37">
        <v>0</v>
      </c>
      <c r="U43" s="37">
        <f>SUM(I43:T43)</f>
        <v>2028.3138449999999</v>
      </c>
    </row>
    <row r="44" spans="1:21">
      <c r="A44" s="153" t="s">
        <v>188</v>
      </c>
      <c r="B44" s="10" t="s">
        <v>53</v>
      </c>
      <c r="C44" s="27" t="s">
        <v>30</v>
      </c>
      <c r="D44" s="10" t="s">
        <v>52</v>
      </c>
      <c r="E44" s="34">
        <v>37</v>
      </c>
      <c r="F44" s="35">
        <f>E44*2/1000</f>
        <v>7.3999999999999996E-2</v>
      </c>
      <c r="G44" s="56">
        <v>579.48</v>
      </c>
      <c r="H44" s="36">
        <f t="shared" si="9"/>
        <v>4.2881519999999999E-2</v>
      </c>
      <c r="I44" s="37">
        <v>0</v>
      </c>
      <c r="J44" s="37">
        <v>0</v>
      </c>
      <c r="K44" s="37">
        <v>0</v>
      </c>
      <c r="L44" s="37">
        <v>0</v>
      </c>
      <c r="M44" s="37">
        <f t="shared" ref="M44:M47" si="10">F44/2*G44</f>
        <v>21.440760000000001</v>
      </c>
      <c r="N44" s="37">
        <v>0</v>
      </c>
      <c r="O44" s="37">
        <v>0</v>
      </c>
      <c r="P44" s="37">
        <v>0</v>
      </c>
      <c r="Q44" s="37">
        <f>F44/2*G44</f>
        <v>21.440760000000001</v>
      </c>
      <c r="R44" s="37">
        <v>0</v>
      </c>
      <c r="S44" s="37">
        <v>0</v>
      </c>
      <c r="T44" s="37">
        <v>0</v>
      </c>
      <c r="U44" s="37">
        <f t="shared" ref="U44:U53" si="11">SUM(I44:T44)</f>
        <v>42.881520000000002</v>
      </c>
    </row>
    <row r="45" spans="1:21" ht="12.75" customHeight="1">
      <c r="A45" s="153" t="s">
        <v>189</v>
      </c>
      <c r="B45" s="10" t="s">
        <v>54</v>
      </c>
      <c r="C45" s="27" t="s">
        <v>30</v>
      </c>
      <c r="D45" s="10" t="s">
        <v>52</v>
      </c>
      <c r="E45" s="34">
        <v>2631</v>
      </c>
      <c r="F45" s="35">
        <f>SUM(E45*2/1000)</f>
        <v>5.2619999999999996</v>
      </c>
      <c r="G45" s="56">
        <v>579.48</v>
      </c>
      <c r="H45" s="36">
        <f t="shared" si="9"/>
        <v>3.0492237599999998</v>
      </c>
      <c r="I45" s="37">
        <v>0</v>
      </c>
      <c r="J45" s="37">
        <v>0</v>
      </c>
      <c r="K45" s="37">
        <v>0</v>
      </c>
      <c r="L45" s="37">
        <v>0</v>
      </c>
      <c r="M45" s="37">
        <f t="shared" si="10"/>
        <v>1524.6118799999999</v>
      </c>
      <c r="N45" s="37">
        <v>0</v>
      </c>
      <c r="O45" s="37">
        <v>0</v>
      </c>
      <c r="P45" s="37">
        <v>0</v>
      </c>
      <c r="Q45" s="37">
        <f>F45/2*G45</f>
        <v>1524.6118799999999</v>
      </c>
      <c r="R45" s="37">
        <v>0</v>
      </c>
      <c r="S45" s="37">
        <v>0</v>
      </c>
      <c r="T45" s="37">
        <v>0</v>
      </c>
      <c r="U45" s="37">
        <f t="shared" si="11"/>
        <v>3049.2237599999999</v>
      </c>
    </row>
    <row r="46" spans="1:21">
      <c r="A46" s="153" t="s">
        <v>190</v>
      </c>
      <c r="B46" s="10" t="s">
        <v>55</v>
      </c>
      <c r="C46" s="27" t="s">
        <v>30</v>
      </c>
      <c r="D46" s="10" t="s">
        <v>52</v>
      </c>
      <c r="E46" s="34">
        <v>1953.8</v>
      </c>
      <c r="F46" s="35">
        <f>SUM(E46*2/1000)</f>
        <v>3.9076</v>
      </c>
      <c r="G46" s="56">
        <v>606.77</v>
      </c>
      <c r="H46" s="36">
        <f t="shared" si="9"/>
        <v>2.3710144519999998</v>
      </c>
      <c r="I46" s="37">
        <v>0</v>
      </c>
      <c r="J46" s="37">
        <v>0</v>
      </c>
      <c r="K46" s="37">
        <v>0</v>
      </c>
      <c r="L46" s="37">
        <v>0</v>
      </c>
      <c r="M46" s="37">
        <f t="shared" si="10"/>
        <v>1185.5072259999999</v>
      </c>
      <c r="N46" s="37">
        <v>0</v>
      </c>
      <c r="O46" s="37">
        <v>0</v>
      </c>
      <c r="P46" s="37">
        <v>0</v>
      </c>
      <c r="Q46" s="37">
        <f>F46/2*G46</f>
        <v>1185.5072259999999</v>
      </c>
      <c r="R46" s="37">
        <v>0</v>
      </c>
      <c r="S46" s="37">
        <v>0</v>
      </c>
      <c r="T46" s="37">
        <v>0</v>
      </c>
      <c r="U46" s="37">
        <f t="shared" si="11"/>
        <v>2371.0144519999999</v>
      </c>
    </row>
    <row r="47" spans="1:21">
      <c r="A47" s="153" t="s">
        <v>191</v>
      </c>
      <c r="B47" s="10" t="s">
        <v>113</v>
      </c>
      <c r="C47" s="27" t="s">
        <v>158</v>
      </c>
      <c r="D47" s="10" t="s">
        <v>52</v>
      </c>
      <c r="E47" s="34">
        <v>91.84</v>
      </c>
      <c r="F47" s="35">
        <f>SUM(E47*2/100)</f>
        <v>1.8368</v>
      </c>
      <c r="G47" s="56">
        <v>72.81</v>
      </c>
      <c r="H47" s="36">
        <f t="shared" ref="H47" si="12">SUM(F47*G47/1000)</f>
        <v>0.13373740800000003</v>
      </c>
      <c r="I47" s="37">
        <v>0</v>
      </c>
      <c r="J47" s="37">
        <v>0</v>
      </c>
      <c r="K47" s="37">
        <v>0</v>
      </c>
      <c r="L47" s="37">
        <v>0</v>
      </c>
      <c r="M47" s="37">
        <f t="shared" si="10"/>
        <v>66.868704000000008</v>
      </c>
      <c r="N47" s="37">
        <v>0</v>
      </c>
      <c r="O47" s="37">
        <v>0</v>
      </c>
      <c r="P47" s="37">
        <v>0</v>
      </c>
      <c r="Q47" s="37">
        <f>F47/2*G47</f>
        <v>66.868704000000008</v>
      </c>
      <c r="R47" s="37">
        <v>0</v>
      </c>
      <c r="S47" s="37">
        <v>0</v>
      </c>
      <c r="T47" s="37">
        <v>0</v>
      </c>
      <c r="U47" s="37">
        <f t="shared" si="11"/>
        <v>133.73740800000002</v>
      </c>
    </row>
    <row r="48" spans="1:21" ht="25.5">
      <c r="A48" s="153" t="s">
        <v>192</v>
      </c>
      <c r="B48" s="10" t="s">
        <v>56</v>
      </c>
      <c r="C48" s="27" t="s">
        <v>30</v>
      </c>
      <c r="D48" s="10" t="s">
        <v>57</v>
      </c>
      <c r="E48" s="34">
        <v>891.4</v>
      </c>
      <c r="F48" s="35">
        <f>SUM(E48*5/1000)</f>
        <v>4.4569999999999999</v>
      </c>
      <c r="G48" s="56">
        <v>1213.55</v>
      </c>
      <c r="H48" s="36">
        <f t="shared" si="9"/>
        <v>5.4087923499999997</v>
      </c>
      <c r="I48" s="37">
        <f>F48/5*G48</f>
        <v>1081.75847</v>
      </c>
      <c r="J48" s="37">
        <f>F48/5*G48</f>
        <v>1081.75847</v>
      </c>
      <c r="K48" s="37">
        <v>0</v>
      </c>
      <c r="L48" s="37">
        <v>0</v>
      </c>
      <c r="M48" s="37">
        <f>F48/5*G48</f>
        <v>1081.75847</v>
      </c>
      <c r="N48" s="37">
        <v>0</v>
      </c>
      <c r="O48" s="37">
        <v>0</v>
      </c>
      <c r="P48" s="37">
        <v>0</v>
      </c>
      <c r="Q48" s="37">
        <f>F48/5*G48</f>
        <v>1081.75847</v>
      </c>
      <c r="R48" s="37">
        <v>0</v>
      </c>
      <c r="S48" s="37">
        <v>0</v>
      </c>
      <c r="T48" s="37">
        <f>F48/5*G48</f>
        <v>1081.75847</v>
      </c>
      <c r="U48" s="37">
        <f t="shared" si="11"/>
        <v>5408.7923499999997</v>
      </c>
    </row>
    <row r="49" spans="1:21" ht="38.25" customHeight="1">
      <c r="A49" s="153" t="s">
        <v>193</v>
      </c>
      <c r="B49" s="10" t="s">
        <v>58</v>
      </c>
      <c r="C49" s="27" t="s">
        <v>30</v>
      </c>
      <c r="D49" s="10" t="s">
        <v>52</v>
      </c>
      <c r="E49" s="34">
        <v>891.4</v>
      </c>
      <c r="F49" s="35">
        <f>SUM(E49*2/1000)</f>
        <v>1.7827999999999999</v>
      </c>
      <c r="G49" s="56">
        <v>1213.55</v>
      </c>
      <c r="H49" s="36">
        <f t="shared" si="9"/>
        <v>2.1635169400000001</v>
      </c>
      <c r="I49" s="37">
        <v>0</v>
      </c>
      <c r="J49" s="37">
        <v>0</v>
      </c>
      <c r="K49" s="37">
        <v>0</v>
      </c>
      <c r="L49" s="37">
        <f>F49/2*G49</f>
        <v>1081.75847</v>
      </c>
      <c r="M49" s="37">
        <v>0</v>
      </c>
      <c r="N49" s="37">
        <v>0</v>
      </c>
      <c r="O49" s="37">
        <v>0</v>
      </c>
      <c r="P49" s="37">
        <v>0</v>
      </c>
      <c r="Q49" s="37">
        <f>F49/2*G49</f>
        <v>1081.75847</v>
      </c>
      <c r="R49" s="37">
        <v>0</v>
      </c>
      <c r="S49" s="37">
        <v>0</v>
      </c>
      <c r="T49" s="37">
        <v>0</v>
      </c>
      <c r="U49" s="37">
        <f t="shared" si="11"/>
        <v>2163.51694</v>
      </c>
    </row>
    <row r="50" spans="1:21" ht="25.5" customHeight="1">
      <c r="A50" s="153" t="s">
        <v>194</v>
      </c>
      <c r="B50" s="10" t="s">
        <v>59</v>
      </c>
      <c r="C50" s="27" t="s">
        <v>60</v>
      </c>
      <c r="D50" s="10" t="s">
        <v>52</v>
      </c>
      <c r="E50" s="34">
        <v>20</v>
      </c>
      <c r="F50" s="35">
        <f>SUM(E50*2/100)</f>
        <v>0.4</v>
      </c>
      <c r="G50" s="56">
        <v>2730.49</v>
      </c>
      <c r="H50" s="36">
        <f t="shared" si="9"/>
        <v>1.0921959999999999</v>
      </c>
      <c r="I50" s="37">
        <v>0</v>
      </c>
      <c r="J50" s="37">
        <v>0</v>
      </c>
      <c r="K50" s="37">
        <v>0</v>
      </c>
      <c r="L50" s="37">
        <f>F50/2*G50</f>
        <v>546.09799999999996</v>
      </c>
      <c r="M50" s="37">
        <v>0</v>
      </c>
      <c r="N50" s="37">
        <v>0</v>
      </c>
      <c r="O50" s="37">
        <v>0</v>
      </c>
      <c r="P50" s="37">
        <v>0</v>
      </c>
      <c r="Q50" s="37">
        <f>F50/2*G50</f>
        <v>546.09799999999996</v>
      </c>
      <c r="R50" s="37">
        <v>0</v>
      </c>
      <c r="S50" s="37">
        <v>0</v>
      </c>
      <c r="T50" s="37">
        <v>0</v>
      </c>
      <c r="U50" s="37">
        <f t="shared" si="11"/>
        <v>1092.1959999999999</v>
      </c>
    </row>
    <row r="51" spans="1:21">
      <c r="A51" s="153" t="s">
        <v>195</v>
      </c>
      <c r="B51" s="10" t="s">
        <v>61</v>
      </c>
      <c r="C51" s="27" t="s">
        <v>62</v>
      </c>
      <c r="D51" s="10" t="s">
        <v>52</v>
      </c>
      <c r="E51" s="34">
        <v>1</v>
      </c>
      <c r="F51" s="35">
        <v>0.02</v>
      </c>
      <c r="G51" s="56">
        <v>5652.13</v>
      </c>
      <c r="H51" s="36">
        <f t="shared" si="9"/>
        <v>0.11304260000000001</v>
      </c>
      <c r="I51" s="37">
        <v>0</v>
      </c>
      <c r="J51" s="37">
        <v>0</v>
      </c>
      <c r="K51" s="37">
        <f>F51/2*G51</f>
        <v>56.521300000000004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f>F51/2*G51</f>
        <v>56.521300000000004</v>
      </c>
      <c r="R51" s="37">
        <v>0</v>
      </c>
      <c r="S51" s="37">
        <v>0</v>
      </c>
      <c r="T51" s="37">
        <v>0</v>
      </c>
      <c r="U51" s="37">
        <f t="shared" si="11"/>
        <v>113.04260000000001</v>
      </c>
    </row>
    <row r="52" spans="1:21">
      <c r="A52" s="153" t="s">
        <v>110</v>
      </c>
      <c r="B52" s="10" t="s">
        <v>111</v>
      </c>
      <c r="C52" s="27" t="s">
        <v>63</v>
      </c>
      <c r="D52" s="10" t="s">
        <v>126</v>
      </c>
      <c r="E52" s="34">
        <v>70</v>
      </c>
      <c r="F52" s="35">
        <f>E52*3</f>
        <v>210</v>
      </c>
      <c r="G52" s="56">
        <v>141.12</v>
      </c>
      <c r="H52" s="36">
        <f>F52*G52/1000</f>
        <v>29.635200000000001</v>
      </c>
      <c r="I52" s="37">
        <f>E52*G52</f>
        <v>9878.4</v>
      </c>
      <c r="J52" s="37">
        <v>0</v>
      </c>
      <c r="K52" s="37">
        <v>0</v>
      </c>
      <c r="L52" s="37">
        <f>I52</f>
        <v>9878.4</v>
      </c>
      <c r="M52" s="37">
        <v>0</v>
      </c>
      <c r="N52" s="37">
        <v>0</v>
      </c>
      <c r="O52" s="37">
        <v>0</v>
      </c>
      <c r="P52" s="37">
        <f>E52*G52</f>
        <v>9878.4</v>
      </c>
      <c r="Q52" s="37">
        <v>0</v>
      </c>
      <c r="R52" s="37">
        <v>0</v>
      </c>
      <c r="S52" s="37">
        <v>0</v>
      </c>
      <c r="T52" s="37">
        <v>0</v>
      </c>
      <c r="U52" s="37">
        <f t="shared" si="11"/>
        <v>29635.199999999997</v>
      </c>
    </row>
    <row r="53" spans="1:21" ht="13.5" customHeight="1">
      <c r="A53" s="153" t="s">
        <v>64</v>
      </c>
      <c r="B53" s="10" t="s">
        <v>65</v>
      </c>
      <c r="C53" s="27" t="s">
        <v>63</v>
      </c>
      <c r="D53" s="10" t="s">
        <v>126</v>
      </c>
      <c r="E53" s="34">
        <v>140</v>
      </c>
      <c r="F53" s="35">
        <f>SUM(E53)</f>
        <v>140</v>
      </c>
      <c r="G53" s="57">
        <v>65.67</v>
      </c>
      <c r="H53" s="36">
        <f t="shared" si="9"/>
        <v>9.1938000000000013</v>
      </c>
      <c r="I53" s="37">
        <f>E53*G53</f>
        <v>9193.8000000000011</v>
      </c>
      <c r="J53" s="37">
        <v>0</v>
      </c>
      <c r="K53" s="37">
        <v>0</v>
      </c>
      <c r="L53" s="37">
        <f>I53</f>
        <v>9193.8000000000011</v>
      </c>
      <c r="M53" s="37">
        <v>0</v>
      </c>
      <c r="N53" s="37">
        <v>0</v>
      </c>
      <c r="O53" s="37">
        <v>0</v>
      </c>
      <c r="P53" s="37">
        <f>E53*G53</f>
        <v>9193.8000000000011</v>
      </c>
      <c r="Q53" s="37">
        <v>0</v>
      </c>
      <c r="R53" s="37">
        <v>0</v>
      </c>
      <c r="S53" s="37">
        <v>0</v>
      </c>
      <c r="T53" s="37">
        <v>0</v>
      </c>
      <c r="U53" s="37">
        <f t="shared" si="11"/>
        <v>27581.4</v>
      </c>
    </row>
    <row r="54" spans="1:21" s="20" customFormat="1">
      <c r="A54" s="154"/>
      <c r="B54" s="19" t="s">
        <v>27</v>
      </c>
      <c r="C54" s="58"/>
      <c r="D54" s="19"/>
      <c r="E54" s="59"/>
      <c r="F54" s="60"/>
      <c r="G54" s="60"/>
      <c r="H54" s="52">
        <f>SUM(H43:H53)</f>
        <v>55.231718875000006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>
        <f>SUM(U43:U53)</f>
        <v>73619.318874999997</v>
      </c>
    </row>
    <row r="55" spans="1:21">
      <c r="A55" s="153"/>
      <c r="B55" s="11" t="s">
        <v>66</v>
      </c>
      <c r="C55" s="27"/>
      <c r="D55" s="10"/>
      <c r="E55" s="34"/>
      <c r="F55" s="35"/>
      <c r="G55" s="35"/>
      <c r="H55" s="36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ht="38.25" customHeight="1">
      <c r="A56" s="153" t="s">
        <v>196</v>
      </c>
      <c r="B56" s="10" t="s">
        <v>159</v>
      </c>
      <c r="C56" s="27" t="s">
        <v>13</v>
      </c>
      <c r="D56" s="10" t="s">
        <v>67</v>
      </c>
      <c r="E56" s="34">
        <v>123.43</v>
      </c>
      <c r="F56" s="35">
        <f>SUM(E56*6/100)</f>
        <v>7.4058000000000002</v>
      </c>
      <c r="G56" s="56">
        <v>1547.28</v>
      </c>
      <c r="H56" s="36">
        <f>SUM(F56*G56/1000)</f>
        <v>11.458846224</v>
      </c>
      <c r="I56" s="37">
        <f>F56/6*G56</f>
        <v>1909.8077039999998</v>
      </c>
      <c r="J56" s="37">
        <f>F56/6*G56</f>
        <v>1909.8077039999998</v>
      </c>
      <c r="K56" s="37">
        <f>F56/6*G56</f>
        <v>1909.8077039999998</v>
      </c>
      <c r="L56" s="37">
        <f>F56/6*G56</f>
        <v>1909.8077039999998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f>F56/6*G56</f>
        <v>1909.8077039999998</v>
      </c>
      <c r="T56" s="37">
        <f>F56/6*G56</f>
        <v>1909.8077039999998</v>
      </c>
      <c r="U56" s="37">
        <f>SUM(I56:T56)</f>
        <v>11458.846223999997</v>
      </c>
    </row>
    <row r="57" spans="1:21" ht="12.75" customHeight="1">
      <c r="A57" s="156"/>
      <c r="B57" s="24" t="s">
        <v>68</v>
      </c>
      <c r="C57" s="62"/>
      <c r="D57" s="23"/>
      <c r="E57" s="63"/>
      <c r="F57" s="64"/>
      <c r="G57" s="56"/>
      <c r="H57" s="65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ht="12.75" customHeight="1">
      <c r="A58" s="156" t="s">
        <v>197</v>
      </c>
      <c r="B58" s="23" t="s">
        <v>160</v>
      </c>
      <c r="C58" s="62" t="s">
        <v>24</v>
      </c>
      <c r="D58" s="23" t="s">
        <v>33</v>
      </c>
      <c r="E58" s="63">
        <v>891.4</v>
      </c>
      <c r="F58" s="64">
        <v>8.9</v>
      </c>
      <c r="G58" s="56">
        <v>747.3</v>
      </c>
      <c r="H58" s="65">
        <f>F58*G58/1000</f>
        <v>6.65097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f>SUM(I58:T58)</f>
        <v>0</v>
      </c>
    </row>
    <row r="59" spans="1:21">
      <c r="A59" s="156"/>
      <c r="B59" s="14" t="s">
        <v>70</v>
      </c>
      <c r="C59" s="62"/>
      <c r="D59" s="23"/>
      <c r="E59" s="63"/>
      <c r="F59" s="66"/>
      <c r="G59" s="66"/>
      <c r="H59" s="64" t="s">
        <v>45</v>
      </c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2.75" customHeight="1">
      <c r="A60" s="67" t="s">
        <v>198</v>
      </c>
      <c r="B60" s="15" t="s">
        <v>71</v>
      </c>
      <c r="C60" s="67" t="s">
        <v>63</v>
      </c>
      <c r="D60" s="8" t="s">
        <v>40</v>
      </c>
      <c r="E60" s="40">
        <v>15</v>
      </c>
      <c r="F60" s="35">
        <v>15</v>
      </c>
      <c r="G60" s="56">
        <v>222.4</v>
      </c>
      <c r="H60" s="133">
        <f t="shared" ref="H60:H73" si="13">SUM(F60*G60/1000)</f>
        <v>3.3359999999999999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f>G60*3</f>
        <v>667.2</v>
      </c>
      <c r="R60" s="37">
        <v>0</v>
      </c>
      <c r="S60" s="37">
        <f>G60*3</f>
        <v>667.2</v>
      </c>
      <c r="T60" s="37">
        <v>0</v>
      </c>
      <c r="U60" s="37">
        <f>SUM(I60:T60)</f>
        <v>1334.4</v>
      </c>
    </row>
    <row r="61" spans="1:21" ht="12.75" customHeight="1">
      <c r="A61" s="67" t="s">
        <v>199</v>
      </c>
      <c r="B61" s="15" t="s">
        <v>72</v>
      </c>
      <c r="C61" s="67" t="s">
        <v>63</v>
      </c>
      <c r="D61" s="8" t="s">
        <v>40</v>
      </c>
      <c r="E61" s="40">
        <v>5</v>
      </c>
      <c r="F61" s="35">
        <v>5</v>
      </c>
      <c r="G61" s="56">
        <v>76.25</v>
      </c>
      <c r="H61" s="133">
        <f t="shared" si="13"/>
        <v>0.38124999999999998</v>
      </c>
      <c r="I61" s="37">
        <f>G61</f>
        <v>76.25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f t="shared" ref="U61:U67" si="14">SUM(I61:T61)</f>
        <v>76.25</v>
      </c>
    </row>
    <row r="62" spans="1:21" s="1" customFormat="1">
      <c r="A62" s="68" t="s">
        <v>200</v>
      </c>
      <c r="B62" s="15" t="s">
        <v>73</v>
      </c>
      <c r="C62" s="68" t="s">
        <v>74</v>
      </c>
      <c r="D62" s="8" t="s">
        <v>33</v>
      </c>
      <c r="E62" s="34">
        <v>12702</v>
      </c>
      <c r="F62" s="57">
        <f>SUM(E62/100)</f>
        <v>127.02</v>
      </c>
      <c r="G62" s="56">
        <v>212.15</v>
      </c>
      <c r="H62" s="133">
        <f t="shared" si="13"/>
        <v>26.947293000000002</v>
      </c>
      <c r="I62" s="55">
        <v>0</v>
      </c>
      <c r="J62" s="55">
        <v>0</v>
      </c>
      <c r="K62" s="55">
        <v>0</v>
      </c>
      <c r="L62" s="55">
        <v>0</v>
      </c>
      <c r="M62" s="55">
        <f>F62*G62</f>
        <v>26947.293000000001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37">
        <f t="shared" si="14"/>
        <v>26947.293000000001</v>
      </c>
    </row>
    <row r="63" spans="1:21" ht="12.75" customHeight="1">
      <c r="A63" s="67" t="s">
        <v>201</v>
      </c>
      <c r="B63" s="15" t="s">
        <v>75</v>
      </c>
      <c r="C63" s="67" t="s">
        <v>76</v>
      </c>
      <c r="D63" s="8"/>
      <c r="E63" s="34">
        <v>12702</v>
      </c>
      <c r="F63" s="56">
        <f>SUM(E63/1000)</f>
        <v>12.702</v>
      </c>
      <c r="G63" s="56">
        <v>165.21</v>
      </c>
      <c r="H63" s="133">
        <f t="shared" si="13"/>
        <v>2.0984974200000002</v>
      </c>
      <c r="I63" s="37">
        <v>0</v>
      </c>
      <c r="J63" s="37">
        <v>0</v>
      </c>
      <c r="K63" s="37">
        <v>0</v>
      </c>
      <c r="L63" s="37">
        <v>0</v>
      </c>
      <c r="M63" s="37">
        <f>F63*G63</f>
        <v>2098.4974200000001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f t="shared" si="14"/>
        <v>2098.4974200000001</v>
      </c>
    </row>
    <row r="64" spans="1:21">
      <c r="A64" s="67" t="s">
        <v>202</v>
      </c>
      <c r="B64" s="15" t="s">
        <v>77</v>
      </c>
      <c r="C64" s="67" t="s">
        <v>78</v>
      </c>
      <c r="D64" s="8" t="s">
        <v>33</v>
      </c>
      <c r="E64" s="34">
        <v>2184</v>
      </c>
      <c r="F64" s="56">
        <f>SUM(E64/100)</f>
        <v>21.84</v>
      </c>
      <c r="G64" s="56">
        <v>2074.63</v>
      </c>
      <c r="H64" s="133">
        <f t="shared" si="13"/>
        <v>45.309919200000003</v>
      </c>
      <c r="I64" s="37">
        <v>0</v>
      </c>
      <c r="J64" s="37">
        <v>0</v>
      </c>
      <c r="K64" s="37">
        <v>0</v>
      </c>
      <c r="L64" s="37">
        <v>0</v>
      </c>
      <c r="M64" s="37">
        <f>F64*G64</f>
        <v>45309.919200000004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f t="shared" si="14"/>
        <v>45309.919200000004</v>
      </c>
    </row>
    <row r="65" spans="1:27">
      <c r="A65" s="67"/>
      <c r="B65" s="16" t="s">
        <v>100</v>
      </c>
      <c r="C65" s="67" t="s">
        <v>38</v>
      </c>
      <c r="D65" s="8"/>
      <c r="E65" s="34">
        <v>11.6</v>
      </c>
      <c r="F65" s="56">
        <f>SUM(E65)</f>
        <v>11.6</v>
      </c>
      <c r="G65" s="56">
        <v>42.67</v>
      </c>
      <c r="H65" s="133">
        <f t="shared" si="13"/>
        <v>0.49497199999999997</v>
      </c>
      <c r="I65" s="37">
        <v>0</v>
      </c>
      <c r="J65" s="37">
        <v>0</v>
      </c>
      <c r="K65" s="37">
        <v>0</v>
      </c>
      <c r="L65" s="37">
        <v>0</v>
      </c>
      <c r="M65" s="37">
        <f>F65*G65</f>
        <v>494.97199999999998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f t="shared" si="14"/>
        <v>494.97199999999998</v>
      </c>
    </row>
    <row r="66" spans="1:27" ht="12.75" customHeight="1">
      <c r="A66" s="157"/>
      <c r="B66" s="16" t="s">
        <v>101</v>
      </c>
      <c r="C66" s="67" t="s">
        <v>38</v>
      </c>
      <c r="D66" s="8"/>
      <c r="E66" s="34">
        <v>11.6</v>
      </c>
      <c r="F66" s="56">
        <f>SUM(E66)</f>
        <v>11.6</v>
      </c>
      <c r="G66" s="56">
        <v>39.81</v>
      </c>
      <c r="H66" s="133">
        <f t="shared" si="13"/>
        <v>0.46179599999999998</v>
      </c>
      <c r="I66" s="37">
        <v>0</v>
      </c>
      <c r="J66" s="37">
        <v>0</v>
      </c>
      <c r="K66" s="37">
        <v>0</v>
      </c>
      <c r="L66" s="37">
        <v>0</v>
      </c>
      <c r="M66" s="37">
        <f>F66*G66</f>
        <v>461.79599999999999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f t="shared" si="14"/>
        <v>461.79599999999999</v>
      </c>
    </row>
    <row r="67" spans="1:27">
      <c r="A67" s="67" t="s">
        <v>203</v>
      </c>
      <c r="B67" s="8" t="s">
        <v>79</v>
      </c>
      <c r="C67" s="67" t="s">
        <v>80</v>
      </c>
      <c r="D67" s="8" t="s">
        <v>33</v>
      </c>
      <c r="E67" s="40">
        <v>5</v>
      </c>
      <c r="F67" s="35">
        <v>5</v>
      </c>
      <c r="G67" s="56">
        <v>49.88</v>
      </c>
      <c r="H67" s="133">
        <f t="shared" si="13"/>
        <v>0.24940000000000001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f>F67*G67</f>
        <v>249.4</v>
      </c>
      <c r="R67" s="37">
        <v>0</v>
      </c>
      <c r="S67" s="37">
        <v>0</v>
      </c>
      <c r="T67" s="37">
        <v>0</v>
      </c>
      <c r="U67" s="37">
        <f t="shared" si="14"/>
        <v>249.4</v>
      </c>
    </row>
    <row r="68" spans="1:27">
      <c r="A68" s="157"/>
      <c r="B68" s="17" t="s">
        <v>81</v>
      </c>
      <c r="C68" s="67"/>
      <c r="D68" s="8"/>
      <c r="E68" s="40"/>
      <c r="F68" s="56"/>
      <c r="G68" s="56"/>
      <c r="H68" s="133" t="s">
        <v>45</v>
      </c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7">
      <c r="A69" s="67" t="s">
        <v>204</v>
      </c>
      <c r="B69" s="8" t="s">
        <v>82</v>
      </c>
      <c r="C69" s="67" t="s">
        <v>83</v>
      </c>
      <c r="D69" s="8"/>
      <c r="E69" s="40">
        <v>5</v>
      </c>
      <c r="F69" s="56">
        <v>0.5</v>
      </c>
      <c r="G69" s="56">
        <v>501.62</v>
      </c>
      <c r="H69" s="133">
        <f t="shared" si="13"/>
        <v>0.25080999999999998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f>SUM(I69:T69)</f>
        <v>0</v>
      </c>
    </row>
    <row r="70" spans="1:27">
      <c r="A70" s="67" t="s">
        <v>205</v>
      </c>
      <c r="B70" s="8" t="s">
        <v>102</v>
      </c>
      <c r="C70" s="67" t="s">
        <v>35</v>
      </c>
      <c r="D70" s="8"/>
      <c r="E70" s="40">
        <v>1</v>
      </c>
      <c r="F70" s="70">
        <v>1</v>
      </c>
      <c r="G70" s="56">
        <v>852.99</v>
      </c>
      <c r="H70" s="133">
        <f>F70*G70/1000</f>
        <v>0.85299000000000003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f t="shared" ref="U70:U71" si="15">SUM(I70:T70)</f>
        <v>0</v>
      </c>
    </row>
    <row r="71" spans="1:27">
      <c r="A71" s="67" t="s">
        <v>206</v>
      </c>
      <c r="B71" s="8" t="s">
        <v>104</v>
      </c>
      <c r="C71" s="67" t="s">
        <v>35</v>
      </c>
      <c r="D71" s="8"/>
      <c r="E71" s="40">
        <v>1</v>
      </c>
      <c r="F71" s="56">
        <v>1</v>
      </c>
      <c r="G71" s="56">
        <v>358.51</v>
      </c>
      <c r="H71" s="133">
        <f>G71*F71/1000</f>
        <v>0.35851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f t="shared" si="15"/>
        <v>0</v>
      </c>
    </row>
    <row r="72" spans="1:27">
      <c r="A72" s="157"/>
      <c r="B72" s="71" t="s">
        <v>84</v>
      </c>
      <c r="C72" s="67"/>
      <c r="D72" s="8"/>
      <c r="E72" s="40"/>
      <c r="F72" s="56"/>
      <c r="G72" s="56" t="s">
        <v>45</v>
      </c>
      <c r="H72" s="133" t="s">
        <v>45</v>
      </c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7" s="1" customFormat="1">
      <c r="A73" s="68" t="s">
        <v>85</v>
      </c>
      <c r="B73" s="72" t="s">
        <v>86</v>
      </c>
      <c r="C73" s="68" t="s">
        <v>78</v>
      </c>
      <c r="D73" s="15"/>
      <c r="E73" s="73"/>
      <c r="F73" s="57">
        <v>1</v>
      </c>
      <c r="G73" s="57">
        <v>2579.44</v>
      </c>
      <c r="H73" s="133">
        <f t="shared" si="13"/>
        <v>2.57944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37">
        <f>SUM(I73:T73)</f>
        <v>0</v>
      </c>
    </row>
    <row r="74" spans="1:27" s="20" customFormat="1">
      <c r="A74" s="158"/>
      <c r="B74" s="19" t="s">
        <v>27</v>
      </c>
      <c r="C74" s="74"/>
      <c r="D74" s="75"/>
      <c r="E74" s="76"/>
      <c r="F74" s="61"/>
      <c r="G74" s="61"/>
      <c r="H74" s="77">
        <f>SUM(H56:H73)</f>
        <v>101.43069384400002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>
        <f>SUM(U56:U73)</f>
        <v>88431.373844000002</v>
      </c>
    </row>
    <row r="75" spans="1:27">
      <c r="A75" s="159" t="s">
        <v>133</v>
      </c>
      <c r="B75" s="10" t="s">
        <v>134</v>
      </c>
      <c r="C75" s="79"/>
      <c r="D75" s="80"/>
      <c r="E75" s="132"/>
      <c r="F75" s="81">
        <v>1</v>
      </c>
      <c r="G75" s="82">
        <v>21433.599999999999</v>
      </c>
      <c r="H75" s="133">
        <f>G75*F75/1000</f>
        <v>21.433599999999998</v>
      </c>
      <c r="I75" s="37">
        <v>0</v>
      </c>
      <c r="J75" s="37">
        <f>G75</f>
        <v>21433.599999999999</v>
      </c>
      <c r="K75" s="37">
        <v>0</v>
      </c>
      <c r="L75" s="37">
        <v>0</v>
      </c>
      <c r="M75" s="38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f>SUM(I75:T75)</f>
        <v>21433.599999999999</v>
      </c>
    </row>
    <row r="76" spans="1:27" ht="12.75" customHeight="1">
      <c r="A76" s="67"/>
      <c r="B76" s="78" t="s">
        <v>87</v>
      </c>
      <c r="C76" s="67" t="s">
        <v>88</v>
      </c>
      <c r="D76" s="83"/>
      <c r="E76" s="56">
        <v>3181</v>
      </c>
      <c r="F76" s="56">
        <f>SUM(E76*12)</f>
        <v>38172</v>
      </c>
      <c r="G76" s="84">
        <v>2.1</v>
      </c>
      <c r="H76" s="133">
        <f>SUM(F76*G76/1000)</f>
        <v>80.161199999999994</v>
      </c>
      <c r="I76" s="37">
        <f>F76/12*G76</f>
        <v>6680.1</v>
      </c>
      <c r="J76" s="37">
        <f>F76/12*G76</f>
        <v>6680.1</v>
      </c>
      <c r="K76" s="37">
        <f>F76/12*G76</f>
        <v>6680.1</v>
      </c>
      <c r="L76" s="37">
        <f>F76/12*G76</f>
        <v>6680.1</v>
      </c>
      <c r="M76" s="37">
        <f>F76/12*G76</f>
        <v>6680.1</v>
      </c>
      <c r="N76" s="37">
        <f>F76/12*G76</f>
        <v>6680.1</v>
      </c>
      <c r="O76" s="37">
        <f>F76/12*G76</f>
        <v>6680.1</v>
      </c>
      <c r="P76" s="37">
        <f>F76/12*G76</f>
        <v>6680.1</v>
      </c>
      <c r="Q76" s="37">
        <f>F76/12*G76</f>
        <v>6680.1</v>
      </c>
      <c r="R76" s="37">
        <f>F76/12*G76</f>
        <v>6680.1</v>
      </c>
      <c r="S76" s="37">
        <f>F76/12*G76</f>
        <v>6680.1</v>
      </c>
      <c r="T76" s="37">
        <f>F76/12*G76</f>
        <v>6680.1</v>
      </c>
      <c r="U76" s="37">
        <f>SUM(I76:T76)</f>
        <v>80161.200000000012</v>
      </c>
      <c r="X76" s="170"/>
      <c r="Y76" s="170"/>
      <c r="Z76" s="170"/>
      <c r="AA76" s="170"/>
    </row>
    <row r="77" spans="1:27" s="18" customFormat="1">
      <c r="A77" s="85"/>
      <c r="B77" s="19" t="s">
        <v>27</v>
      </c>
      <c r="C77" s="86"/>
      <c r="D77" s="87"/>
      <c r="E77" s="88"/>
      <c r="F77" s="47"/>
      <c r="G77" s="89"/>
      <c r="H77" s="48">
        <f>SUM(H75:H76)</f>
        <v>101.59479999999999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>
        <f>SUM(U75:U76)</f>
        <v>101594.80000000002</v>
      </c>
    </row>
    <row r="78" spans="1:27" ht="25.5" customHeight="1">
      <c r="A78" s="157"/>
      <c r="B78" s="8" t="s">
        <v>89</v>
      </c>
      <c r="C78" s="67"/>
      <c r="D78" s="90"/>
      <c r="E78" s="34">
        <f>E76</f>
        <v>3181</v>
      </c>
      <c r="F78" s="56">
        <f>E78*12</f>
        <v>38172</v>
      </c>
      <c r="G78" s="56">
        <v>1.63</v>
      </c>
      <c r="H78" s="133">
        <f>F78*G78/1000</f>
        <v>62.220359999999992</v>
      </c>
      <c r="I78" s="37">
        <f>F78/12*G78</f>
        <v>5185.03</v>
      </c>
      <c r="J78" s="37">
        <f>F78/12*G78</f>
        <v>5185.03</v>
      </c>
      <c r="K78" s="37">
        <f>F78/12*G78</f>
        <v>5185.03</v>
      </c>
      <c r="L78" s="37">
        <f>F78/12*G78</f>
        <v>5185.03</v>
      </c>
      <c r="M78" s="37">
        <f>F78/12*G78</f>
        <v>5185.03</v>
      </c>
      <c r="N78" s="37">
        <f>F78/12*G78</f>
        <v>5185.03</v>
      </c>
      <c r="O78" s="37">
        <f>F78/12*G78</f>
        <v>5185.03</v>
      </c>
      <c r="P78" s="37">
        <f>F78/12*G78</f>
        <v>5185.03</v>
      </c>
      <c r="Q78" s="37">
        <f>F78/12*G78</f>
        <v>5185.03</v>
      </c>
      <c r="R78" s="37">
        <f>F78/12*G78</f>
        <v>5185.03</v>
      </c>
      <c r="S78" s="37">
        <f>F78/12*G78</f>
        <v>5185.03</v>
      </c>
      <c r="T78" s="37">
        <f>F78/12*G78</f>
        <v>5185.03</v>
      </c>
      <c r="U78" s="37">
        <f>SUM(I78:T78)</f>
        <v>62220.359999999993</v>
      </c>
    </row>
    <row r="79" spans="1:27" s="18" customFormat="1">
      <c r="A79" s="85"/>
      <c r="B79" s="91" t="s">
        <v>90</v>
      </c>
      <c r="C79" s="92"/>
      <c r="D79" s="91"/>
      <c r="E79" s="47"/>
      <c r="F79" s="47"/>
      <c r="G79" s="47"/>
      <c r="H79" s="77">
        <f>H78</f>
        <v>62.220359999999992</v>
      </c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128">
        <f>U78</f>
        <v>62220.359999999993</v>
      </c>
    </row>
    <row r="80" spans="1:27" s="18" customFormat="1">
      <c r="A80" s="85"/>
      <c r="B80" s="91" t="s">
        <v>91</v>
      </c>
      <c r="C80" s="93"/>
      <c r="D80" s="94"/>
      <c r="E80" s="95"/>
      <c r="F80" s="95"/>
      <c r="G80" s="95"/>
      <c r="H80" s="77">
        <f>SUM(H79+H77+H74+H54+H41+H31+H21)</f>
        <v>702.65191648583334</v>
      </c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128">
        <f>SUM(U79+U77+U74+U54+U41+U31+U21)*1.094</f>
        <v>747785.38259550172</v>
      </c>
    </row>
    <row r="81" spans="1:21" s="125" customFormat="1" ht="51" customHeight="1">
      <c r="A81" s="160"/>
      <c r="B81" s="71"/>
      <c r="C81" s="67"/>
      <c r="D81" s="90"/>
      <c r="E81" s="56"/>
      <c r="F81" s="56"/>
      <c r="G81" s="56"/>
      <c r="H81" s="124"/>
      <c r="I81" s="56"/>
      <c r="J81" s="56"/>
      <c r="K81" s="56"/>
      <c r="L81" s="56"/>
      <c r="M81" s="56"/>
      <c r="N81" s="56"/>
      <c r="O81" s="56"/>
      <c r="P81" s="56"/>
      <c r="Q81" s="56"/>
      <c r="R81" s="135"/>
      <c r="S81" s="135"/>
      <c r="T81" s="135"/>
      <c r="U81" s="134" t="s">
        <v>226</v>
      </c>
    </row>
    <row r="82" spans="1:21">
      <c r="A82" s="161"/>
      <c r="B82" s="90" t="s">
        <v>92</v>
      </c>
      <c r="C82" s="67"/>
      <c r="D82" s="90"/>
      <c r="E82" s="56"/>
      <c r="F82" s="56"/>
      <c r="G82" s="56" t="s">
        <v>93</v>
      </c>
      <c r="H82" s="96">
        <f>E78</f>
        <v>3181</v>
      </c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1:21" s="18" customFormat="1">
      <c r="A83" s="85"/>
      <c r="B83" s="94" t="s">
        <v>94</v>
      </c>
      <c r="C83" s="93"/>
      <c r="D83" s="94"/>
      <c r="E83" s="95"/>
      <c r="F83" s="95"/>
      <c r="G83" s="95"/>
      <c r="H83" s="97">
        <f>SUM(H80/H82/12*1000)</f>
        <v>18.4075216516251</v>
      </c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129"/>
    </row>
    <row r="84" spans="1:21">
      <c r="A84" s="98"/>
      <c r="B84" s="90"/>
      <c r="C84" s="67"/>
      <c r="D84" s="90"/>
      <c r="E84" s="56"/>
      <c r="F84" s="56"/>
      <c r="G84" s="56"/>
      <c r="H84" s="99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130"/>
    </row>
    <row r="85" spans="1:21">
      <c r="A85" s="157"/>
      <c r="B85" s="71" t="s">
        <v>95</v>
      </c>
      <c r="C85" s="67"/>
      <c r="D85" s="90"/>
      <c r="E85" s="56"/>
      <c r="F85" s="56"/>
      <c r="G85" s="56"/>
      <c r="H85" s="56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1:21" ht="25.5">
      <c r="A86" s="139" t="s">
        <v>207</v>
      </c>
      <c r="B86" s="140" t="s">
        <v>127</v>
      </c>
      <c r="C86" s="25" t="s">
        <v>63</v>
      </c>
      <c r="D86" s="100"/>
      <c r="E86" s="39"/>
      <c r="F86" s="101">
        <v>7</v>
      </c>
      <c r="G86" s="102">
        <v>79.09</v>
      </c>
      <c r="H86" s="56">
        <f>F86*G86/1000</f>
        <v>0.55362999999999996</v>
      </c>
      <c r="I86" s="103">
        <f>G86*3</f>
        <v>237.27</v>
      </c>
      <c r="J86" s="103">
        <v>0</v>
      </c>
      <c r="K86" s="103">
        <v>0</v>
      </c>
      <c r="L86" s="103">
        <f>G86</f>
        <v>79.09</v>
      </c>
      <c r="M86" s="103">
        <v>0</v>
      </c>
      <c r="N86" s="103">
        <f>G86*2</f>
        <v>158.18</v>
      </c>
      <c r="O86" s="103">
        <v>0</v>
      </c>
      <c r="P86" s="103">
        <v>0</v>
      </c>
      <c r="Q86" s="103">
        <v>0</v>
      </c>
      <c r="R86" s="103">
        <f>G86</f>
        <v>79.09</v>
      </c>
      <c r="S86" s="103">
        <v>0</v>
      </c>
      <c r="T86" s="103">
        <v>0</v>
      </c>
      <c r="U86" s="37">
        <f>SUM(I86:T86)</f>
        <v>553.63</v>
      </c>
    </row>
    <row r="87" spans="1:21" ht="25.5">
      <c r="A87" s="141" t="s">
        <v>208</v>
      </c>
      <c r="B87" s="137" t="s">
        <v>145</v>
      </c>
      <c r="C87" s="138" t="s">
        <v>83</v>
      </c>
      <c r="D87" s="8"/>
      <c r="E87" s="40"/>
      <c r="F87" s="56">
        <f>1/10</f>
        <v>0.1</v>
      </c>
      <c r="G87" s="56">
        <v>6204.06</v>
      </c>
      <c r="H87" s="56">
        <f>F87*G87/1000</f>
        <v>0.62040600000000001</v>
      </c>
      <c r="I87" s="103">
        <f>G87*F87</f>
        <v>620.40600000000006</v>
      </c>
      <c r="J87" s="103">
        <v>0</v>
      </c>
      <c r="K87" s="103">
        <v>0</v>
      </c>
      <c r="L87" s="103">
        <v>0</v>
      </c>
      <c r="M87" s="103">
        <v>0</v>
      </c>
      <c r="N87" s="103">
        <v>0</v>
      </c>
      <c r="O87" s="103">
        <v>0</v>
      </c>
      <c r="P87" s="103">
        <v>0</v>
      </c>
      <c r="Q87" s="103">
        <v>0</v>
      </c>
      <c r="R87" s="103">
        <v>0</v>
      </c>
      <c r="S87" s="103">
        <v>0</v>
      </c>
      <c r="T87" s="103">
        <v>0</v>
      </c>
      <c r="U87" s="37">
        <f>SUM(I87:T87)</f>
        <v>620.40600000000006</v>
      </c>
    </row>
    <row r="88" spans="1:21">
      <c r="A88" s="142" t="s">
        <v>128</v>
      </c>
      <c r="B88" s="140" t="s">
        <v>129</v>
      </c>
      <c r="C88" s="25" t="s">
        <v>130</v>
      </c>
      <c r="D88" s="8"/>
      <c r="E88" s="40"/>
      <c r="F88" s="56">
        <v>6</v>
      </c>
      <c r="G88" s="56">
        <v>1501</v>
      </c>
      <c r="H88" s="133">
        <f t="shared" ref="H88:H100" si="16">G88*F88/1000</f>
        <v>9.0060000000000002</v>
      </c>
      <c r="I88" s="103">
        <v>0</v>
      </c>
      <c r="J88" s="103">
        <f>G88*4</f>
        <v>6004</v>
      </c>
      <c r="K88" s="103">
        <f>G88*2</f>
        <v>3002</v>
      </c>
      <c r="L88" s="103">
        <v>0</v>
      </c>
      <c r="M88" s="103">
        <v>0</v>
      </c>
      <c r="N88" s="103">
        <v>0</v>
      </c>
      <c r="O88" s="103">
        <v>0</v>
      </c>
      <c r="P88" s="103">
        <v>0</v>
      </c>
      <c r="Q88" s="103">
        <v>0</v>
      </c>
      <c r="R88" s="103">
        <v>0</v>
      </c>
      <c r="S88" s="103">
        <v>0</v>
      </c>
      <c r="T88" s="103">
        <v>0</v>
      </c>
      <c r="U88" s="37">
        <f t="shared" ref="U88:U100" si="17">SUM(I88:T88)</f>
        <v>9006</v>
      </c>
    </row>
    <row r="89" spans="1:21" ht="25.5">
      <c r="A89" s="144" t="s">
        <v>128</v>
      </c>
      <c r="B89" s="145" t="s">
        <v>138</v>
      </c>
      <c r="C89" s="136" t="s">
        <v>139</v>
      </c>
      <c r="D89" s="8"/>
      <c r="E89" s="40"/>
      <c r="F89" s="56">
        <v>2</v>
      </c>
      <c r="G89" s="56">
        <v>1835.8</v>
      </c>
      <c r="H89" s="133">
        <f t="shared" si="16"/>
        <v>3.6715999999999998</v>
      </c>
      <c r="I89" s="103">
        <v>0</v>
      </c>
      <c r="J89" s="103">
        <v>0</v>
      </c>
      <c r="K89" s="103">
        <v>0</v>
      </c>
      <c r="L89" s="103">
        <f>G89</f>
        <v>1835.8</v>
      </c>
      <c r="M89" s="103">
        <f>G89</f>
        <v>1835.8</v>
      </c>
      <c r="N89" s="103">
        <v>0</v>
      </c>
      <c r="O89" s="103">
        <v>0</v>
      </c>
      <c r="P89" s="103">
        <v>0</v>
      </c>
      <c r="Q89" s="103">
        <v>0</v>
      </c>
      <c r="R89" s="103">
        <v>0</v>
      </c>
      <c r="S89" s="103">
        <v>0</v>
      </c>
      <c r="T89" s="103">
        <v>0</v>
      </c>
      <c r="U89" s="37">
        <f t="shared" si="17"/>
        <v>3671.6</v>
      </c>
    </row>
    <row r="90" spans="1:21" ht="25.5">
      <c r="A90" s="142" t="s">
        <v>209</v>
      </c>
      <c r="B90" s="140" t="s">
        <v>135</v>
      </c>
      <c r="C90" s="25" t="s">
        <v>136</v>
      </c>
      <c r="D90" s="8"/>
      <c r="E90" s="40"/>
      <c r="F90" s="56">
        <v>2</v>
      </c>
      <c r="G90" s="56">
        <v>195.95</v>
      </c>
      <c r="H90" s="133">
        <f t="shared" si="16"/>
        <v>0.39189999999999997</v>
      </c>
      <c r="I90" s="103">
        <v>0</v>
      </c>
      <c r="J90" s="103">
        <v>0</v>
      </c>
      <c r="K90" s="103">
        <v>0</v>
      </c>
      <c r="L90" s="103">
        <f>G90</f>
        <v>195.95</v>
      </c>
      <c r="M90" s="103">
        <v>0</v>
      </c>
      <c r="N90" s="103">
        <v>0</v>
      </c>
      <c r="O90" s="103">
        <v>0</v>
      </c>
      <c r="P90" s="103">
        <v>0</v>
      </c>
      <c r="Q90" s="103">
        <v>0</v>
      </c>
      <c r="R90" s="103">
        <v>0</v>
      </c>
      <c r="S90" s="103">
        <f>G90</f>
        <v>195.95</v>
      </c>
      <c r="T90" s="103">
        <v>0</v>
      </c>
      <c r="U90" s="37">
        <f t="shared" si="17"/>
        <v>391.9</v>
      </c>
    </row>
    <row r="91" spans="1:21" ht="25.5">
      <c r="A91" s="142" t="s">
        <v>194</v>
      </c>
      <c r="B91" s="140" t="s">
        <v>148</v>
      </c>
      <c r="C91" s="142" t="s">
        <v>60</v>
      </c>
      <c r="D91" s="8"/>
      <c r="E91" s="40"/>
      <c r="F91" s="56">
        <f>4/100</f>
        <v>0.04</v>
      </c>
      <c r="G91" s="56">
        <v>3397.65</v>
      </c>
      <c r="H91" s="133">
        <f t="shared" si="16"/>
        <v>0.135906</v>
      </c>
      <c r="I91" s="103">
        <v>0</v>
      </c>
      <c r="J91" s="103">
        <v>0</v>
      </c>
      <c r="K91" s="103">
        <v>0</v>
      </c>
      <c r="L91" s="103">
        <f>G91*0.01</f>
        <v>33.976500000000001</v>
      </c>
      <c r="M91" s="103">
        <v>0</v>
      </c>
      <c r="N91" s="103">
        <v>0</v>
      </c>
      <c r="O91" s="103">
        <v>0</v>
      </c>
      <c r="P91" s="103">
        <v>0</v>
      </c>
      <c r="Q91" s="103">
        <f>G91*0.02</f>
        <v>67.953000000000003</v>
      </c>
      <c r="R91" s="103">
        <f>G91*0.01</f>
        <v>33.976500000000001</v>
      </c>
      <c r="S91" s="103">
        <v>0</v>
      </c>
      <c r="T91" s="103">
        <v>0</v>
      </c>
      <c r="U91" s="37">
        <f t="shared" si="17"/>
        <v>135.90600000000001</v>
      </c>
    </row>
    <row r="92" spans="1:21">
      <c r="A92" s="153" t="s">
        <v>210</v>
      </c>
      <c r="B92" s="10" t="s">
        <v>165</v>
      </c>
      <c r="C92" s="25" t="s">
        <v>63</v>
      </c>
      <c r="D92" s="8"/>
      <c r="E92" s="40"/>
      <c r="F92" s="56">
        <v>3</v>
      </c>
      <c r="G92" s="56">
        <v>175.6</v>
      </c>
      <c r="H92" s="133">
        <f t="shared" si="16"/>
        <v>0.52679999999999993</v>
      </c>
      <c r="I92" s="103">
        <v>0</v>
      </c>
      <c r="J92" s="103">
        <v>0</v>
      </c>
      <c r="K92" s="103">
        <v>0</v>
      </c>
      <c r="L92" s="103">
        <f>G92</f>
        <v>175.6</v>
      </c>
      <c r="M92" s="103">
        <v>0</v>
      </c>
      <c r="N92" s="103">
        <f>G92</f>
        <v>175.6</v>
      </c>
      <c r="O92" s="103">
        <f>G92</f>
        <v>175.6</v>
      </c>
      <c r="P92" s="103">
        <v>0</v>
      </c>
      <c r="Q92" s="103">
        <v>0</v>
      </c>
      <c r="R92" s="103">
        <v>0</v>
      </c>
      <c r="S92" s="103">
        <v>0</v>
      </c>
      <c r="T92" s="103">
        <v>0</v>
      </c>
      <c r="U92" s="37">
        <f t="shared" si="17"/>
        <v>526.79999999999995</v>
      </c>
    </row>
    <row r="93" spans="1:21" ht="25.5">
      <c r="A93" s="143" t="s">
        <v>195</v>
      </c>
      <c r="B93" s="137" t="s">
        <v>162</v>
      </c>
      <c r="C93" s="143" t="s">
        <v>161</v>
      </c>
      <c r="D93" s="8"/>
      <c r="E93" s="40"/>
      <c r="F93" s="56">
        <f>1/100</f>
        <v>0.01</v>
      </c>
      <c r="G93" s="56">
        <v>7033.13</v>
      </c>
      <c r="H93" s="133">
        <f>G93*F93/1000</f>
        <v>7.0331299999999999E-2</v>
      </c>
      <c r="I93" s="103">
        <v>0</v>
      </c>
      <c r="J93" s="103">
        <v>0</v>
      </c>
      <c r="K93" s="103">
        <v>0</v>
      </c>
      <c r="L93" s="103">
        <v>0</v>
      </c>
      <c r="M93" s="103">
        <f>G93*0.01</f>
        <v>70.331299999999999</v>
      </c>
      <c r="N93" s="103">
        <v>0</v>
      </c>
      <c r="O93" s="103">
        <v>0</v>
      </c>
      <c r="P93" s="103">
        <v>0</v>
      </c>
      <c r="Q93" s="103">
        <v>0</v>
      </c>
      <c r="R93" s="103">
        <v>0</v>
      </c>
      <c r="S93" s="103">
        <v>0</v>
      </c>
      <c r="T93" s="103">
        <v>0</v>
      </c>
      <c r="U93" s="37">
        <f t="shared" si="17"/>
        <v>70.331299999999999</v>
      </c>
    </row>
    <row r="94" spans="1:21">
      <c r="A94" s="141" t="s">
        <v>211</v>
      </c>
      <c r="B94" s="146" t="s">
        <v>141</v>
      </c>
      <c r="C94" s="138" t="s">
        <v>140</v>
      </c>
      <c r="D94" s="8"/>
      <c r="E94" s="40"/>
      <c r="F94" s="56">
        <v>1</v>
      </c>
      <c r="G94" s="56">
        <v>748.64</v>
      </c>
      <c r="H94" s="133">
        <f t="shared" si="16"/>
        <v>0.74863999999999997</v>
      </c>
      <c r="I94" s="103">
        <v>0</v>
      </c>
      <c r="J94" s="103">
        <v>0</v>
      </c>
      <c r="K94" s="103">
        <v>0</v>
      </c>
      <c r="L94" s="103">
        <v>0</v>
      </c>
      <c r="M94" s="103">
        <f>G94</f>
        <v>748.64</v>
      </c>
      <c r="N94" s="103">
        <v>0</v>
      </c>
      <c r="O94" s="103">
        <v>0</v>
      </c>
      <c r="P94" s="103">
        <v>0</v>
      </c>
      <c r="Q94" s="103">
        <v>0</v>
      </c>
      <c r="R94" s="103">
        <v>0</v>
      </c>
      <c r="S94" s="103">
        <v>0</v>
      </c>
      <c r="T94" s="103">
        <v>0</v>
      </c>
      <c r="U94" s="37">
        <f t="shared" si="17"/>
        <v>748.64</v>
      </c>
    </row>
    <row r="95" spans="1:21">
      <c r="A95" s="163" t="s">
        <v>212</v>
      </c>
      <c r="B95" s="164" t="s">
        <v>163</v>
      </c>
      <c r="C95" s="163" t="s">
        <v>164</v>
      </c>
      <c r="D95" s="8"/>
      <c r="E95" s="40"/>
      <c r="F95" s="56">
        <f>10/3</f>
        <v>3.3333333333333335</v>
      </c>
      <c r="G95" s="56">
        <v>1063.47</v>
      </c>
      <c r="H95" s="133">
        <f t="shared" si="16"/>
        <v>3.5449000000000002</v>
      </c>
      <c r="I95" s="103">
        <v>0</v>
      </c>
      <c r="J95" s="103">
        <v>0</v>
      </c>
      <c r="K95" s="103">
        <v>0</v>
      </c>
      <c r="L95" s="103">
        <v>0</v>
      </c>
      <c r="M95" s="103">
        <v>0</v>
      </c>
      <c r="N95" s="103">
        <v>0</v>
      </c>
      <c r="O95" s="103">
        <f>G95</f>
        <v>1063.47</v>
      </c>
      <c r="P95" s="103">
        <f>G95*(7/3)</f>
        <v>2481.4300000000003</v>
      </c>
      <c r="Q95" s="103">
        <v>0</v>
      </c>
      <c r="R95" s="103">
        <v>0</v>
      </c>
      <c r="S95" s="103">
        <v>0</v>
      </c>
      <c r="T95" s="103">
        <v>0</v>
      </c>
      <c r="U95" s="37">
        <f t="shared" si="17"/>
        <v>3544.9000000000005</v>
      </c>
    </row>
    <row r="96" spans="1:21" ht="38.25">
      <c r="A96" s="142" t="s">
        <v>213</v>
      </c>
      <c r="B96" s="140" t="s">
        <v>166</v>
      </c>
      <c r="C96" s="142" t="s">
        <v>167</v>
      </c>
      <c r="D96" s="8"/>
      <c r="E96" s="40"/>
      <c r="F96" s="56">
        <v>2</v>
      </c>
      <c r="G96" s="56">
        <v>51.39</v>
      </c>
      <c r="H96" s="133">
        <f t="shared" si="16"/>
        <v>0.10278</v>
      </c>
      <c r="I96" s="103">
        <v>0</v>
      </c>
      <c r="J96" s="103">
        <v>0</v>
      </c>
      <c r="K96" s="103">
        <v>0</v>
      </c>
      <c r="L96" s="103">
        <v>0</v>
      </c>
      <c r="M96" s="103">
        <v>0</v>
      </c>
      <c r="N96" s="103">
        <v>0</v>
      </c>
      <c r="O96" s="103">
        <f>G96</f>
        <v>51.39</v>
      </c>
      <c r="P96" s="103">
        <v>0</v>
      </c>
      <c r="Q96" s="103">
        <v>0</v>
      </c>
      <c r="R96" s="103">
        <v>0</v>
      </c>
      <c r="S96" s="103">
        <f>G96</f>
        <v>51.39</v>
      </c>
      <c r="T96" s="103">
        <v>0</v>
      </c>
      <c r="U96" s="37">
        <f t="shared" si="17"/>
        <v>102.78</v>
      </c>
    </row>
    <row r="97" spans="1:21">
      <c r="A97" s="141" t="s">
        <v>215</v>
      </c>
      <c r="B97" s="146" t="s">
        <v>216</v>
      </c>
      <c r="C97" s="165" t="s">
        <v>214</v>
      </c>
      <c r="D97" s="8"/>
      <c r="E97" s="40"/>
      <c r="F97" s="56">
        <f>1.2/10</f>
        <v>0.12</v>
      </c>
      <c r="G97" s="56">
        <v>3009.29</v>
      </c>
      <c r="H97" s="133">
        <f t="shared" si="16"/>
        <v>0.36111480000000001</v>
      </c>
      <c r="I97" s="103">
        <v>0</v>
      </c>
      <c r="J97" s="103">
        <v>0</v>
      </c>
      <c r="K97" s="103">
        <v>0</v>
      </c>
      <c r="L97" s="103">
        <v>0</v>
      </c>
      <c r="M97" s="103">
        <v>0</v>
      </c>
      <c r="N97" s="103">
        <v>0</v>
      </c>
      <c r="O97" s="103">
        <v>0</v>
      </c>
      <c r="P97" s="103">
        <v>0</v>
      </c>
      <c r="Q97" s="103">
        <v>0</v>
      </c>
      <c r="R97" s="103">
        <v>0</v>
      </c>
      <c r="S97" s="103">
        <f>G97*F97</f>
        <v>361.1148</v>
      </c>
      <c r="T97" s="103">
        <v>0</v>
      </c>
      <c r="U97" s="37">
        <f t="shared" si="17"/>
        <v>361.1148</v>
      </c>
    </row>
    <row r="98" spans="1:21">
      <c r="A98" s="163" t="s">
        <v>221</v>
      </c>
      <c r="B98" s="164" t="s">
        <v>222</v>
      </c>
      <c r="C98" s="163" t="s">
        <v>164</v>
      </c>
      <c r="D98" s="8"/>
      <c r="E98" s="40"/>
      <c r="F98" s="56">
        <f>9/3</f>
        <v>3</v>
      </c>
      <c r="G98" s="56">
        <v>1063.47</v>
      </c>
      <c r="H98" s="133">
        <f t="shared" si="16"/>
        <v>3.19041</v>
      </c>
      <c r="I98" s="103">
        <v>0</v>
      </c>
      <c r="J98" s="103">
        <v>0</v>
      </c>
      <c r="K98" s="103">
        <v>0</v>
      </c>
      <c r="L98" s="103">
        <v>0</v>
      </c>
      <c r="M98" s="103">
        <v>0</v>
      </c>
      <c r="N98" s="103">
        <v>0</v>
      </c>
      <c r="O98" s="103">
        <v>0</v>
      </c>
      <c r="P98" s="103">
        <v>0</v>
      </c>
      <c r="Q98" s="103">
        <v>0</v>
      </c>
      <c r="R98" s="103">
        <v>0</v>
      </c>
      <c r="S98" s="103">
        <v>0</v>
      </c>
      <c r="T98" s="103">
        <f>G98*((3+3+3)/3)</f>
        <v>3190.41</v>
      </c>
      <c r="U98" s="37">
        <f t="shared" si="17"/>
        <v>3190.41</v>
      </c>
    </row>
    <row r="99" spans="1:21">
      <c r="A99" s="139" t="s">
        <v>223</v>
      </c>
      <c r="B99" s="140" t="s">
        <v>224</v>
      </c>
      <c r="C99" s="142" t="s">
        <v>225</v>
      </c>
      <c r="D99" s="8"/>
      <c r="E99" s="40"/>
      <c r="F99" s="56">
        <v>3</v>
      </c>
      <c r="G99" s="56">
        <v>3210.77</v>
      </c>
      <c r="H99" s="133">
        <f t="shared" si="16"/>
        <v>9.6323100000000004</v>
      </c>
      <c r="I99" s="103">
        <v>0</v>
      </c>
      <c r="J99" s="103">
        <v>0</v>
      </c>
      <c r="K99" s="103">
        <v>0</v>
      </c>
      <c r="L99" s="103">
        <v>0</v>
      </c>
      <c r="M99" s="103">
        <v>0</v>
      </c>
      <c r="N99" s="103">
        <v>0</v>
      </c>
      <c r="O99" s="103">
        <v>0</v>
      </c>
      <c r="P99" s="103">
        <v>0</v>
      </c>
      <c r="Q99" s="103">
        <v>0</v>
      </c>
      <c r="R99" s="103">
        <v>0</v>
      </c>
      <c r="S99" s="103">
        <v>0</v>
      </c>
      <c r="T99" s="103">
        <f>G99*3</f>
        <v>9632.31</v>
      </c>
      <c r="U99" s="37">
        <f t="shared" si="17"/>
        <v>9632.31</v>
      </c>
    </row>
    <row r="100" spans="1:21" ht="25.5">
      <c r="A100" s="142" t="s">
        <v>218</v>
      </c>
      <c r="B100" s="140" t="s">
        <v>217</v>
      </c>
      <c r="C100" s="142" t="s">
        <v>63</v>
      </c>
      <c r="D100" s="8"/>
      <c r="E100" s="40"/>
      <c r="F100" s="56">
        <v>2</v>
      </c>
      <c r="G100" s="56">
        <v>180.15</v>
      </c>
      <c r="H100" s="133">
        <f t="shared" si="16"/>
        <v>0.36030000000000001</v>
      </c>
      <c r="I100" s="103">
        <v>0</v>
      </c>
      <c r="J100" s="103">
        <v>0</v>
      </c>
      <c r="K100" s="103">
        <v>0</v>
      </c>
      <c r="L100" s="103">
        <v>0</v>
      </c>
      <c r="M100" s="103">
        <v>0</v>
      </c>
      <c r="N100" s="103">
        <v>0</v>
      </c>
      <c r="O100" s="103">
        <v>0</v>
      </c>
      <c r="P100" s="103">
        <v>0</v>
      </c>
      <c r="Q100" s="103">
        <v>0</v>
      </c>
      <c r="R100" s="103">
        <v>0</v>
      </c>
      <c r="S100" s="103">
        <v>0</v>
      </c>
      <c r="T100" s="103">
        <f>G100*2</f>
        <v>360.3</v>
      </c>
      <c r="U100" s="37">
        <f t="shared" si="17"/>
        <v>360.3</v>
      </c>
    </row>
    <row r="101" spans="1:21" s="18" customFormat="1">
      <c r="A101" s="104"/>
      <c r="B101" s="105" t="s">
        <v>96</v>
      </c>
      <c r="C101" s="104"/>
      <c r="D101" s="104"/>
      <c r="E101" s="95"/>
      <c r="F101" s="95"/>
      <c r="G101" s="95"/>
      <c r="H101" s="48">
        <f>SUM(H86:H100)</f>
        <v>32.917028100000003</v>
      </c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47">
        <f>SUM(U86:U100)</f>
        <v>32917.028100000003</v>
      </c>
    </row>
    <row r="102" spans="1:21">
      <c r="A102" s="98"/>
      <c r="B102" s="106"/>
      <c r="C102" s="107"/>
      <c r="D102" s="107"/>
      <c r="E102" s="56"/>
      <c r="F102" s="56"/>
      <c r="G102" s="56"/>
      <c r="H102" s="108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131"/>
    </row>
    <row r="103" spans="1:21" ht="12" customHeight="1">
      <c r="A103" s="157"/>
      <c r="B103" s="17" t="s">
        <v>97</v>
      </c>
      <c r="C103" s="67"/>
      <c r="D103" s="90"/>
      <c r="E103" s="56"/>
      <c r="F103" s="56"/>
      <c r="G103" s="56"/>
      <c r="H103" s="109">
        <f>H101/E104/12*1000</f>
        <v>0.86233438384155936</v>
      </c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131"/>
    </row>
    <row r="104" spans="1:21" s="18" customFormat="1">
      <c r="A104" s="85"/>
      <c r="B104" s="110" t="s">
        <v>98</v>
      </c>
      <c r="C104" s="111"/>
      <c r="D104" s="110"/>
      <c r="E104" s="162">
        <v>3181</v>
      </c>
      <c r="F104" s="112">
        <f>SUM(E104*12)</f>
        <v>38172</v>
      </c>
      <c r="G104" s="113">
        <f>H83+H103</f>
        <v>19.26985603546666</v>
      </c>
      <c r="H104" s="114">
        <f>SUM(F104*G104/1000)</f>
        <v>735.56894458583338</v>
      </c>
      <c r="I104" s="95">
        <f t="shared" ref="I104:R104" si="18">SUM(I11:I103)</f>
        <v>67742.959593550011</v>
      </c>
      <c r="J104" s="95">
        <f t="shared" si="18"/>
        <v>75174.433593549998</v>
      </c>
      <c r="K104" s="95">
        <f t="shared" si="18"/>
        <v>49713.59642355</v>
      </c>
      <c r="L104" s="95">
        <f t="shared" si="18"/>
        <v>69675.548093550009</v>
      </c>
      <c r="M104" s="95">
        <f t="shared" si="18"/>
        <v>124636.09968075558</v>
      </c>
      <c r="N104" s="95">
        <f t="shared" si="18"/>
        <v>38294.350490255551</v>
      </c>
      <c r="O104" s="95">
        <f t="shared" si="18"/>
        <v>39251.030490255551</v>
      </c>
      <c r="P104" s="95">
        <f t="shared" si="18"/>
        <v>59514.200490255556</v>
      </c>
      <c r="Q104" s="95">
        <f t="shared" si="18"/>
        <v>45523.845222755554</v>
      </c>
      <c r="R104" s="95">
        <f t="shared" si="18"/>
        <v>38073.636990255545</v>
      </c>
      <c r="S104" s="95">
        <f>SUM(S11:S103)</f>
        <v>47930.729923549996</v>
      </c>
      <c r="T104" s="95">
        <f>SUM(T11:T103)</f>
        <v>60919.853593549997</v>
      </c>
      <c r="U104" s="47">
        <f>U80+U101</f>
        <v>780702.41069550172</v>
      </c>
    </row>
    <row r="105" spans="1:21">
      <c r="A105" s="69"/>
      <c r="B105" s="69"/>
      <c r="C105" s="69"/>
      <c r="D105" s="69"/>
      <c r="E105" s="115"/>
      <c r="F105" s="115"/>
      <c r="G105" s="115"/>
      <c r="H105" s="115"/>
      <c r="I105" s="115"/>
      <c r="J105" s="115"/>
      <c r="K105" s="115"/>
      <c r="L105" s="115"/>
      <c r="M105" s="69"/>
      <c r="N105" s="115"/>
      <c r="O105" s="69"/>
      <c r="P105" s="69"/>
      <c r="Q105" s="69"/>
      <c r="R105" s="69"/>
      <c r="S105" s="69"/>
      <c r="T105" s="69"/>
      <c r="U105" s="69"/>
    </row>
    <row r="106" spans="1:21">
      <c r="A106" s="69"/>
      <c r="B106" s="69"/>
      <c r="C106" s="69"/>
      <c r="D106" s="69"/>
      <c r="E106" s="115"/>
      <c r="F106" s="115"/>
      <c r="G106" s="115"/>
      <c r="H106" s="115"/>
      <c r="I106" s="115"/>
      <c r="J106" s="116"/>
      <c r="K106" s="117"/>
      <c r="L106" s="116"/>
      <c r="M106" s="115"/>
      <c r="N106" s="69"/>
      <c r="O106" s="69"/>
      <c r="P106" s="69"/>
      <c r="Q106" s="69"/>
      <c r="R106" s="69"/>
      <c r="S106" s="69"/>
      <c r="T106" s="69"/>
      <c r="U106" s="69"/>
    </row>
    <row r="107" spans="1:21" ht="45">
      <c r="A107" s="69"/>
      <c r="B107" s="118" t="s">
        <v>137</v>
      </c>
      <c r="C107" s="171">
        <v>85827.08</v>
      </c>
      <c r="D107" s="172"/>
      <c r="E107" s="172"/>
      <c r="F107" s="173"/>
      <c r="G107" s="115"/>
      <c r="H107" s="115"/>
      <c r="I107" s="115"/>
      <c r="J107" s="116"/>
      <c r="K107" s="117"/>
      <c r="L107" s="116"/>
      <c r="M107" s="115"/>
      <c r="N107" s="69"/>
      <c r="O107" s="69"/>
      <c r="P107" s="69"/>
      <c r="Q107" s="69"/>
      <c r="R107" s="69"/>
      <c r="S107" s="69"/>
      <c r="T107" s="69"/>
      <c r="U107" s="69"/>
    </row>
    <row r="108" spans="1:21" ht="30">
      <c r="A108" s="69"/>
      <c r="B108" s="21" t="s">
        <v>142</v>
      </c>
      <c r="C108" s="175">
        <f>(73360.36*10)+(73357.03*2)</f>
        <v>880317.65999999992</v>
      </c>
      <c r="D108" s="176"/>
      <c r="E108" s="176"/>
      <c r="F108" s="177"/>
      <c r="G108" s="115"/>
      <c r="H108" s="115"/>
      <c r="I108" s="115"/>
      <c r="J108" s="116"/>
      <c r="K108" s="117"/>
      <c r="L108" s="116"/>
      <c r="M108" s="115"/>
      <c r="N108" s="69"/>
      <c r="O108" s="69"/>
      <c r="P108" s="69"/>
      <c r="Q108" s="69"/>
      <c r="R108" s="69"/>
      <c r="S108" s="69"/>
      <c r="T108" s="69"/>
      <c r="U108" s="69"/>
    </row>
    <row r="109" spans="1:21" ht="38.25" customHeight="1">
      <c r="A109" s="69"/>
      <c r="B109" s="21" t="s">
        <v>147</v>
      </c>
      <c r="C109" s="175">
        <f>SUM(U104-U101)</f>
        <v>747785.38259550172</v>
      </c>
      <c r="D109" s="176"/>
      <c r="E109" s="176"/>
      <c r="F109" s="177"/>
      <c r="G109" s="115"/>
      <c r="H109" s="115"/>
      <c r="I109" s="115"/>
      <c r="J109" s="116"/>
      <c r="K109" s="117"/>
      <c r="L109" s="116"/>
      <c r="M109" s="115"/>
      <c r="N109" s="69"/>
      <c r="O109" s="69"/>
      <c r="P109" s="69"/>
      <c r="Q109" s="69"/>
      <c r="R109" s="69"/>
      <c r="S109" s="69"/>
      <c r="T109" s="69"/>
      <c r="U109" s="69"/>
    </row>
    <row r="110" spans="1:21" ht="35.25" customHeight="1">
      <c r="A110" s="69"/>
      <c r="B110" s="21" t="s">
        <v>143</v>
      </c>
      <c r="C110" s="175">
        <f>SUM(U101)</f>
        <v>32917.028100000003</v>
      </c>
      <c r="D110" s="176"/>
      <c r="E110" s="176"/>
      <c r="F110" s="177"/>
      <c r="G110" s="115"/>
      <c r="H110" s="115"/>
      <c r="I110" s="115"/>
      <c r="J110" s="116"/>
      <c r="K110" s="117"/>
      <c r="L110" s="116"/>
      <c r="M110" s="115"/>
      <c r="N110" s="69"/>
      <c r="O110" s="69"/>
      <c r="P110" s="69"/>
      <c r="Q110" s="69"/>
      <c r="R110" s="69"/>
      <c r="S110" s="69"/>
      <c r="T110" s="69"/>
      <c r="U110" s="69"/>
    </row>
    <row r="111" spans="1:21" ht="18">
      <c r="A111" s="69"/>
      <c r="B111" s="126" t="s">
        <v>144</v>
      </c>
      <c r="C111" s="171">
        <f>56098.3+84504.79+70402.52+75843.36+71250.01+62548.2+71803.49+71662.51+70169.19+72858.41+78439.61+62632.49</f>
        <v>848212.87999999989</v>
      </c>
      <c r="D111" s="172"/>
      <c r="E111" s="172"/>
      <c r="F111" s="173"/>
      <c r="G111" s="69"/>
      <c r="I111" s="119" t="s">
        <v>103</v>
      </c>
      <c r="J111" s="120"/>
      <c r="K111" s="121"/>
      <c r="L111" s="122"/>
      <c r="M111" s="119"/>
      <c r="N111" s="119"/>
      <c r="O111" s="69"/>
      <c r="P111" s="69"/>
      <c r="Q111" s="69"/>
      <c r="R111" s="69"/>
      <c r="S111" s="69"/>
      <c r="T111" s="69"/>
      <c r="U111" s="69"/>
    </row>
    <row r="112" spans="1:21" ht="78.75">
      <c r="A112" s="69"/>
      <c r="B112" s="22" t="s">
        <v>219</v>
      </c>
      <c r="C112" s="178">
        <v>217664.1</v>
      </c>
      <c r="D112" s="179"/>
      <c r="E112" s="179"/>
      <c r="F112" s="180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</row>
    <row r="113" spans="1:21" ht="45">
      <c r="A113" s="69"/>
      <c r="B113" s="123" t="s">
        <v>220</v>
      </c>
      <c r="C113" s="174">
        <f>SUM(U104-C108)+C107</f>
        <v>-13788.169304498195</v>
      </c>
      <c r="D113" s="172"/>
      <c r="E113" s="172"/>
      <c r="F113" s="173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</row>
    <row r="115" spans="1:21">
      <c r="J115" s="3"/>
      <c r="K115" s="4"/>
      <c r="L115" s="4"/>
      <c r="M115" s="2"/>
    </row>
    <row r="116" spans="1:21">
      <c r="G116" s="5"/>
      <c r="H116" s="5"/>
    </row>
    <row r="117" spans="1:21">
      <c r="G117" s="6"/>
    </row>
  </sheetData>
  <mergeCells count="12">
    <mergeCell ref="C107:F107"/>
    <mergeCell ref="C113:F113"/>
    <mergeCell ref="C108:F108"/>
    <mergeCell ref="C109:F109"/>
    <mergeCell ref="C110:F110"/>
    <mergeCell ref="C111:F111"/>
    <mergeCell ref="C112:F112"/>
    <mergeCell ref="B3:L3"/>
    <mergeCell ref="B4:L4"/>
    <mergeCell ref="B5:L5"/>
    <mergeCell ref="B6:L6"/>
    <mergeCell ref="X76:AA76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Косм.,4</vt:lpstr>
      <vt:lpstr>'Косм.,4'!Область_печати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2014-06-17T05:58:29Z</cp:lastPrinted>
  <dcterms:created xsi:type="dcterms:W3CDTF">2014-02-05T12:20:20Z</dcterms:created>
  <dcterms:modified xsi:type="dcterms:W3CDTF">2017-04-06T12:11:24Z</dcterms:modified>
</cp:coreProperties>
</file>