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7" sheetId="1" r:id="rId1"/>
  </sheets>
  <definedNames>
    <definedName name="_xlnm.Print_Area" localSheetId="0">Нефт.7!$A$1:$U$117</definedName>
  </definedNames>
  <calcPr calcId="124519"/>
</workbook>
</file>

<file path=xl/calcChain.xml><?xml version="1.0" encoding="utf-8"?>
<calcChain xmlns="http://schemas.openxmlformats.org/spreadsheetml/2006/main">
  <c r="T104" i="1"/>
  <c r="G108"/>
  <c r="H108"/>
  <c r="S103" l="1"/>
  <c r="U104" l="1"/>
  <c r="U105" s="1"/>
  <c r="H104"/>
  <c r="H105" s="1"/>
  <c r="U103"/>
  <c r="H103"/>
  <c r="R93"/>
  <c r="T101"/>
  <c r="T102"/>
  <c r="U102"/>
  <c r="H102"/>
  <c r="T89" l="1"/>
  <c r="S89"/>
  <c r="S95"/>
  <c r="U101"/>
  <c r="S101"/>
  <c r="H101"/>
  <c r="S98"/>
  <c r="U100"/>
  <c r="R100"/>
  <c r="H100"/>
  <c r="U99"/>
  <c r="R99"/>
  <c r="N99"/>
  <c r="H99"/>
  <c r="U98"/>
  <c r="U97"/>
  <c r="O97"/>
  <c r="N98"/>
  <c r="H98"/>
  <c r="H97"/>
  <c r="U96"/>
  <c r="R96"/>
  <c r="H96"/>
  <c r="Q70"/>
  <c r="U95"/>
  <c r="U94"/>
  <c r="O95"/>
  <c r="N95"/>
  <c r="H95"/>
  <c r="T108"/>
  <c r="S108"/>
  <c r="T81"/>
  <c r="S81"/>
  <c r="T79"/>
  <c r="S79"/>
  <c r="T57"/>
  <c r="S57"/>
  <c r="T56"/>
  <c r="S56"/>
  <c r="F52"/>
  <c r="T48"/>
  <c r="T40"/>
  <c r="S40"/>
  <c r="T39"/>
  <c r="S39"/>
  <c r="T38"/>
  <c r="S38"/>
  <c r="T37"/>
  <c r="S37"/>
  <c r="T35"/>
  <c r="S35"/>
  <c r="T34"/>
  <c r="S34"/>
  <c r="T31"/>
  <c r="S31"/>
  <c r="T28"/>
  <c r="S28"/>
  <c r="T16"/>
  <c r="S16"/>
  <c r="T15"/>
  <c r="S15"/>
  <c r="T13"/>
  <c r="S13"/>
  <c r="T12"/>
  <c r="S12"/>
  <c r="T11"/>
  <c r="S11"/>
  <c r="N94" l="1"/>
  <c r="H94"/>
  <c r="R108"/>
  <c r="Q108"/>
  <c r="P108"/>
  <c r="O108"/>
  <c r="N108"/>
  <c r="R81"/>
  <c r="Q81"/>
  <c r="P81"/>
  <c r="O81"/>
  <c r="N81"/>
  <c r="R79"/>
  <c r="Q79"/>
  <c r="P79"/>
  <c r="O79"/>
  <c r="N79"/>
  <c r="N78"/>
  <c r="Q68"/>
  <c r="P53"/>
  <c r="P52"/>
  <c r="N51"/>
  <c r="N50"/>
  <c r="N49"/>
  <c r="Q48"/>
  <c r="R47"/>
  <c r="R46"/>
  <c r="R45"/>
  <c r="R44"/>
  <c r="R43"/>
  <c r="R31"/>
  <c r="Q31"/>
  <c r="P31"/>
  <c r="O31"/>
  <c r="N31"/>
  <c r="R28"/>
  <c r="Q28"/>
  <c r="P28"/>
  <c r="O28"/>
  <c r="N28"/>
  <c r="R27"/>
  <c r="Q27"/>
  <c r="P27"/>
  <c r="O27"/>
  <c r="M27"/>
  <c r="N27"/>
  <c r="M26"/>
  <c r="R25"/>
  <c r="Q25"/>
  <c r="P25"/>
  <c r="O25"/>
  <c r="N25"/>
  <c r="R24"/>
  <c r="Q24"/>
  <c r="P24"/>
  <c r="O24"/>
  <c r="N24"/>
  <c r="N21"/>
  <c r="N20"/>
  <c r="N19"/>
  <c r="N18"/>
  <c r="N17"/>
  <c r="R16"/>
  <c r="Q16"/>
  <c r="P16"/>
  <c r="O16"/>
  <c r="N16"/>
  <c r="R15"/>
  <c r="Q15"/>
  <c r="P15"/>
  <c r="O15"/>
  <c r="N15"/>
  <c r="M14"/>
  <c r="R13"/>
  <c r="Q13"/>
  <c r="P13"/>
  <c r="O13"/>
  <c r="N13"/>
  <c r="R12"/>
  <c r="Q12"/>
  <c r="P12"/>
  <c r="O12"/>
  <c r="N12"/>
  <c r="R11"/>
  <c r="Q11"/>
  <c r="P11"/>
  <c r="O11"/>
  <c r="N11"/>
  <c r="U93"/>
  <c r="M93"/>
  <c r="H93"/>
  <c r="U92"/>
  <c r="M92"/>
  <c r="H92"/>
  <c r="M59"/>
  <c r="M108"/>
  <c r="M81"/>
  <c r="M79"/>
  <c r="M67"/>
  <c r="M66"/>
  <c r="M65"/>
  <c r="M64"/>
  <c r="M63"/>
  <c r="L53"/>
  <c r="L52"/>
  <c r="M48"/>
  <c r="M31"/>
  <c r="M28"/>
  <c r="F27"/>
  <c r="M25"/>
  <c r="M24"/>
  <c r="M16"/>
  <c r="M15"/>
  <c r="M13"/>
  <c r="M12"/>
  <c r="M11"/>
  <c r="U91"/>
  <c r="L91"/>
  <c r="H91"/>
  <c r="U90"/>
  <c r="L90"/>
  <c r="H90"/>
  <c r="L108"/>
  <c r="L81"/>
  <c r="L79"/>
  <c r="L57"/>
  <c r="L56"/>
  <c r="L47"/>
  <c r="L46"/>
  <c r="L45"/>
  <c r="L44"/>
  <c r="L43"/>
  <c r="L40"/>
  <c r="L39"/>
  <c r="L38"/>
  <c r="L37"/>
  <c r="L35"/>
  <c r="L34"/>
  <c r="L31"/>
  <c r="L28"/>
  <c r="L16"/>
  <c r="L15"/>
  <c r="L13"/>
  <c r="L12"/>
  <c r="L11"/>
  <c r="K89"/>
  <c r="K108"/>
  <c r="K81"/>
  <c r="K79"/>
  <c r="K57"/>
  <c r="K56"/>
  <c r="K40"/>
  <c r="K39"/>
  <c r="K38"/>
  <c r="K37"/>
  <c r="K35"/>
  <c r="K34"/>
  <c r="K31"/>
  <c r="K28"/>
  <c r="K16"/>
  <c r="K15"/>
  <c r="K13"/>
  <c r="K12"/>
  <c r="K11"/>
  <c r="F78"/>
  <c r="U78"/>
  <c r="H78"/>
  <c r="U89"/>
  <c r="J89"/>
  <c r="H89"/>
  <c r="J108"/>
  <c r="I79"/>
  <c r="I81"/>
  <c r="J81"/>
  <c r="J79"/>
  <c r="I57"/>
  <c r="J57"/>
  <c r="I56"/>
  <c r="J56"/>
  <c r="J48"/>
  <c r="J40"/>
  <c r="I40"/>
  <c r="I39"/>
  <c r="J39"/>
  <c r="I38"/>
  <c r="J38"/>
  <c r="I37"/>
  <c r="J37"/>
  <c r="I35"/>
  <c r="J35"/>
  <c r="I34"/>
  <c r="J34"/>
  <c r="I31"/>
  <c r="J31"/>
  <c r="I28"/>
  <c r="J28"/>
  <c r="I16"/>
  <c r="J16"/>
  <c r="I15"/>
  <c r="J15"/>
  <c r="J13"/>
  <c r="J12"/>
  <c r="J11"/>
  <c r="U76"/>
  <c r="U74"/>
  <c r="U73"/>
  <c r="U72"/>
  <c r="U71"/>
  <c r="U70"/>
  <c r="U68"/>
  <c r="U67"/>
  <c r="U66"/>
  <c r="U65"/>
  <c r="U64"/>
  <c r="U63"/>
  <c r="U61"/>
  <c r="U59"/>
  <c r="U47"/>
  <c r="U46"/>
  <c r="U45"/>
  <c r="U44"/>
  <c r="U43"/>
  <c r="U30"/>
  <c r="U29"/>
  <c r="U27"/>
  <c r="U26"/>
  <c r="U25"/>
  <c r="U24"/>
  <c r="U21"/>
  <c r="U20"/>
  <c r="U19"/>
  <c r="U18"/>
  <c r="U17"/>
  <c r="U14"/>
  <c r="U56" l="1"/>
  <c r="U39"/>
  <c r="U38"/>
  <c r="F38"/>
  <c r="U36"/>
  <c r="I62" l="1"/>
  <c r="U62" s="1"/>
  <c r="F59" l="1"/>
  <c r="H59" s="1"/>
  <c r="U57"/>
  <c r="F57"/>
  <c r="F56" l="1"/>
  <c r="H56" s="1"/>
  <c r="I52"/>
  <c r="U52" s="1"/>
  <c r="H52"/>
  <c r="F53"/>
  <c r="F47"/>
  <c r="H47" s="1"/>
  <c r="F48"/>
  <c r="I48" s="1"/>
  <c r="U48" s="1"/>
  <c r="U35"/>
  <c r="U34"/>
  <c r="H19"/>
  <c r="H20"/>
  <c r="I51"/>
  <c r="U51" s="1"/>
  <c r="H57"/>
  <c r="H36" l="1"/>
  <c r="H74" l="1"/>
  <c r="I53"/>
  <c r="U53" s="1"/>
  <c r="I50"/>
  <c r="U50" s="1"/>
  <c r="I49"/>
  <c r="U49" s="1"/>
  <c r="U40"/>
  <c r="U37"/>
  <c r="U31"/>
  <c r="C114" l="1"/>
  <c r="H107"/>
  <c r="F108"/>
  <c r="E81"/>
  <c r="H85" s="1"/>
  <c r="F79"/>
  <c r="H76"/>
  <c r="U77"/>
  <c r="F73"/>
  <c r="H73" s="1"/>
  <c r="F68"/>
  <c r="H68" s="1"/>
  <c r="F67"/>
  <c r="H67" s="1"/>
  <c r="F66"/>
  <c r="H66" s="1"/>
  <c r="F65"/>
  <c r="H65" s="1"/>
  <c r="F64"/>
  <c r="H64" s="1"/>
  <c r="F63"/>
  <c r="H63" s="1"/>
  <c r="H62"/>
  <c r="H61"/>
  <c r="H53"/>
  <c r="H51"/>
  <c r="F50"/>
  <c r="H50" s="1"/>
  <c r="F49"/>
  <c r="H49" s="1"/>
  <c r="F46"/>
  <c r="H46" s="1"/>
  <c r="F45"/>
  <c r="H45" s="1"/>
  <c r="F44"/>
  <c r="H44" s="1"/>
  <c r="F43"/>
  <c r="H43" s="1"/>
  <c r="H40"/>
  <c r="F39"/>
  <c r="H39" s="1"/>
  <c r="H38"/>
  <c r="F37"/>
  <c r="H37" s="1"/>
  <c r="F35"/>
  <c r="H35" s="1"/>
  <c r="H34"/>
  <c r="F31"/>
  <c r="H31" s="1"/>
  <c r="H30"/>
  <c r="H29"/>
  <c r="F28"/>
  <c r="H27"/>
  <c r="F26"/>
  <c r="H26" s="1"/>
  <c r="F25"/>
  <c r="H25" s="1"/>
  <c r="F24"/>
  <c r="H24" s="1"/>
  <c r="F21"/>
  <c r="H21" s="1"/>
  <c r="F18"/>
  <c r="H18" s="1"/>
  <c r="F17"/>
  <c r="H17" s="1"/>
  <c r="F16"/>
  <c r="F15"/>
  <c r="F14"/>
  <c r="H14" s="1"/>
  <c r="E13"/>
  <c r="F13" s="1"/>
  <c r="F12"/>
  <c r="F11"/>
  <c r="I11" s="1"/>
  <c r="U11" s="1"/>
  <c r="H79" l="1"/>
  <c r="U79"/>
  <c r="U80" s="1"/>
  <c r="H28"/>
  <c r="U28"/>
  <c r="H48"/>
  <c r="H54" s="1"/>
  <c r="U54"/>
  <c r="H11"/>
  <c r="H12"/>
  <c r="I12"/>
  <c r="U12" s="1"/>
  <c r="H16"/>
  <c r="U16"/>
  <c r="H13"/>
  <c r="I13"/>
  <c r="U13" s="1"/>
  <c r="H15"/>
  <c r="U15"/>
  <c r="H32"/>
  <c r="U41"/>
  <c r="H80"/>
  <c r="F81"/>
  <c r="H41"/>
  <c r="H77"/>
  <c r="U22" l="1"/>
  <c r="H22"/>
  <c r="H81"/>
  <c r="H82" s="1"/>
  <c r="U81"/>
  <c r="U82" s="1"/>
  <c r="H83"/>
  <c r="H86" s="1"/>
  <c r="U32"/>
  <c r="U83" l="1"/>
  <c r="U108" s="1"/>
  <c r="I108"/>
  <c r="C117" l="1"/>
  <c r="C113"/>
</calcChain>
</file>

<file path=xl/sharedStrings.xml><?xml version="1.0" encoding="utf-8"?>
<sst xmlns="http://schemas.openxmlformats.org/spreadsheetml/2006/main" count="319" uniqueCount="226">
  <si>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</si>
  <si>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</si>
  <si>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</si>
  <si>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</si>
  <si>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</si>
  <si>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</si>
  <si>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</si>
  <si>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</si>
  <si>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</si>
  <si>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</si>
  <si>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</si>
  <si>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</si>
  <si>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</si>
  <si>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</si>
  <si>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</si>
  <si>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</si>
  <si>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</si>
  <si>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</si>
  <si>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</si>
  <si>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</si>
  <si>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</si>
  <si>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</si>
  <si>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</si>
  <si>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</si>
  <si>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</si>
  <si>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</si>
  <si>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</si>
  <si>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</si>
  <si>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</si>
  <si>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</si>
  <si>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</si>
  <si>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</si>
  <si>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</si>
  <si>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</si>
  <si>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</si>
  <si>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</si>
  <si>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</si>
  <si>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</si>
  <si>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</si>
  <si>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</si>
  <si>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</si>
  <si>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</si>
  <si>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</si>
  <si>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</si>
  <si>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</si>
  <si>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</si>
  <si>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</si>
  <si>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</si>
  <si>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</si>
  <si>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</si>
  <si>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</si>
  <si>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</si>
  <si>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</si>
  <si>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</si>
  <si>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</si>
  <si>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</si>
  <si>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</si>
  <si>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</si>
  <si>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</si>
  <si>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</si>
  <si>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</si>
  <si>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</si>
  <si>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</si>
  <si>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</si>
  <si>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</si>
  <si>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</si>
  <si>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</si>
  <si>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</si>
  <si>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</si>
  <si>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</si>
  <si>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</si>
  <si>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</si>
  <si>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</si>
  <si>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</si>
  <si>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</si>
  <si>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</si>
  <si>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</si>
  <si>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</si>
  <si>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</si>
  <si>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</si>
  <si>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</si>
  <si>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</si>
  <si>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</si>
  <si>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</si>
  <si>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</si>
  <si>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</si>
  <si>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</si>
  <si>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</si>
  <si>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</si>
  <si>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</si>
  <si>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</si>
  <si>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</si>
  <si>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</si>
  <si>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</si>
  <si>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</si>
  <si>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</si>
  <si>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</si>
  <si>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</si>
  <si>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</si>
  <si>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</si>
  <si>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</si>
  <si>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</si>
  <si>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</si>
  <si>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</si>
  <si>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</si>
  <si>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</si>
  <si>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</si>
  <si>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</si>
  <si>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</si>
  <si>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</si>
  <si>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</si>
  <si>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</si>
  <si>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</si>
  <si>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</si>
  <si>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</si>
  <si>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</si>
  <si>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</si>
  <si>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</si>
  <si>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</si>
  <si>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</si>
  <si>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</si>
  <si>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</si>
  <si>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</si>
  <si>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</si>
  <si>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</si>
  <si>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</si>
  <si>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</si>
  <si>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</si>
  <si>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</si>
  <si>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</si>
  <si>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</si>
  <si>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</si>
  <si>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</si>
  <si>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</si>
  <si>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</si>
  <si>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</si>
  <si>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</si>
  <si>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</si>
  <si>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</si>
  <si>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</si>
  <si>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</si>
  <si>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</si>
  <si>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</si>
  <si>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</si>
  <si>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</si>
  <si>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</si>
  <si>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</si>
  <si>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</si>
  <si>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</si>
  <si>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</si>
  <si>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</si>
  <si>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</si>
  <si>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</si>
  <si>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ТЭР 51-022</t>
  </si>
  <si>
    <t>ТЭР 51-020</t>
  </si>
  <si>
    <t>Влажная протирка подоконников</t>
  </si>
  <si>
    <t>Влажная протирка шкафов для щитов и слаботочн.устройств</t>
  </si>
  <si>
    <t>Осмотр шиферной  кровли</t>
  </si>
  <si>
    <t>ТЭР 42-003</t>
  </si>
  <si>
    <t>Осмотр деревянных конструкций стропил</t>
  </si>
  <si>
    <t>100 м3</t>
  </si>
  <si>
    <t>2-1-1а</t>
  </si>
  <si>
    <t>Проверка дымоходов</t>
  </si>
  <si>
    <t>Очистка оголовков дымоходов и вентканалов от наледи и снега (по необходимости) зимой</t>
  </si>
  <si>
    <t xml:space="preserve">ТЭР 54-041 </t>
  </si>
  <si>
    <t xml:space="preserve"> Очистка края кровли от слежавшегося снега со сбрасыванием сосулек (10% от S кровли) и козырьки</t>
  </si>
  <si>
    <t>6 раз за сезон</t>
  </si>
  <si>
    <t>Очистка от мусора</t>
  </si>
  <si>
    <t>10 шт.</t>
  </si>
  <si>
    <t>Смена ламп накаливания</t>
  </si>
  <si>
    <t>12 раз за сезон</t>
  </si>
  <si>
    <t>ТЭР 3-7-1в</t>
  </si>
  <si>
    <t xml:space="preserve">2 раза в месяц 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</si>
  <si>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</si>
  <si>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</si>
  <si>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</si>
  <si>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</si>
  <si>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</si>
  <si>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</si>
  <si>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</si>
  <si>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</si>
  <si>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</si>
  <si>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</si>
  <si>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декабрь</t>
  </si>
  <si>
    <t>Баланс выполненных работ на 01.01.2015 г. ( -долг за предприятием, +долг за населением)</t>
  </si>
  <si>
    <t>калькуляция</t>
  </si>
  <si>
    <t>Работа автовышки</t>
  </si>
  <si>
    <t>3 этажа, 3 подъезда</t>
  </si>
  <si>
    <t>Стоимость (руб.)</t>
  </si>
  <si>
    <t>договор</t>
  </si>
  <si>
    <t>ТО внутридомового газ.оборудования</t>
  </si>
  <si>
    <t>10 м</t>
  </si>
  <si>
    <t>Смена арматуры - вентилей и клапанов обратных муфтовых диаметром до 20 мм</t>
  </si>
  <si>
    <t>1 шт</t>
  </si>
  <si>
    <t>ТЭР 32-027</t>
  </si>
  <si>
    <t xml:space="preserve">Смена сгонов у трубопроводов диаметром до 20 мм </t>
  </si>
  <si>
    <t>1 сгон</t>
  </si>
  <si>
    <t>ТЭР 31-009</t>
  </si>
  <si>
    <t>Укрепление оконных и дверных приборов - пружин, ручек, петель, шпингалетов</t>
  </si>
  <si>
    <t>ТЭР 15-046</t>
  </si>
  <si>
    <t>Смена дверных приборов /замки навесные)</t>
  </si>
  <si>
    <t>ТЭР 15-051</t>
  </si>
  <si>
    <t>С учетом показателя инфляции      ( К=1,064)</t>
  </si>
  <si>
    <t>смета</t>
  </si>
  <si>
    <t>тыс. руб.</t>
  </si>
  <si>
    <t>Начислено за содержание и текущий ремонт за 2015  г.</t>
  </si>
  <si>
    <t>Выполнено работ по содержанию за        2015 г.</t>
  </si>
  <si>
    <t>Выполнено работ по текущему ремонту за 2015 г.</t>
  </si>
  <si>
    <t>Фактически оплачено за 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</si>
  <si>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</si>
  <si>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</si>
  <si>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групповых щитков на лестничной клетке без ремонта автоматов</t>
  </si>
  <si>
    <t>ТЭР 33-030</t>
  </si>
  <si>
    <t>Окраска наружной поверхности эл.щита</t>
  </si>
  <si>
    <t>Внеплановый осмотр электросетей, арматуры и электрооборудования на чердаках и подвалах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</si>
  <si>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</si>
  <si>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</si>
  <si>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</si>
  <si>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>Подключение и отключение сварочного аппарата</t>
  </si>
  <si>
    <t>ТЭР 33-060</t>
  </si>
  <si>
    <t>Ремонт кирпичной стены</t>
  </si>
  <si>
    <t xml:space="preserve"> м2</t>
  </si>
  <si>
    <t>Замена окон в подъездах</t>
  </si>
  <si>
    <t>Косметический ремонт подъездов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</si>
  <si>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7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</si>
  <si>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Выполне ние   ноябрь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</si>
</sst>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7" xfId="0" applyNumberFormat="1" applyFont="1" applyFill="1" applyBorder="1" applyAlignment="1">
      <alignment horizontal="center" vertical="center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1"/>
  <sheetViews>
    <sheetView tabSelected="1" view="pageBreakPreview" zoomScaleNormal="75" zoomScaleSheetLayoutView="100" workbookViewId="0">
      <pane ySplit="7" topLeftCell="A115" activePane="bottomLeft" state="frozen"/>
      <selection activeCell="B1" sqref="B1"/>
      <selection pane="bottomLeft" activeCell="T105" sqref="T105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140625" customWidth="1"/>
    <col min="10" max="10" width="10.28515625" customWidth="1"/>
    <col min="11" max="11" width="9.5703125" customWidth="1"/>
    <col min="12" max="13" width="10" customWidth="1"/>
    <col min="14" max="14" width="9.7109375" customWidth="1"/>
    <col min="15" max="15" width="9.85546875" customWidth="1"/>
    <col min="16" max="16" width="10.140625" customWidth="1"/>
    <col min="17" max="17" width="10.42578125" customWidth="1"/>
    <col min="18" max="18" width="10" customWidth="1"/>
    <col min="19" max="19" width="10.5703125" customWidth="1"/>
    <col min="20" max="20" width="9.85546875" customWidth="1"/>
    <col min="21" max="21" width="12.140625" customWidth="1"/>
  </cols>
  <sheetData>
    <row r="1" spans="1:21" ht="14.25" customHeight="1"/>
    <row r="3" spans="1:21" ht="18">
      <c r="A3" s="140"/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34.5" customHeight="1">
      <c r="A4" s="120"/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18">
      <c r="A5" s="120"/>
      <c r="B5" s="163" t="s">
        <v>224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20"/>
      <c r="N5" s="120"/>
      <c r="O5" s="120"/>
      <c r="P5" s="120"/>
      <c r="Q5" s="120"/>
      <c r="R5" s="120"/>
      <c r="S5" s="120"/>
      <c r="T5" s="120"/>
      <c r="U5" s="120"/>
    </row>
    <row r="6" spans="1:21" ht="15">
      <c r="A6" s="120"/>
      <c r="B6" s="164" t="s">
        <v>187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20"/>
      <c r="N6" s="120"/>
      <c r="O6" s="120"/>
      <c r="P6" s="120"/>
      <c r="Q6" s="120"/>
      <c r="R6" s="120"/>
      <c r="S6" s="120"/>
      <c r="T6" s="120"/>
      <c r="U6" s="120"/>
    </row>
    <row r="7" spans="1:21" ht="48.75" customHeight="1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6" t="s">
        <v>173</v>
      </c>
      <c r="J7" s="26" t="s">
        <v>174</v>
      </c>
      <c r="K7" s="26" t="s">
        <v>175</v>
      </c>
      <c r="L7" s="26" t="s">
        <v>176</v>
      </c>
      <c r="M7" s="26" t="s">
        <v>177</v>
      </c>
      <c r="N7" s="26" t="s">
        <v>178</v>
      </c>
      <c r="O7" s="26" t="s">
        <v>179</v>
      </c>
      <c r="P7" s="26" t="s">
        <v>180</v>
      </c>
      <c r="Q7" s="26" t="s">
        <v>181</v>
      </c>
      <c r="R7" s="26" t="s">
        <v>182</v>
      </c>
      <c r="S7" s="26" t="s">
        <v>225</v>
      </c>
      <c r="T7" s="26" t="s">
        <v>183</v>
      </c>
      <c r="U7" s="26" t="s">
        <v>188</v>
      </c>
    </row>
    <row r="8" spans="1:21">
      <c r="A8" s="29">
        <v>1</v>
      </c>
      <c r="B8" s="8">
        <v>2</v>
      </c>
      <c r="C8" s="29">
        <v>3</v>
      </c>
      <c r="D8" s="8">
        <v>4</v>
      </c>
      <c r="E8" s="8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22</v>
      </c>
    </row>
    <row r="9" spans="1:21" ht="38.25">
      <c r="A9" s="29"/>
      <c r="B9" s="10" t="s">
        <v>10</v>
      </c>
      <c r="C9" s="29"/>
      <c r="D9" s="11"/>
      <c r="E9" s="11"/>
      <c r="F9" s="29"/>
      <c r="G9" s="29"/>
      <c r="H9" s="33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6"/>
    </row>
    <row r="10" spans="1:21">
      <c r="A10" s="29"/>
      <c r="B10" s="10" t="s">
        <v>11</v>
      </c>
      <c r="C10" s="29"/>
      <c r="D10" s="11"/>
      <c r="E10" s="11"/>
      <c r="F10" s="29"/>
      <c r="G10" s="29"/>
      <c r="H10" s="33"/>
      <c r="I10" s="34"/>
      <c r="J10" s="34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29" t="s">
        <v>12</v>
      </c>
      <c r="B11" s="11" t="s">
        <v>13</v>
      </c>
      <c r="C11" s="29" t="s">
        <v>14</v>
      </c>
      <c r="D11" s="11" t="s">
        <v>15</v>
      </c>
      <c r="E11" s="37">
        <v>54.3</v>
      </c>
      <c r="F11" s="38">
        <f>SUM(E11*156/100)</f>
        <v>84.707999999999998</v>
      </c>
      <c r="G11" s="38">
        <v>175.38</v>
      </c>
      <c r="H11" s="39">
        <f t="shared" ref="H11:H21" si="0">SUM(F11*G11/1000)</f>
        <v>14.856089039999999</v>
      </c>
      <c r="I11" s="40">
        <f>F11/12*G11</f>
        <v>1238.0074199999999</v>
      </c>
      <c r="J11" s="40">
        <f>F11/12*G11</f>
        <v>1238.0074199999999</v>
      </c>
      <c r="K11" s="40">
        <f>F11/12*G11</f>
        <v>1238.0074199999999</v>
      </c>
      <c r="L11" s="40">
        <f>F11/12*G11</f>
        <v>1238.0074199999999</v>
      </c>
      <c r="M11" s="40">
        <f>F11/12*G11</f>
        <v>1238.0074199999999</v>
      </c>
      <c r="N11" s="40">
        <f>F11/12*G11</f>
        <v>1238.0074199999999</v>
      </c>
      <c r="O11" s="40">
        <f>F11/12*G11</f>
        <v>1238.0074199999999</v>
      </c>
      <c r="P11" s="40">
        <f>F11/12*G11</f>
        <v>1238.0074199999999</v>
      </c>
      <c r="Q11" s="40">
        <f>F11/12*G11</f>
        <v>1238.0074199999999</v>
      </c>
      <c r="R11" s="40">
        <f>F11/12*G11</f>
        <v>1238.0074199999999</v>
      </c>
      <c r="S11" s="40">
        <f>F11/12*G11</f>
        <v>1238.0074199999999</v>
      </c>
      <c r="T11" s="40">
        <f>F11/12*G11</f>
        <v>1238.0074199999999</v>
      </c>
      <c r="U11" s="40">
        <f t="shared" ref="U11:U21" si="1">SUM(I11:T11)</f>
        <v>14856.089039999999</v>
      </c>
    </row>
    <row r="12" spans="1:21" ht="25.5">
      <c r="A12" s="29" t="s">
        <v>12</v>
      </c>
      <c r="B12" s="11" t="s">
        <v>16</v>
      </c>
      <c r="C12" s="29" t="s">
        <v>14</v>
      </c>
      <c r="D12" s="11" t="s">
        <v>17</v>
      </c>
      <c r="E12" s="37">
        <v>108.4</v>
      </c>
      <c r="F12" s="38">
        <f>SUM(E12*104/100)</f>
        <v>112.736</v>
      </c>
      <c r="G12" s="38">
        <v>175.38</v>
      </c>
      <c r="H12" s="39">
        <f t="shared" si="0"/>
        <v>19.77163968</v>
      </c>
      <c r="I12" s="40">
        <f>F12/4*G12</f>
        <v>4942.9099200000001</v>
      </c>
      <c r="J12" s="40">
        <f>F12/12*G12</f>
        <v>1647.6366400000002</v>
      </c>
      <c r="K12" s="40">
        <f>F12/12*G12</f>
        <v>1647.6366400000002</v>
      </c>
      <c r="L12" s="40">
        <f>F12/12*G12</f>
        <v>1647.6366400000002</v>
      </c>
      <c r="M12" s="40">
        <f>F12/12*G12</f>
        <v>1647.6366400000002</v>
      </c>
      <c r="N12" s="40">
        <f>F12/12*G12</f>
        <v>1647.6366400000002</v>
      </c>
      <c r="O12" s="40">
        <f>F12/12*G12</f>
        <v>1647.6366400000002</v>
      </c>
      <c r="P12" s="40">
        <f>F12/12*G12</f>
        <v>1647.6366400000002</v>
      </c>
      <c r="Q12" s="40">
        <f>F12/12*G12</f>
        <v>1647.6366400000002</v>
      </c>
      <c r="R12" s="40">
        <f>F12/12*G12</f>
        <v>1647.6366400000002</v>
      </c>
      <c r="S12" s="40">
        <f>F12/12*G12</f>
        <v>1647.6366400000002</v>
      </c>
      <c r="T12" s="40">
        <f>F12/12*G12</f>
        <v>1647.6366400000002</v>
      </c>
      <c r="U12" s="40">
        <f t="shared" si="1"/>
        <v>23066.912960000005</v>
      </c>
    </row>
    <row r="13" spans="1:21" ht="25.5">
      <c r="A13" s="29" t="s">
        <v>18</v>
      </c>
      <c r="B13" s="11" t="s">
        <v>19</v>
      </c>
      <c r="C13" s="29" t="s">
        <v>14</v>
      </c>
      <c r="D13" s="11" t="s">
        <v>20</v>
      </c>
      <c r="E13" s="37">
        <f>SUM(E11+E12)</f>
        <v>162.69999999999999</v>
      </c>
      <c r="F13" s="38">
        <f>SUM(E13*24/100)</f>
        <v>39.047999999999995</v>
      </c>
      <c r="G13" s="38">
        <v>504.5</v>
      </c>
      <c r="H13" s="39">
        <f t="shared" si="0"/>
        <v>19.699715999999995</v>
      </c>
      <c r="I13" s="40">
        <f>F13/24*6*G13</f>
        <v>4924.9289999999992</v>
      </c>
      <c r="J13" s="40">
        <f>F13/12*G13</f>
        <v>1641.6429999999998</v>
      </c>
      <c r="K13" s="40">
        <f>F13/12*G13</f>
        <v>1641.6429999999998</v>
      </c>
      <c r="L13" s="40">
        <f>F13/12*G13</f>
        <v>1641.6429999999998</v>
      </c>
      <c r="M13" s="40">
        <f>F13/12*G13</f>
        <v>1641.6429999999998</v>
      </c>
      <c r="N13" s="40">
        <f>F13/12*G13</f>
        <v>1641.6429999999998</v>
      </c>
      <c r="O13" s="40">
        <f>F13/12*G13</f>
        <v>1641.6429999999998</v>
      </c>
      <c r="P13" s="40">
        <f>F13/12*G13</f>
        <v>1641.6429999999998</v>
      </c>
      <c r="Q13" s="40">
        <f>F13/12*G13</f>
        <v>1641.6429999999998</v>
      </c>
      <c r="R13" s="40">
        <f>F13/12*G13</f>
        <v>1641.6429999999998</v>
      </c>
      <c r="S13" s="40">
        <f>F13/12*G13</f>
        <v>1641.6429999999998</v>
      </c>
      <c r="T13" s="40">
        <f>F13/12*G13</f>
        <v>1641.6429999999998</v>
      </c>
      <c r="U13" s="40">
        <f t="shared" si="1"/>
        <v>22983.001999999997</v>
      </c>
    </row>
    <row r="14" spans="1:21">
      <c r="A14" s="29" t="s">
        <v>21</v>
      </c>
      <c r="B14" s="11" t="s">
        <v>22</v>
      </c>
      <c r="C14" s="29" t="s">
        <v>23</v>
      </c>
      <c r="D14" s="11" t="s">
        <v>143</v>
      </c>
      <c r="E14" s="37">
        <v>15.3</v>
      </c>
      <c r="F14" s="38">
        <f>SUM(E14/10)</f>
        <v>1.53</v>
      </c>
      <c r="G14" s="38">
        <v>170.16</v>
      </c>
      <c r="H14" s="39">
        <f t="shared" si="0"/>
        <v>0.26034480000000004</v>
      </c>
      <c r="I14" s="40">
        <v>0</v>
      </c>
      <c r="J14" s="40">
        <v>0</v>
      </c>
      <c r="K14" s="40">
        <v>0</v>
      </c>
      <c r="L14" s="40">
        <v>0</v>
      </c>
      <c r="M14" s="40">
        <f>F14*G14</f>
        <v>260.34480000000002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260.34480000000002</v>
      </c>
    </row>
    <row r="15" spans="1:21">
      <c r="A15" s="29" t="s">
        <v>24</v>
      </c>
      <c r="B15" s="11" t="s">
        <v>25</v>
      </c>
      <c r="C15" s="29" t="s">
        <v>14</v>
      </c>
      <c r="D15" s="11" t="s">
        <v>144</v>
      </c>
      <c r="E15" s="37">
        <v>19.62</v>
      </c>
      <c r="F15" s="38">
        <f>SUM(E15*12/100)</f>
        <v>2.3544</v>
      </c>
      <c r="G15" s="38">
        <v>217.88</v>
      </c>
      <c r="H15" s="39">
        <f t="shared" si="0"/>
        <v>0.51297667199999997</v>
      </c>
      <c r="I15" s="40">
        <f>F15/12*G15</f>
        <v>42.748056000000005</v>
      </c>
      <c r="J15" s="40">
        <f>F15/12*G15</f>
        <v>42.748056000000005</v>
      </c>
      <c r="K15" s="40">
        <f>F15/12*G15</f>
        <v>42.748056000000005</v>
      </c>
      <c r="L15" s="40">
        <f>F15/12*G15</f>
        <v>42.748056000000005</v>
      </c>
      <c r="M15" s="40">
        <f>F15/12*G15</f>
        <v>42.748056000000005</v>
      </c>
      <c r="N15" s="40">
        <f>F15/12*G15</f>
        <v>42.748056000000005</v>
      </c>
      <c r="O15" s="40">
        <f>F15/12*G15</f>
        <v>42.748056000000005</v>
      </c>
      <c r="P15" s="40">
        <f>F15/12*G15</f>
        <v>42.748056000000005</v>
      </c>
      <c r="Q15" s="40">
        <f>F15/12*G15</f>
        <v>42.748056000000005</v>
      </c>
      <c r="R15" s="40">
        <f>F15/12*G15</f>
        <v>42.748056000000005</v>
      </c>
      <c r="S15" s="40">
        <f>F15/12*G15</f>
        <v>42.748056000000005</v>
      </c>
      <c r="T15" s="40">
        <f>F15/12*G15</f>
        <v>42.748056000000005</v>
      </c>
      <c r="U15" s="40">
        <f t="shared" si="1"/>
        <v>512.97667200000012</v>
      </c>
    </row>
    <row r="16" spans="1:21">
      <c r="A16" s="29" t="s">
        <v>26</v>
      </c>
      <c r="B16" s="11" t="s">
        <v>27</v>
      </c>
      <c r="C16" s="29" t="s">
        <v>14</v>
      </c>
      <c r="D16" s="11" t="s">
        <v>144</v>
      </c>
      <c r="E16" s="37">
        <v>8.68</v>
      </c>
      <c r="F16" s="38">
        <f>SUM(E16*12/100)</f>
        <v>1.0415999999999999</v>
      </c>
      <c r="G16" s="38">
        <v>216.12</v>
      </c>
      <c r="H16" s="39">
        <f t="shared" si="0"/>
        <v>0.22511059199999997</v>
      </c>
      <c r="I16" s="40">
        <f>F16/12*G16</f>
        <v>18.759215999999999</v>
      </c>
      <c r="J16" s="40">
        <f>F16/12*G16</f>
        <v>18.759215999999999</v>
      </c>
      <c r="K16" s="40">
        <f>F16/12*G16</f>
        <v>18.759215999999999</v>
      </c>
      <c r="L16" s="40">
        <f>F16/12*G16</f>
        <v>18.759215999999999</v>
      </c>
      <c r="M16" s="40">
        <f>F16/12*G16</f>
        <v>18.759215999999999</v>
      </c>
      <c r="N16" s="40">
        <f>F16/12*G16</f>
        <v>18.759215999999999</v>
      </c>
      <c r="O16" s="40">
        <f>F16/12*G16</f>
        <v>18.759215999999999</v>
      </c>
      <c r="P16" s="40">
        <f>F16/12*G16</f>
        <v>18.759215999999999</v>
      </c>
      <c r="Q16" s="40">
        <f>F16/12*G16</f>
        <v>18.759215999999999</v>
      </c>
      <c r="R16" s="40">
        <f>F16/12*G16</f>
        <v>18.759215999999999</v>
      </c>
      <c r="S16" s="40">
        <f>F16/12*G16</f>
        <v>18.759215999999999</v>
      </c>
      <c r="T16" s="40">
        <f>F16/12*G16</f>
        <v>18.759215999999999</v>
      </c>
      <c r="U16" s="40">
        <f t="shared" si="1"/>
        <v>225.11059200000003</v>
      </c>
    </row>
    <row r="17" spans="1:21">
      <c r="A17" s="29" t="s">
        <v>28</v>
      </c>
      <c r="B17" s="11" t="s">
        <v>29</v>
      </c>
      <c r="C17" s="29" t="s">
        <v>30</v>
      </c>
      <c r="D17" s="11" t="s">
        <v>143</v>
      </c>
      <c r="E17" s="37">
        <v>215</v>
      </c>
      <c r="F17" s="38">
        <f>SUM(E17/100)</f>
        <v>2.15</v>
      </c>
      <c r="G17" s="38">
        <v>269.26</v>
      </c>
      <c r="H17" s="39">
        <f t="shared" si="0"/>
        <v>0.57890900000000001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>F17*G17</f>
        <v>578.90899999999999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578.90899999999999</v>
      </c>
    </row>
    <row r="18" spans="1:21">
      <c r="A18" s="29" t="s">
        <v>31</v>
      </c>
      <c r="B18" s="11" t="s">
        <v>32</v>
      </c>
      <c r="C18" s="29" t="s">
        <v>30</v>
      </c>
      <c r="D18" s="11" t="s">
        <v>143</v>
      </c>
      <c r="E18" s="42">
        <v>17.64</v>
      </c>
      <c r="F18" s="38">
        <f>SUM(E18/100)</f>
        <v>0.1764</v>
      </c>
      <c r="G18" s="38">
        <v>44.29</v>
      </c>
      <c r="H18" s="39">
        <f t="shared" si="0"/>
        <v>7.8127560000000006E-3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f>F18*G18</f>
        <v>7.8127560000000003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7.8127560000000003</v>
      </c>
    </row>
    <row r="19" spans="1:21">
      <c r="A19" s="29" t="s">
        <v>154</v>
      </c>
      <c r="B19" s="11" t="s">
        <v>155</v>
      </c>
      <c r="C19" s="29" t="s">
        <v>30</v>
      </c>
      <c r="D19" s="11" t="s">
        <v>143</v>
      </c>
      <c r="E19" s="43">
        <v>4.5</v>
      </c>
      <c r="F19" s="44">
        <v>0.05</v>
      </c>
      <c r="G19" s="38">
        <v>398.72</v>
      </c>
      <c r="H19" s="39">
        <f>F19*G19/1000</f>
        <v>1.9936000000000002E-2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f>F19*G19</f>
        <v>19.936000000000003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19.936000000000003</v>
      </c>
    </row>
    <row r="20" spans="1:21" ht="25.5">
      <c r="A20" s="29" t="s">
        <v>153</v>
      </c>
      <c r="B20" s="11" t="s">
        <v>156</v>
      </c>
      <c r="C20" s="29" t="s">
        <v>30</v>
      </c>
      <c r="D20" s="11" t="s">
        <v>143</v>
      </c>
      <c r="E20" s="42">
        <v>9.4499999999999993</v>
      </c>
      <c r="F20" s="38">
        <v>0.09</v>
      </c>
      <c r="G20" s="38">
        <v>216.12</v>
      </c>
      <c r="H20" s="39">
        <f>F20*G20/1000</f>
        <v>1.9450800000000001E-2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f>F20*G20</f>
        <v>19.450800000000001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19.450800000000001</v>
      </c>
    </row>
    <row r="21" spans="1:21">
      <c r="A21" s="29" t="s">
        <v>33</v>
      </c>
      <c r="B21" s="11" t="s">
        <v>34</v>
      </c>
      <c r="C21" s="29" t="s">
        <v>30</v>
      </c>
      <c r="D21" s="11" t="s">
        <v>143</v>
      </c>
      <c r="E21" s="37">
        <v>14.4</v>
      </c>
      <c r="F21" s="38">
        <f>SUM(E21/100)</f>
        <v>0.14400000000000002</v>
      </c>
      <c r="G21" s="38">
        <v>520.79999999999995</v>
      </c>
      <c r="H21" s="39">
        <f t="shared" si="0"/>
        <v>7.4995199999999998E-2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f>F21*G21</f>
        <v>74.995199999999997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"/>
        <v>74.995199999999997</v>
      </c>
    </row>
    <row r="22" spans="1:21" s="19" customFormat="1">
      <c r="A22" s="45"/>
      <c r="B22" s="20" t="s">
        <v>35</v>
      </c>
      <c r="C22" s="46"/>
      <c r="D22" s="20"/>
      <c r="E22" s="47"/>
      <c r="F22" s="48"/>
      <c r="G22" s="48"/>
      <c r="H22" s="49">
        <f>SUM(H11:H21)</f>
        <v>56.026980539999997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>
        <f>SUM(U11:U21)</f>
        <v>62605.539819999991</v>
      </c>
    </row>
    <row r="23" spans="1:21">
      <c r="A23" s="29"/>
      <c r="B23" s="12" t="s">
        <v>36</v>
      </c>
      <c r="C23" s="29"/>
      <c r="D23" s="11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5.5" customHeight="1">
      <c r="A24" s="29" t="s">
        <v>37</v>
      </c>
      <c r="B24" s="11" t="s">
        <v>38</v>
      </c>
      <c r="C24" s="29" t="s">
        <v>42</v>
      </c>
      <c r="D24" s="11" t="s">
        <v>39</v>
      </c>
      <c r="E24" s="38">
        <v>547.23</v>
      </c>
      <c r="F24" s="38">
        <f>SUM(E24*52/1000)</f>
        <v>28.455959999999997</v>
      </c>
      <c r="G24" s="38">
        <v>155.88999999999999</v>
      </c>
      <c r="H24" s="39">
        <f t="shared" ref="H24:H31" si="2">SUM(F24*G24/1000)</f>
        <v>4.4359996043999992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739.33326739999995</v>
      </c>
      <c r="N24" s="40">
        <f>F24/6*G24</f>
        <v>739.33326739999995</v>
      </c>
      <c r="O24" s="40">
        <f>F24/6*G24</f>
        <v>739.33326739999995</v>
      </c>
      <c r="P24" s="40">
        <f>F24/6*G24</f>
        <v>739.33326739999995</v>
      </c>
      <c r="Q24" s="40">
        <f>F24/6*G24</f>
        <v>739.33326739999995</v>
      </c>
      <c r="R24" s="40">
        <f>F24/6*G24</f>
        <v>739.33326739999995</v>
      </c>
      <c r="S24" s="40">
        <v>0</v>
      </c>
      <c r="T24" s="40">
        <v>0</v>
      </c>
      <c r="U24" s="40">
        <f t="shared" ref="U24:U31" si="3">SUM(I24:T24)</f>
        <v>4435.9996044</v>
      </c>
    </row>
    <row r="25" spans="1:21" ht="38.25" customHeight="1">
      <c r="A25" s="29" t="s">
        <v>40</v>
      </c>
      <c r="B25" s="11" t="s">
        <v>41</v>
      </c>
      <c r="C25" s="29" t="s">
        <v>42</v>
      </c>
      <c r="D25" s="11" t="s">
        <v>43</v>
      </c>
      <c r="E25" s="38">
        <v>230.05</v>
      </c>
      <c r="F25" s="38">
        <f>SUM(E25*78/1000)</f>
        <v>17.943900000000003</v>
      </c>
      <c r="G25" s="38">
        <v>258.63</v>
      </c>
      <c r="H25" s="39">
        <f t="shared" si="2"/>
        <v>4.640830857000001</v>
      </c>
      <c r="I25" s="40">
        <v>0</v>
      </c>
      <c r="J25" s="40">
        <v>0</v>
      </c>
      <c r="K25" s="40">
        <v>0</v>
      </c>
      <c r="L25" s="40">
        <v>0</v>
      </c>
      <c r="M25" s="40">
        <f>F25/6*G25</f>
        <v>773.47180950000006</v>
      </c>
      <c r="N25" s="40">
        <f>F25/6*G25</f>
        <v>773.47180950000006</v>
      </c>
      <c r="O25" s="40">
        <f>F25/6*G25</f>
        <v>773.47180950000006</v>
      </c>
      <c r="P25" s="40">
        <f>F25/6*G25</f>
        <v>773.47180950000006</v>
      </c>
      <c r="Q25" s="40">
        <f>F25/6*G25</f>
        <v>773.47180950000006</v>
      </c>
      <c r="R25" s="40">
        <f>F25/6*G25</f>
        <v>773.47180950000006</v>
      </c>
      <c r="S25" s="40">
        <v>0</v>
      </c>
      <c r="T25" s="40">
        <v>0</v>
      </c>
      <c r="U25" s="40">
        <f t="shared" si="3"/>
        <v>4640.8308569999999</v>
      </c>
    </row>
    <row r="26" spans="1:21">
      <c r="A26" s="29" t="s">
        <v>44</v>
      </c>
      <c r="B26" s="11" t="s">
        <v>45</v>
      </c>
      <c r="C26" s="29" t="s">
        <v>42</v>
      </c>
      <c r="D26" s="11" t="s">
        <v>46</v>
      </c>
      <c r="E26" s="38">
        <v>547.23</v>
      </c>
      <c r="F26" s="38">
        <f>SUM(E26/1000)</f>
        <v>0.54722999999999999</v>
      </c>
      <c r="G26" s="38">
        <v>3020.33</v>
      </c>
      <c r="H26" s="39">
        <f t="shared" si="2"/>
        <v>1.6528151859</v>
      </c>
      <c r="I26" s="40">
        <v>0</v>
      </c>
      <c r="J26" s="40">
        <v>0</v>
      </c>
      <c r="K26" s="40">
        <v>0</v>
      </c>
      <c r="L26" s="40">
        <v>0</v>
      </c>
      <c r="M26" s="40">
        <f>F26*G26</f>
        <v>1652.8151859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3"/>
        <v>1652.8151859</v>
      </c>
    </row>
    <row r="27" spans="1:21">
      <c r="A27" s="29" t="s">
        <v>47</v>
      </c>
      <c r="B27" s="11" t="s">
        <v>48</v>
      </c>
      <c r="C27" s="29" t="s">
        <v>49</v>
      </c>
      <c r="D27" s="11" t="s">
        <v>50</v>
      </c>
      <c r="E27" s="52">
        <v>0.33333333333333331</v>
      </c>
      <c r="F27" s="38">
        <f>155/3</f>
        <v>51.666666666666664</v>
      </c>
      <c r="G27" s="38">
        <v>56.69</v>
      </c>
      <c r="H27" s="39">
        <f>SUM(G27*155/3/1000)</f>
        <v>2.9289833333333331</v>
      </c>
      <c r="I27" s="40">
        <v>0</v>
      </c>
      <c r="J27" s="40">
        <v>0</v>
      </c>
      <c r="K27" s="40">
        <v>0</v>
      </c>
      <c r="L27" s="40">
        <v>0</v>
      </c>
      <c r="M27" s="40">
        <f>F27/6*G27</f>
        <v>488.16388888888883</v>
      </c>
      <c r="N27" s="40">
        <f>F27/6*G27</f>
        <v>488.16388888888883</v>
      </c>
      <c r="O27" s="40">
        <f>F27/6*G27</f>
        <v>488.16388888888883</v>
      </c>
      <c r="P27" s="40">
        <f>F27/6*G27</f>
        <v>488.16388888888883</v>
      </c>
      <c r="Q27" s="40">
        <f>F27/6*G27</f>
        <v>488.16388888888883</v>
      </c>
      <c r="R27" s="40">
        <f>F27/6*G27</f>
        <v>488.16388888888883</v>
      </c>
      <c r="S27" s="40">
        <v>0</v>
      </c>
      <c r="T27" s="40">
        <v>0</v>
      </c>
      <c r="U27" s="40">
        <f t="shared" si="3"/>
        <v>2928.9833333333331</v>
      </c>
    </row>
    <row r="28" spans="1:21" ht="12.75" customHeight="1">
      <c r="A28" s="29" t="s">
        <v>51</v>
      </c>
      <c r="B28" s="11" t="s">
        <v>52</v>
      </c>
      <c r="C28" s="29" t="s">
        <v>53</v>
      </c>
      <c r="D28" s="11" t="s">
        <v>54</v>
      </c>
      <c r="E28" s="53">
        <v>0.1</v>
      </c>
      <c r="F28" s="38">
        <f>SUM(E28*365)</f>
        <v>36.5</v>
      </c>
      <c r="G28" s="38">
        <v>147.03</v>
      </c>
      <c r="H28" s="39">
        <f t="shared" si="2"/>
        <v>5.3665950000000002</v>
      </c>
      <c r="I28" s="40">
        <f>F28/12*G28</f>
        <v>447.21625</v>
      </c>
      <c r="J28" s="40">
        <f>F28/12*G28</f>
        <v>447.21625</v>
      </c>
      <c r="K28" s="40">
        <f>F28/12*G28</f>
        <v>447.21625</v>
      </c>
      <c r="L28" s="40">
        <f>F28/12*G28</f>
        <v>447.21625</v>
      </c>
      <c r="M28" s="40">
        <f>F28/12*G28</f>
        <v>447.21625</v>
      </c>
      <c r="N28" s="40">
        <f>F28/12*G28</f>
        <v>447.21625</v>
      </c>
      <c r="O28" s="40">
        <f>F28/12*G28</f>
        <v>447.21625</v>
      </c>
      <c r="P28" s="40">
        <f>F28/12*G28</f>
        <v>447.21625</v>
      </c>
      <c r="Q28" s="40">
        <f>F28/12*G28</f>
        <v>447.21625</v>
      </c>
      <c r="R28" s="40">
        <f>F28/12*G28</f>
        <v>447.21625</v>
      </c>
      <c r="S28" s="40">
        <f>F28/12*G28</f>
        <v>447.21625</v>
      </c>
      <c r="T28" s="40">
        <f>F28/12*G28</f>
        <v>447.21625</v>
      </c>
      <c r="U28" s="40">
        <f t="shared" si="3"/>
        <v>5366.5950000000012</v>
      </c>
    </row>
    <row r="29" spans="1:21" ht="12.75" customHeight="1">
      <c r="A29" s="29" t="s">
        <v>56</v>
      </c>
      <c r="B29" s="11" t="s">
        <v>57</v>
      </c>
      <c r="C29" s="29" t="s">
        <v>53</v>
      </c>
      <c r="D29" s="11" t="s">
        <v>55</v>
      </c>
      <c r="E29" s="37"/>
      <c r="F29" s="38">
        <v>2</v>
      </c>
      <c r="G29" s="38">
        <v>191.32</v>
      </c>
      <c r="H29" s="39">
        <f t="shared" si="2"/>
        <v>0.38263999999999998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3"/>
        <v>0</v>
      </c>
    </row>
    <row r="30" spans="1:21" ht="13.5" customHeight="1">
      <c r="A30" s="29" t="s">
        <v>58</v>
      </c>
      <c r="B30" s="11" t="s">
        <v>59</v>
      </c>
      <c r="C30" s="29" t="s">
        <v>60</v>
      </c>
      <c r="D30" s="11" t="s">
        <v>55</v>
      </c>
      <c r="E30" s="37"/>
      <c r="F30" s="38">
        <v>3</v>
      </c>
      <c r="G30" s="38">
        <v>1136.32</v>
      </c>
      <c r="H30" s="39">
        <f t="shared" si="2"/>
        <v>3.40896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3"/>
        <v>0</v>
      </c>
    </row>
    <row r="31" spans="1:21">
      <c r="A31" s="29"/>
      <c r="B31" s="54" t="s">
        <v>61</v>
      </c>
      <c r="C31" s="29" t="s">
        <v>62</v>
      </c>
      <c r="D31" s="54" t="s">
        <v>54</v>
      </c>
      <c r="E31" s="37">
        <v>1839.1</v>
      </c>
      <c r="F31" s="38">
        <f>SUM(E31*12)</f>
        <v>22069.199999999997</v>
      </c>
      <c r="G31" s="38">
        <v>5.47</v>
      </c>
      <c r="H31" s="39">
        <f t="shared" si="2"/>
        <v>120.71852399999997</v>
      </c>
      <c r="I31" s="40">
        <f>F31/12*G31</f>
        <v>10059.876999999999</v>
      </c>
      <c r="J31" s="40">
        <f>F31/12*G31</f>
        <v>10059.876999999999</v>
      </c>
      <c r="K31" s="40">
        <f>F31/12*G31</f>
        <v>10059.876999999999</v>
      </c>
      <c r="L31" s="40">
        <f>F31/12*G31</f>
        <v>10059.876999999999</v>
      </c>
      <c r="M31" s="40">
        <f>F31/12*G31</f>
        <v>10059.876999999999</v>
      </c>
      <c r="N31" s="40">
        <f>F31/12*G31</f>
        <v>10059.876999999999</v>
      </c>
      <c r="O31" s="40">
        <f>F31/12*G31</f>
        <v>10059.876999999999</v>
      </c>
      <c r="P31" s="40">
        <f>F31/12*G31</f>
        <v>10059.876999999999</v>
      </c>
      <c r="Q31" s="40">
        <f>F31/12*G31</f>
        <v>10059.876999999999</v>
      </c>
      <c r="R31" s="40">
        <f>F31/12*G31</f>
        <v>10059.876999999999</v>
      </c>
      <c r="S31" s="40">
        <f>F31/12*G31</f>
        <v>10059.876999999999</v>
      </c>
      <c r="T31" s="40">
        <f>F31/12*G31</f>
        <v>10059.876999999999</v>
      </c>
      <c r="U31" s="40">
        <f t="shared" si="3"/>
        <v>120718.52399999996</v>
      </c>
    </row>
    <row r="32" spans="1:21" s="19" customFormat="1">
      <c r="A32" s="45"/>
      <c r="B32" s="20" t="s">
        <v>35</v>
      </c>
      <c r="C32" s="46"/>
      <c r="D32" s="20"/>
      <c r="E32" s="47"/>
      <c r="F32" s="48"/>
      <c r="G32" s="48"/>
      <c r="H32" s="55">
        <f>SUM(H24:H31)</f>
        <v>143.5353479806333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>
        <f>SUM(U24:U31)</f>
        <v>139743.74798063328</v>
      </c>
    </row>
    <row r="33" spans="1:21">
      <c r="A33" s="29"/>
      <c r="B33" s="12" t="s">
        <v>64</v>
      </c>
      <c r="C33" s="29"/>
      <c r="D33" s="11"/>
      <c r="E33" s="37"/>
      <c r="F33" s="38"/>
      <c r="G33" s="38"/>
      <c r="H33" s="39" t="s">
        <v>63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25.5">
      <c r="A34" s="29" t="s">
        <v>58</v>
      </c>
      <c r="B34" s="13" t="s">
        <v>65</v>
      </c>
      <c r="C34" s="29" t="s">
        <v>60</v>
      </c>
      <c r="D34" s="11"/>
      <c r="E34" s="37"/>
      <c r="F34" s="38">
        <v>4</v>
      </c>
      <c r="G34" s="38">
        <v>1527.22</v>
      </c>
      <c r="H34" s="39">
        <f t="shared" ref="H34:H40" si="4">SUM(F34*G34/1000)</f>
        <v>6.1088800000000001</v>
      </c>
      <c r="I34" s="40">
        <f>F34/6*G34</f>
        <v>1018.1466666666666</v>
      </c>
      <c r="J34" s="40">
        <f>F34/6*G34</f>
        <v>1018.1466666666666</v>
      </c>
      <c r="K34" s="40">
        <f>F34/6*G34</f>
        <v>1018.1466666666666</v>
      </c>
      <c r="L34" s="40">
        <f>F34/6*G34</f>
        <v>1018.1466666666666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f>F34/6*G34</f>
        <v>1018.1466666666666</v>
      </c>
      <c r="T34" s="40">
        <f>F34/6*G34</f>
        <v>1018.1466666666666</v>
      </c>
      <c r="U34" s="40">
        <f t="shared" ref="U34:U40" si="5">SUM(I34:T34)</f>
        <v>6108.88</v>
      </c>
    </row>
    <row r="35" spans="1:21" s="1" customFormat="1">
      <c r="A35" s="56" t="s">
        <v>66</v>
      </c>
      <c r="B35" s="13" t="s">
        <v>67</v>
      </c>
      <c r="C35" s="56" t="s">
        <v>68</v>
      </c>
      <c r="D35" s="13" t="s">
        <v>69</v>
      </c>
      <c r="E35" s="57">
        <v>230.05</v>
      </c>
      <c r="F35" s="57">
        <f>SUM(E35*50/1000)</f>
        <v>11.5025</v>
      </c>
      <c r="G35" s="57">
        <v>2102.71</v>
      </c>
      <c r="H35" s="39">
        <f t="shared" si="4"/>
        <v>24.186421774999999</v>
      </c>
      <c r="I35" s="58">
        <f>F35/6*G35</f>
        <v>4031.0702958333331</v>
      </c>
      <c r="J35" s="58">
        <f>F35/6*G35</f>
        <v>4031.0702958333331</v>
      </c>
      <c r="K35" s="58">
        <f>F35/6*G35</f>
        <v>4031.0702958333331</v>
      </c>
      <c r="L35" s="58">
        <f>F35/6*G35</f>
        <v>4031.0702958333331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f>F35/6*G35</f>
        <v>4031.0702958333331</v>
      </c>
      <c r="T35" s="58">
        <f>F35/6*G35</f>
        <v>4031.0702958333331</v>
      </c>
      <c r="U35" s="40">
        <f t="shared" si="5"/>
        <v>24186.421775000003</v>
      </c>
    </row>
    <row r="36" spans="1:21">
      <c r="A36" s="29" t="s">
        <v>58</v>
      </c>
      <c r="B36" s="11" t="s">
        <v>151</v>
      </c>
      <c r="C36" s="29" t="s">
        <v>105</v>
      </c>
      <c r="D36" s="11" t="s">
        <v>55</v>
      </c>
      <c r="E36" s="37"/>
      <c r="F36" s="57">
        <v>0</v>
      </c>
      <c r="G36" s="38">
        <v>213.2</v>
      </c>
      <c r="H36" s="39">
        <f>G36*F36/1000</f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5"/>
        <v>0</v>
      </c>
    </row>
    <row r="37" spans="1:21" ht="24.75" customHeight="1">
      <c r="A37" s="29" t="s">
        <v>70</v>
      </c>
      <c r="B37" s="11" t="s">
        <v>71</v>
      </c>
      <c r="C37" s="29" t="s">
        <v>68</v>
      </c>
      <c r="D37" s="11" t="s">
        <v>72</v>
      </c>
      <c r="E37" s="38">
        <v>48.45</v>
      </c>
      <c r="F37" s="57">
        <f>SUM(E37*155/1000)</f>
        <v>7.5097500000000004</v>
      </c>
      <c r="G37" s="38">
        <v>350.75</v>
      </c>
      <c r="H37" s="39">
        <f t="shared" si="4"/>
        <v>2.6340448125000004</v>
      </c>
      <c r="I37" s="40">
        <f>F37/6*G37</f>
        <v>439.00746874999999</v>
      </c>
      <c r="J37" s="40">
        <f>F37/6*G37</f>
        <v>439.00746874999999</v>
      </c>
      <c r="K37" s="40">
        <f>F37/6*G37</f>
        <v>439.00746874999999</v>
      </c>
      <c r="L37" s="40">
        <f>F37/6*G37</f>
        <v>439.00746874999999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>F37/6*G37</f>
        <v>439.00746874999999</v>
      </c>
      <c r="T37" s="40">
        <f>F37/6*G37</f>
        <v>439.00746874999999</v>
      </c>
      <c r="U37" s="40">
        <f t="shared" si="5"/>
        <v>2634.0448124999998</v>
      </c>
    </row>
    <row r="38" spans="1:21" ht="51" customHeight="1">
      <c r="A38" s="29" t="s">
        <v>73</v>
      </c>
      <c r="B38" s="11" t="s">
        <v>74</v>
      </c>
      <c r="C38" s="29" t="s">
        <v>42</v>
      </c>
      <c r="D38" s="11" t="s">
        <v>170</v>
      </c>
      <c r="E38" s="38">
        <v>48.45</v>
      </c>
      <c r="F38" s="57">
        <f>SUM(E38*12/1000)</f>
        <v>0.58140000000000014</v>
      </c>
      <c r="G38" s="38">
        <v>5803.28</v>
      </c>
      <c r="H38" s="39">
        <f t="shared" si="4"/>
        <v>3.3740269920000006</v>
      </c>
      <c r="I38" s="40">
        <f>F38/6*G38</f>
        <v>562.33783200000016</v>
      </c>
      <c r="J38" s="40">
        <f>F38/6*G38</f>
        <v>562.33783200000016</v>
      </c>
      <c r="K38" s="40">
        <f>F38/6*G38</f>
        <v>562.33783200000016</v>
      </c>
      <c r="L38" s="40">
        <f>F38/6*G38</f>
        <v>562.33783200000016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>F38/6*G38</f>
        <v>562.33783200000016</v>
      </c>
      <c r="T38" s="40">
        <f>F38/6*G38</f>
        <v>562.33783200000016</v>
      </c>
      <c r="U38" s="40">
        <f t="shared" si="5"/>
        <v>3374.026992000001</v>
      </c>
    </row>
    <row r="39" spans="1:21" ht="12.75" customHeight="1">
      <c r="A39" s="29" t="s">
        <v>75</v>
      </c>
      <c r="B39" s="11" t="s">
        <v>76</v>
      </c>
      <c r="C39" s="29" t="s">
        <v>42</v>
      </c>
      <c r="D39" s="11" t="s">
        <v>77</v>
      </c>
      <c r="E39" s="38">
        <v>48.45</v>
      </c>
      <c r="F39" s="57">
        <f>SUM(E39*45/1000)</f>
        <v>2.18025</v>
      </c>
      <c r="G39" s="38">
        <v>428.7</v>
      </c>
      <c r="H39" s="39">
        <f t="shared" si="4"/>
        <v>0.93467317500000002</v>
      </c>
      <c r="I39" s="40">
        <f>F39/6*G39</f>
        <v>155.7788625</v>
      </c>
      <c r="J39" s="40">
        <f>F39/6*G39</f>
        <v>155.7788625</v>
      </c>
      <c r="K39" s="40">
        <f>F39/6*G39</f>
        <v>155.7788625</v>
      </c>
      <c r="L39" s="40">
        <f>F39/6*G39</f>
        <v>155.7788625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>F39/6*G39</f>
        <v>155.7788625</v>
      </c>
      <c r="T39" s="40">
        <f>F39/6*G39</f>
        <v>155.7788625</v>
      </c>
      <c r="U39" s="40">
        <f t="shared" si="5"/>
        <v>934.67317500000013</v>
      </c>
    </row>
    <row r="40" spans="1:21" s="2" customFormat="1">
      <c r="A40" s="56"/>
      <c r="B40" s="13" t="s">
        <v>78</v>
      </c>
      <c r="C40" s="56" t="s">
        <v>53</v>
      </c>
      <c r="D40" s="13"/>
      <c r="E40" s="53"/>
      <c r="F40" s="57">
        <v>0.5</v>
      </c>
      <c r="G40" s="57">
        <v>798</v>
      </c>
      <c r="H40" s="39">
        <f t="shared" si="4"/>
        <v>0.39900000000000002</v>
      </c>
      <c r="I40" s="58">
        <f>F40/6*G40</f>
        <v>66.5</v>
      </c>
      <c r="J40" s="58">
        <f>F40/6*G40</f>
        <v>66.5</v>
      </c>
      <c r="K40" s="58">
        <f>F40/6*G40</f>
        <v>66.5</v>
      </c>
      <c r="L40" s="58">
        <f>F40/6*G40</f>
        <v>66.5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f>F40/6*G40</f>
        <v>66.5</v>
      </c>
      <c r="T40" s="58">
        <f>F40/6*G40</f>
        <v>66.5</v>
      </c>
      <c r="U40" s="40">
        <f t="shared" si="5"/>
        <v>399</v>
      </c>
    </row>
    <row r="41" spans="1:21" s="19" customFormat="1">
      <c r="A41" s="45"/>
      <c r="B41" s="20" t="s">
        <v>35</v>
      </c>
      <c r="C41" s="46"/>
      <c r="D41" s="20"/>
      <c r="E41" s="47"/>
      <c r="F41" s="48" t="s">
        <v>63</v>
      </c>
      <c r="G41" s="48"/>
      <c r="H41" s="55">
        <f>SUM(H34:H40)</f>
        <v>37.637046754499998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>
        <f>SUM(U34:U40)</f>
        <v>37637.046754500007</v>
      </c>
    </row>
    <row r="42" spans="1:21">
      <c r="A42" s="29"/>
      <c r="B42" s="14" t="s">
        <v>79</v>
      </c>
      <c r="C42" s="29"/>
      <c r="D42" s="11"/>
      <c r="E42" s="37"/>
      <c r="F42" s="38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>
      <c r="A43" s="29" t="s">
        <v>171</v>
      </c>
      <c r="B43" s="11" t="s">
        <v>157</v>
      </c>
      <c r="C43" s="29" t="s">
        <v>42</v>
      </c>
      <c r="D43" s="11" t="s">
        <v>80</v>
      </c>
      <c r="E43" s="37">
        <v>1044.7</v>
      </c>
      <c r="F43" s="38">
        <f>SUM(E43*2/1000)</f>
        <v>2.0893999999999999</v>
      </c>
      <c r="G43" s="59">
        <v>809.74</v>
      </c>
      <c r="H43" s="39">
        <f t="shared" ref="H43:H53" si="6">SUM(F43*G43/1000)</f>
        <v>1.6918707559999999</v>
      </c>
      <c r="I43" s="40">
        <v>0</v>
      </c>
      <c r="J43" s="40">
        <v>0</v>
      </c>
      <c r="K43" s="40">
        <v>0</v>
      </c>
      <c r="L43" s="40">
        <f>F43/2*G43</f>
        <v>845.93537800000001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f>F43/2*G43</f>
        <v>845.93537800000001</v>
      </c>
      <c r="S43" s="40">
        <v>0</v>
      </c>
      <c r="T43" s="40">
        <v>0</v>
      </c>
      <c r="U43" s="40">
        <f t="shared" ref="U43:U53" si="7">SUM(I43:T43)</f>
        <v>1691.870756</v>
      </c>
    </row>
    <row r="44" spans="1:21">
      <c r="A44" s="29" t="s">
        <v>81</v>
      </c>
      <c r="B44" s="11" t="s">
        <v>82</v>
      </c>
      <c r="C44" s="29" t="s">
        <v>42</v>
      </c>
      <c r="D44" s="11" t="s">
        <v>80</v>
      </c>
      <c r="E44" s="37">
        <v>19.8</v>
      </c>
      <c r="F44" s="38">
        <f>SUM(E44*2/1000)</f>
        <v>3.9600000000000003E-2</v>
      </c>
      <c r="G44" s="59">
        <v>579.48</v>
      </c>
      <c r="H44" s="39">
        <f t="shared" si="6"/>
        <v>2.2947408000000002E-2</v>
      </c>
      <c r="I44" s="40">
        <v>0</v>
      </c>
      <c r="J44" s="40">
        <v>0</v>
      </c>
      <c r="K44" s="40">
        <v>0</v>
      </c>
      <c r="L44" s="40">
        <f>F44/2*G44</f>
        <v>11.473704000000001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f>F44/2*G44</f>
        <v>11.473704000000001</v>
      </c>
      <c r="S44" s="40">
        <v>0</v>
      </c>
      <c r="T44" s="40">
        <v>0</v>
      </c>
      <c r="U44" s="40">
        <f t="shared" si="7"/>
        <v>22.947408000000003</v>
      </c>
    </row>
    <row r="45" spans="1:21" ht="25.5">
      <c r="A45" s="29" t="s">
        <v>83</v>
      </c>
      <c r="B45" s="11" t="s">
        <v>84</v>
      </c>
      <c r="C45" s="29" t="s">
        <v>42</v>
      </c>
      <c r="D45" s="11" t="s">
        <v>80</v>
      </c>
      <c r="E45" s="37">
        <v>660.84</v>
      </c>
      <c r="F45" s="38">
        <f>SUM(E45*2/1000)</f>
        <v>1.32168</v>
      </c>
      <c r="G45" s="59">
        <v>579.48</v>
      </c>
      <c r="H45" s="39">
        <f t="shared" si="6"/>
        <v>0.76588712640000001</v>
      </c>
      <c r="I45" s="40">
        <v>0</v>
      </c>
      <c r="J45" s="40">
        <v>0</v>
      </c>
      <c r="K45" s="40">
        <v>0</v>
      </c>
      <c r="L45" s="40">
        <f>F45/2*G45</f>
        <v>382.94356320000003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f>F45/2*G45</f>
        <v>382.94356320000003</v>
      </c>
      <c r="S45" s="40">
        <v>0</v>
      </c>
      <c r="T45" s="40">
        <v>0</v>
      </c>
      <c r="U45" s="40">
        <f t="shared" si="7"/>
        <v>765.88712640000006</v>
      </c>
    </row>
    <row r="46" spans="1:21">
      <c r="A46" s="29" t="s">
        <v>85</v>
      </c>
      <c r="B46" s="11" t="s">
        <v>86</v>
      </c>
      <c r="C46" s="29" t="s">
        <v>42</v>
      </c>
      <c r="D46" s="11" t="s">
        <v>80</v>
      </c>
      <c r="E46" s="37">
        <v>1156.21</v>
      </c>
      <c r="F46" s="38">
        <f>SUM(E46*2/1000)</f>
        <v>2.3124199999999999</v>
      </c>
      <c r="G46" s="59">
        <v>606.77</v>
      </c>
      <c r="H46" s="39">
        <f t="shared" si="6"/>
        <v>1.4031070833999999</v>
      </c>
      <c r="I46" s="40">
        <v>0</v>
      </c>
      <c r="J46" s="40">
        <v>0</v>
      </c>
      <c r="K46" s="40">
        <v>0</v>
      </c>
      <c r="L46" s="40">
        <f>F46/2*G46</f>
        <v>701.55354169999998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f>F46/2*G46</f>
        <v>701.55354169999998</v>
      </c>
      <c r="S46" s="40">
        <v>0</v>
      </c>
      <c r="T46" s="40">
        <v>0</v>
      </c>
      <c r="U46" s="40">
        <f t="shared" si="7"/>
        <v>1403.1070834</v>
      </c>
    </row>
    <row r="47" spans="1:21">
      <c r="A47" s="29" t="s">
        <v>158</v>
      </c>
      <c r="B47" s="11" t="s">
        <v>159</v>
      </c>
      <c r="C47" s="29" t="s">
        <v>160</v>
      </c>
      <c r="D47" s="11" t="s">
        <v>46</v>
      </c>
      <c r="E47" s="37">
        <v>17.14</v>
      </c>
      <c r="F47" s="38">
        <f>SUM(E47/100)</f>
        <v>0.1714</v>
      </c>
      <c r="G47" s="59">
        <v>72.81</v>
      </c>
      <c r="H47" s="39">
        <f t="shared" si="6"/>
        <v>1.2479634000000002E-2</v>
      </c>
      <c r="I47" s="40">
        <v>0</v>
      </c>
      <c r="J47" s="40">
        <v>0</v>
      </c>
      <c r="K47" s="40">
        <v>0</v>
      </c>
      <c r="L47" s="40">
        <f>F47/2*G47</f>
        <v>6.2398170000000004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f>F47/2*G47</f>
        <v>6.2398170000000004</v>
      </c>
      <c r="S47" s="40">
        <v>0</v>
      </c>
      <c r="T47" s="40">
        <v>0</v>
      </c>
      <c r="U47" s="40">
        <f t="shared" si="7"/>
        <v>12.479634000000001</v>
      </c>
    </row>
    <row r="48" spans="1:21" ht="25.5">
      <c r="A48" s="29" t="s">
        <v>87</v>
      </c>
      <c r="B48" s="11" t="s">
        <v>88</v>
      </c>
      <c r="C48" s="29" t="s">
        <v>42</v>
      </c>
      <c r="D48" s="11" t="s">
        <v>89</v>
      </c>
      <c r="E48" s="37">
        <v>823</v>
      </c>
      <c r="F48" s="38">
        <f>SUM(E48*5/1000)</f>
        <v>4.1150000000000002</v>
      </c>
      <c r="G48" s="59">
        <v>1213.55</v>
      </c>
      <c r="H48" s="39">
        <f t="shared" si="6"/>
        <v>4.99375825</v>
      </c>
      <c r="I48" s="40">
        <f>F48/5*2*G48</f>
        <v>1997.5033000000001</v>
      </c>
      <c r="J48" s="40">
        <f>F48/5*G48</f>
        <v>998.75165000000004</v>
      </c>
      <c r="K48" s="40">
        <v>0</v>
      </c>
      <c r="L48" s="40">
        <v>0</v>
      </c>
      <c r="M48" s="40">
        <f>F48/5*G48</f>
        <v>998.75165000000004</v>
      </c>
      <c r="N48" s="40">
        <v>0</v>
      </c>
      <c r="O48" s="40">
        <v>0</v>
      </c>
      <c r="P48" s="40">
        <v>0</v>
      </c>
      <c r="Q48" s="40">
        <f>F48/5*G48</f>
        <v>998.75165000000004</v>
      </c>
      <c r="R48" s="40">
        <v>0</v>
      </c>
      <c r="S48" s="40">
        <v>0</v>
      </c>
      <c r="T48" s="40">
        <f>F48/5*G48</f>
        <v>998.75165000000004</v>
      </c>
      <c r="U48" s="40">
        <f t="shared" si="7"/>
        <v>5992.5099</v>
      </c>
    </row>
    <row r="49" spans="1:21" ht="39.6" customHeight="1">
      <c r="A49" s="29" t="s">
        <v>90</v>
      </c>
      <c r="B49" s="11" t="s">
        <v>91</v>
      </c>
      <c r="C49" s="29" t="s">
        <v>42</v>
      </c>
      <c r="D49" s="11" t="s">
        <v>80</v>
      </c>
      <c r="E49" s="37">
        <v>823</v>
      </c>
      <c r="F49" s="38">
        <f>SUM(E49*2/1000)</f>
        <v>1.6459999999999999</v>
      </c>
      <c r="G49" s="59">
        <v>1213.55</v>
      </c>
      <c r="H49" s="39">
        <f t="shared" si="6"/>
        <v>1.9975032999999998</v>
      </c>
      <c r="I49" s="40">
        <f>E49*G49/1000</f>
        <v>998.75164999999993</v>
      </c>
      <c r="J49" s="40">
        <v>0</v>
      </c>
      <c r="K49" s="40">
        <v>0</v>
      </c>
      <c r="L49" s="40">
        <v>0</v>
      </c>
      <c r="M49" s="40">
        <v>0</v>
      </c>
      <c r="N49" s="40">
        <f>F49/2*G49</f>
        <v>998.75164999999993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f t="shared" si="7"/>
        <v>1997.5032999999999</v>
      </c>
    </row>
    <row r="50" spans="1:21" ht="28.9" customHeight="1">
      <c r="A50" s="29" t="s">
        <v>92</v>
      </c>
      <c r="B50" s="11" t="s">
        <v>93</v>
      </c>
      <c r="C50" s="29" t="s">
        <v>94</v>
      </c>
      <c r="D50" s="11" t="s">
        <v>80</v>
      </c>
      <c r="E50" s="37">
        <v>9</v>
      </c>
      <c r="F50" s="38">
        <f>SUM(E50*2/100)</f>
        <v>0.18</v>
      </c>
      <c r="G50" s="59">
        <v>2730.49</v>
      </c>
      <c r="H50" s="39">
        <f t="shared" si="6"/>
        <v>0.49148819999999993</v>
      </c>
      <c r="I50" s="40">
        <f>E50*G50/100</f>
        <v>245.74409999999997</v>
      </c>
      <c r="J50" s="40">
        <v>0</v>
      </c>
      <c r="K50" s="40">
        <v>0</v>
      </c>
      <c r="L50" s="40">
        <v>0</v>
      </c>
      <c r="M50" s="40">
        <v>0</v>
      </c>
      <c r="N50" s="40">
        <f>F50/2*G50</f>
        <v>245.74409999999997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f t="shared" si="7"/>
        <v>491.48819999999995</v>
      </c>
    </row>
    <row r="51" spans="1:21">
      <c r="A51" s="29" t="s">
        <v>95</v>
      </c>
      <c r="B51" s="11" t="s">
        <v>96</v>
      </c>
      <c r="C51" s="29" t="s">
        <v>97</v>
      </c>
      <c r="D51" s="11" t="s">
        <v>80</v>
      </c>
      <c r="E51" s="37">
        <v>1</v>
      </c>
      <c r="F51" s="38">
        <v>0.02</v>
      </c>
      <c r="G51" s="59">
        <v>5652.13</v>
      </c>
      <c r="H51" s="39">
        <f t="shared" si="6"/>
        <v>0.11304260000000001</v>
      </c>
      <c r="I51" s="40">
        <f>0.01*G51</f>
        <v>56.521300000000004</v>
      </c>
      <c r="J51" s="40">
        <v>0</v>
      </c>
      <c r="K51" s="40">
        <v>0</v>
      </c>
      <c r="L51" s="40">
        <v>0</v>
      </c>
      <c r="M51" s="40">
        <v>0</v>
      </c>
      <c r="N51" s="40">
        <f>F51/2*G51</f>
        <v>56.521300000000004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f t="shared" si="7"/>
        <v>113.04260000000001</v>
      </c>
    </row>
    <row r="52" spans="1:21">
      <c r="A52" s="29" t="s">
        <v>161</v>
      </c>
      <c r="B52" s="11" t="s">
        <v>162</v>
      </c>
      <c r="C52" s="29" t="s">
        <v>49</v>
      </c>
      <c r="D52" s="11" t="s">
        <v>145</v>
      </c>
      <c r="E52" s="37">
        <v>36</v>
      </c>
      <c r="F52" s="38">
        <f>E52*3</f>
        <v>108</v>
      </c>
      <c r="G52" s="59">
        <v>141.12</v>
      </c>
      <c r="H52" s="39">
        <f t="shared" si="6"/>
        <v>15.240960000000001</v>
      </c>
      <c r="I52" s="40">
        <f>E52*G52</f>
        <v>5080.32</v>
      </c>
      <c r="J52" s="40">
        <v>0</v>
      </c>
      <c r="K52" s="40">
        <v>0</v>
      </c>
      <c r="L52" s="40">
        <f>E52*G52</f>
        <v>5080.32</v>
      </c>
      <c r="M52" s="40">
        <v>0</v>
      </c>
      <c r="N52" s="40">
        <v>0</v>
      </c>
      <c r="O52" s="40">
        <v>0</v>
      </c>
      <c r="P52" s="40">
        <f>E52*G52</f>
        <v>5080.32</v>
      </c>
      <c r="Q52" s="40">
        <v>0</v>
      </c>
      <c r="R52" s="40">
        <v>0</v>
      </c>
      <c r="S52" s="40">
        <v>0</v>
      </c>
      <c r="T52" s="40">
        <v>0</v>
      </c>
      <c r="U52" s="40">
        <f t="shared" si="7"/>
        <v>15240.96</v>
      </c>
    </row>
    <row r="53" spans="1:21" ht="13.5" customHeight="1">
      <c r="A53" s="29" t="s">
        <v>99</v>
      </c>
      <c r="B53" s="11" t="s">
        <v>100</v>
      </c>
      <c r="C53" s="29" t="s">
        <v>49</v>
      </c>
      <c r="D53" s="11" t="s">
        <v>46</v>
      </c>
      <c r="E53" s="37">
        <v>36</v>
      </c>
      <c r="F53" s="38">
        <f>SUM(E53)</f>
        <v>36</v>
      </c>
      <c r="G53" s="60">
        <v>65.67</v>
      </c>
      <c r="H53" s="39">
        <f t="shared" si="6"/>
        <v>2.3641199999999998</v>
      </c>
      <c r="I53" s="40">
        <f>E53*G53</f>
        <v>2364.12</v>
      </c>
      <c r="J53" s="40">
        <v>0</v>
      </c>
      <c r="K53" s="40">
        <v>0</v>
      </c>
      <c r="L53" s="40">
        <f>E53*G53</f>
        <v>2364.12</v>
      </c>
      <c r="M53" s="40">
        <v>0</v>
      </c>
      <c r="N53" s="40">
        <v>0</v>
      </c>
      <c r="O53" s="40">
        <v>0</v>
      </c>
      <c r="P53" s="40">
        <f>E53*G53</f>
        <v>2364.12</v>
      </c>
      <c r="Q53" s="40">
        <v>0</v>
      </c>
      <c r="R53" s="40">
        <v>0</v>
      </c>
      <c r="S53" s="40">
        <v>0</v>
      </c>
      <c r="T53" s="40">
        <v>0</v>
      </c>
      <c r="U53" s="40">
        <f t="shared" si="7"/>
        <v>7092.36</v>
      </c>
    </row>
    <row r="54" spans="1:21" s="21" customFormat="1">
      <c r="A54" s="61"/>
      <c r="B54" s="20" t="s">
        <v>35</v>
      </c>
      <c r="C54" s="62"/>
      <c r="D54" s="20"/>
      <c r="E54" s="63"/>
      <c r="F54" s="64"/>
      <c r="G54" s="64"/>
      <c r="H54" s="55">
        <f>SUM(H43:H53)</f>
        <v>29.097164357799997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f>SUM(U43:U53)</f>
        <v>34824.156007799997</v>
      </c>
    </row>
    <row r="55" spans="1:21">
      <c r="A55" s="29"/>
      <c r="B55" s="12" t="s">
        <v>101</v>
      </c>
      <c r="C55" s="29"/>
      <c r="D55" s="11"/>
      <c r="E55" s="37"/>
      <c r="F55" s="38"/>
      <c r="G55" s="3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25.5">
      <c r="A56" s="29" t="s">
        <v>102</v>
      </c>
      <c r="B56" s="11" t="s">
        <v>163</v>
      </c>
      <c r="C56" s="29" t="s">
        <v>14</v>
      </c>
      <c r="D56" s="11" t="s">
        <v>172</v>
      </c>
      <c r="E56" s="66">
        <v>5.85</v>
      </c>
      <c r="F56" s="59">
        <f>E56*12/100</f>
        <v>0.70199999999999985</v>
      </c>
      <c r="G56" s="57">
        <v>1547.28</v>
      </c>
      <c r="H56" s="39">
        <f>SUM(F56*G56/1000)</f>
        <v>1.0861905599999997</v>
      </c>
      <c r="I56" s="40">
        <f>F56/6*G56</f>
        <v>181.03175999999996</v>
      </c>
      <c r="J56" s="40">
        <f>F56/6*G56</f>
        <v>181.03175999999996</v>
      </c>
      <c r="K56" s="40">
        <f>F56/6*G56</f>
        <v>181.03175999999996</v>
      </c>
      <c r="L56" s="40">
        <f>F56/6*G56</f>
        <v>181.03175999999996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f>F56/6*G56</f>
        <v>181.03175999999996</v>
      </c>
      <c r="T56" s="40">
        <f>F56/6*G56</f>
        <v>181.03175999999996</v>
      </c>
      <c r="U56" s="40">
        <f>SUM(I56:T56)</f>
        <v>1086.1905599999998</v>
      </c>
    </row>
    <row r="57" spans="1:21" ht="38.25">
      <c r="A57" s="29" t="s">
        <v>164</v>
      </c>
      <c r="B57" s="11" t="s">
        <v>165</v>
      </c>
      <c r="C57" s="29" t="s">
        <v>152</v>
      </c>
      <c r="D57" s="11" t="s">
        <v>166</v>
      </c>
      <c r="E57" s="37">
        <v>79.239999999999995</v>
      </c>
      <c r="F57" s="38">
        <f>E57*6/100</f>
        <v>4.7543999999999995</v>
      </c>
      <c r="G57" s="67">
        <v>1547.28</v>
      </c>
      <c r="H57" s="39">
        <f>F57*G57/1000</f>
        <v>7.356388031999999</v>
      </c>
      <c r="I57" s="40">
        <f>F57/6*G57</f>
        <v>1226.0646719999997</v>
      </c>
      <c r="J57" s="40">
        <f>F57/6*G57</f>
        <v>1226.0646719999997</v>
      </c>
      <c r="K57" s="40">
        <f>F57/6*G57</f>
        <v>1226.0646719999997</v>
      </c>
      <c r="L57" s="40">
        <f>F57/6*G57</f>
        <v>1226.0646719999997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f>F57/6*G57</f>
        <v>1226.0646719999997</v>
      </c>
      <c r="T57" s="40">
        <f>F57/6*G57</f>
        <v>1226.0646719999997</v>
      </c>
      <c r="U57" s="40">
        <f>SUM(I57:T57)</f>
        <v>7356.388031999998</v>
      </c>
    </row>
    <row r="58" spans="1:21" ht="12.75" customHeight="1">
      <c r="A58" s="68"/>
      <c r="B58" s="25" t="s">
        <v>103</v>
      </c>
      <c r="C58" s="68"/>
      <c r="D58" s="24"/>
      <c r="E58" s="69"/>
      <c r="F58" s="70"/>
      <c r="G58" s="71"/>
      <c r="H58" s="72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2.75" customHeight="1">
      <c r="A59" s="68" t="s">
        <v>104</v>
      </c>
      <c r="B59" s="24" t="s">
        <v>167</v>
      </c>
      <c r="C59" s="68" t="s">
        <v>30</v>
      </c>
      <c r="D59" s="24" t="s">
        <v>46</v>
      </c>
      <c r="E59" s="69">
        <v>820</v>
      </c>
      <c r="F59" s="70">
        <f>E59/100</f>
        <v>8.1999999999999993</v>
      </c>
      <c r="G59" s="73">
        <v>704.98</v>
      </c>
      <c r="H59" s="72">
        <f>G59*F59/1000</f>
        <v>5.780835999999999</v>
      </c>
      <c r="I59" s="40">
        <v>0</v>
      </c>
      <c r="J59" s="40">
        <v>0</v>
      </c>
      <c r="K59" s="40">
        <v>0</v>
      </c>
      <c r="L59" s="40">
        <v>0</v>
      </c>
      <c r="M59" s="40">
        <f>F59*G59</f>
        <v>5780.8359999999993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f>SUM(I59:T59)</f>
        <v>5780.8359999999993</v>
      </c>
    </row>
    <row r="60" spans="1:21">
      <c r="A60" s="68"/>
      <c r="B60" s="15" t="s">
        <v>106</v>
      </c>
      <c r="C60" s="68"/>
      <c r="D60" s="24"/>
      <c r="E60" s="69"/>
      <c r="F60" s="70"/>
      <c r="G60" s="70"/>
      <c r="H60" s="72" t="s">
        <v>63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ht="12.75" customHeight="1">
      <c r="A61" s="74" t="s">
        <v>107</v>
      </c>
      <c r="B61" s="16" t="s">
        <v>108</v>
      </c>
      <c r="C61" s="74" t="s">
        <v>98</v>
      </c>
      <c r="D61" s="9" t="s">
        <v>55</v>
      </c>
      <c r="E61" s="43">
        <v>10</v>
      </c>
      <c r="F61" s="38">
        <v>10</v>
      </c>
      <c r="G61" s="59">
        <v>222.4</v>
      </c>
      <c r="H61" s="132">
        <f t="shared" ref="H61:H76" si="8">SUM(F61*G61/1000)</f>
        <v>2.2240000000000002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f t="shared" ref="U61:U68" si="9">SUM(I61:T61)</f>
        <v>0</v>
      </c>
    </row>
    <row r="62" spans="1:21" ht="12.75" customHeight="1">
      <c r="A62" s="74" t="s">
        <v>109</v>
      </c>
      <c r="B62" s="16" t="s">
        <v>110</v>
      </c>
      <c r="C62" s="74" t="s">
        <v>98</v>
      </c>
      <c r="D62" s="9" t="s">
        <v>55</v>
      </c>
      <c r="E62" s="43">
        <v>3</v>
      </c>
      <c r="F62" s="38">
        <v>3</v>
      </c>
      <c r="G62" s="59">
        <v>76.25</v>
      </c>
      <c r="H62" s="132">
        <f t="shared" si="8"/>
        <v>0.22875000000000001</v>
      </c>
      <c r="I62" s="40">
        <f>1*G62</f>
        <v>76.25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f t="shared" si="9"/>
        <v>76.25</v>
      </c>
    </row>
    <row r="63" spans="1:21" s="2" customFormat="1">
      <c r="A63" s="75" t="s">
        <v>111</v>
      </c>
      <c r="B63" s="16" t="s">
        <v>112</v>
      </c>
      <c r="C63" s="75" t="s">
        <v>113</v>
      </c>
      <c r="D63" s="9" t="s">
        <v>46</v>
      </c>
      <c r="E63" s="37">
        <v>7487</v>
      </c>
      <c r="F63" s="60">
        <f>SUM(E63/100)</f>
        <v>74.87</v>
      </c>
      <c r="G63" s="59">
        <v>212.15</v>
      </c>
      <c r="H63" s="132">
        <f t="shared" si="8"/>
        <v>15.883670500000003</v>
      </c>
      <c r="I63" s="58">
        <v>0</v>
      </c>
      <c r="J63" s="58">
        <v>0</v>
      </c>
      <c r="K63" s="58">
        <v>0</v>
      </c>
      <c r="L63" s="58">
        <v>0</v>
      </c>
      <c r="M63" s="58">
        <f>F63*G63</f>
        <v>15883.670500000002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40">
        <f t="shared" si="9"/>
        <v>15883.670500000002</v>
      </c>
    </row>
    <row r="64" spans="1:21" ht="25.5">
      <c r="A64" s="74" t="s">
        <v>114</v>
      </c>
      <c r="B64" s="16" t="s">
        <v>115</v>
      </c>
      <c r="C64" s="74" t="s">
        <v>116</v>
      </c>
      <c r="D64" s="9"/>
      <c r="E64" s="37">
        <v>7487</v>
      </c>
      <c r="F64" s="59">
        <f>SUM(E64/1000)</f>
        <v>7.4870000000000001</v>
      </c>
      <c r="G64" s="59">
        <v>165.21</v>
      </c>
      <c r="H64" s="132">
        <f t="shared" si="8"/>
        <v>1.2369272700000002</v>
      </c>
      <c r="I64" s="40">
        <v>0</v>
      </c>
      <c r="J64" s="40">
        <v>0</v>
      </c>
      <c r="K64" s="40">
        <v>0</v>
      </c>
      <c r="L64" s="40">
        <v>0</v>
      </c>
      <c r="M64" s="40">
        <f>F64*G64</f>
        <v>1236.9272700000001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9"/>
        <v>1236.9272700000001</v>
      </c>
    </row>
    <row r="65" spans="1:21">
      <c r="A65" s="74" t="s">
        <v>117</v>
      </c>
      <c r="B65" s="16" t="s">
        <v>118</v>
      </c>
      <c r="C65" s="74" t="s">
        <v>119</v>
      </c>
      <c r="D65" s="9" t="s">
        <v>46</v>
      </c>
      <c r="E65" s="37">
        <v>1090</v>
      </c>
      <c r="F65" s="59">
        <f>SUM(E65/100)</f>
        <v>10.9</v>
      </c>
      <c r="G65" s="59">
        <v>2074.63</v>
      </c>
      <c r="H65" s="132">
        <f t="shared" si="8"/>
        <v>22.613467</v>
      </c>
      <c r="I65" s="40">
        <v>0</v>
      </c>
      <c r="J65" s="40">
        <v>0</v>
      </c>
      <c r="K65" s="40">
        <v>0</v>
      </c>
      <c r="L65" s="40">
        <v>0</v>
      </c>
      <c r="M65" s="40">
        <f>F65*G65</f>
        <v>22613.467000000001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9"/>
        <v>22613.467000000001</v>
      </c>
    </row>
    <row r="66" spans="1:21">
      <c r="A66" s="74"/>
      <c r="B66" s="17" t="s">
        <v>146</v>
      </c>
      <c r="C66" s="74" t="s">
        <v>53</v>
      </c>
      <c r="D66" s="9"/>
      <c r="E66" s="37">
        <v>7.8</v>
      </c>
      <c r="F66" s="59">
        <f>SUM(E66)</f>
        <v>7.8</v>
      </c>
      <c r="G66" s="59">
        <v>42.67</v>
      </c>
      <c r="H66" s="132">
        <f t="shared" si="8"/>
        <v>0.33282600000000001</v>
      </c>
      <c r="I66" s="40">
        <v>0</v>
      </c>
      <c r="J66" s="40">
        <v>0</v>
      </c>
      <c r="K66" s="40">
        <v>0</v>
      </c>
      <c r="L66" s="40">
        <v>0</v>
      </c>
      <c r="M66" s="40">
        <f>F66*G66</f>
        <v>332.82600000000002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9"/>
        <v>332.82600000000002</v>
      </c>
    </row>
    <row r="67" spans="1:21" ht="25.5">
      <c r="A67" s="74"/>
      <c r="B67" s="17" t="s">
        <v>147</v>
      </c>
      <c r="C67" s="74" t="s">
        <v>53</v>
      </c>
      <c r="D67" s="9"/>
      <c r="E67" s="37">
        <v>7.8</v>
      </c>
      <c r="F67" s="59">
        <f>SUM(E67)</f>
        <v>7.8</v>
      </c>
      <c r="G67" s="59">
        <v>39.81</v>
      </c>
      <c r="H67" s="132">
        <f t="shared" si="8"/>
        <v>0.31051800000000002</v>
      </c>
      <c r="I67" s="40">
        <v>0</v>
      </c>
      <c r="J67" s="40">
        <v>0</v>
      </c>
      <c r="K67" s="40">
        <v>0</v>
      </c>
      <c r="L67" s="40">
        <v>0</v>
      </c>
      <c r="M67" s="40">
        <f>F67*G67</f>
        <v>310.51800000000003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f t="shared" si="9"/>
        <v>310.51800000000003</v>
      </c>
    </row>
    <row r="68" spans="1:21">
      <c r="A68" s="74" t="s">
        <v>120</v>
      </c>
      <c r="B68" s="9" t="s">
        <v>121</v>
      </c>
      <c r="C68" s="74" t="s">
        <v>122</v>
      </c>
      <c r="D68" s="9" t="s">
        <v>46</v>
      </c>
      <c r="E68" s="43">
        <v>3</v>
      </c>
      <c r="F68" s="38">
        <f>SUM(E68)</f>
        <v>3</v>
      </c>
      <c r="G68" s="59">
        <v>49.88</v>
      </c>
      <c r="H68" s="132">
        <f t="shared" si="8"/>
        <v>0.14964000000000002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f>F68*G68</f>
        <v>149.64000000000001</v>
      </c>
      <c r="R68" s="40">
        <v>0</v>
      </c>
      <c r="S68" s="40">
        <v>0</v>
      </c>
      <c r="T68" s="40">
        <v>0</v>
      </c>
      <c r="U68" s="40">
        <f t="shared" si="9"/>
        <v>149.64000000000001</v>
      </c>
    </row>
    <row r="69" spans="1:21">
      <c r="A69" s="74"/>
      <c r="B69" s="18" t="s">
        <v>123</v>
      </c>
      <c r="C69" s="74"/>
      <c r="D69" s="9"/>
      <c r="E69" s="43"/>
      <c r="F69" s="59"/>
      <c r="G69" s="59"/>
      <c r="H69" s="132" t="s">
        <v>63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1">
      <c r="A70" s="74" t="s">
        <v>126</v>
      </c>
      <c r="B70" s="9" t="s">
        <v>169</v>
      </c>
      <c r="C70" s="74" t="s">
        <v>168</v>
      </c>
      <c r="D70" s="9"/>
      <c r="E70" s="43">
        <v>5</v>
      </c>
      <c r="F70" s="71">
        <v>0.5</v>
      </c>
      <c r="G70" s="59">
        <v>501.62</v>
      </c>
      <c r="H70" s="132">
        <v>0.251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f>G70*0.4</f>
        <v>200.64800000000002</v>
      </c>
      <c r="R70" s="40">
        <v>0</v>
      </c>
      <c r="S70" s="40">
        <v>0</v>
      </c>
      <c r="T70" s="40">
        <v>0</v>
      </c>
      <c r="U70" s="40">
        <f>SUM(I70:T70)</f>
        <v>200.64800000000002</v>
      </c>
    </row>
    <row r="71" spans="1:21">
      <c r="A71" s="74" t="s">
        <v>126</v>
      </c>
      <c r="B71" s="9" t="s">
        <v>124</v>
      </c>
      <c r="C71" s="74" t="s">
        <v>49</v>
      </c>
      <c r="D71" s="9"/>
      <c r="E71" s="43">
        <v>1</v>
      </c>
      <c r="F71" s="59">
        <v>1</v>
      </c>
      <c r="G71" s="59">
        <v>99.85</v>
      </c>
      <c r="H71" s="132">
        <v>0.1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f>SUM(I71:T71)</f>
        <v>0</v>
      </c>
    </row>
    <row r="72" spans="1:21">
      <c r="A72" s="74" t="s">
        <v>126</v>
      </c>
      <c r="B72" s="9" t="s">
        <v>125</v>
      </c>
      <c r="C72" s="74" t="s">
        <v>49</v>
      </c>
      <c r="D72" s="9"/>
      <c r="E72" s="43">
        <v>1</v>
      </c>
      <c r="F72" s="71">
        <v>1</v>
      </c>
      <c r="G72" s="59">
        <v>120.26</v>
      </c>
      <c r="H72" s="132">
        <v>0.12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f>SUM(I72:T72)</f>
        <v>0</v>
      </c>
    </row>
    <row r="73" spans="1:21">
      <c r="A73" s="74" t="s">
        <v>126</v>
      </c>
      <c r="B73" s="9" t="s">
        <v>127</v>
      </c>
      <c r="C73" s="74" t="s">
        <v>49</v>
      </c>
      <c r="D73" s="9"/>
      <c r="E73" s="43">
        <v>1</v>
      </c>
      <c r="F73" s="38">
        <f>SUM(E73)</f>
        <v>1</v>
      </c>
      <c r="G73" s="59">
        <v>358.51</v>
      </c>
      <c r="H73" s="132">
        <f t="shared" si="8"/>
        <v>0.35851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f>SUM(I73:T73)</f>
        <v>0</v>
      </c>
    </row>
    <row r="74" spans="1:21">
      <c r="A74" s="74" t="s">
        <v>148</v>
      </c>
      <c r="B74" s="9" t="s">
        <v>149</v>
      </c>
      <c r="C74" s="74" t="s">
        <v>49</v>
      </c>
      <c r="D74" s="9"/>
      <c r="E74" s="43">
        <v>1</v>
      </c>
      <c r="F74" s="59">
        <v>1</v>
      </c>
      <c r="G74" s="59">
        <v>852.99</v>
      </c>
      <c r="H74" s="132">
        <f>F74*G74/1000</f>
        <v>0.85299000000000003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f>SUM(I74:T74)</f>
        <v>0</v>
      </c>
    </row>
    <row r="75" spans="1:21">
      <c r="A75" s="74"/>
      <c r="B75" s="76" t="s">
        <v>128</v>
      </c>
      <c r="C75" s="74"/>
      <c r="D75" s="9"/>
      <c r="E75" s="43"/>
      <c r="F75" s="59"/>
      <c r="G75" s="59" t="s">
        <v>63</v>
      </c>
      <c r="H75" s="132" t="s">
        <v>63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1:21" s="2" customFormat="1">
      <c r="A76" s="75" t="s">
        <v>129</v>
      </c>
      <c r="B76" s="77" t="s">
        <v>130</v>
      </c>
      <c r="C76" s="75" t="s">
        <v>119</v>
      </c>
      <c r="D76" s="16"/>
      <c r="E76" s="78"/>
      <c r="F76" s="60">
        <v>1.35</v>
      </c>
      <c r="G76" s="60">
        <v>2759.44</v>
      </c>
      <c r="H76" s="132">
        <f t="shared" si="8"/>
        <v>3.725244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40">
        <f>SUM(I76:T76)</f>
        <v>0</v>
      </c>
    </row>
    <row r="77" spans="1:21" s="21" customFormat="1">
      <c r="A77" s="79"/>
      <c r="B77" s="20" t="s">
        <v>35</v>
      </c>
      <c r="C77" s="80"/>
      <c r="D77" s="81"/>
      <c r="E77" s="82"/>
      <c r="F77" s="65"/>
      <c r="G77" s="65"/>
      <c r="H77" s="83">
        <f>SUM(H56:H76)</f>
        <v>62.610957361999994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>
        <f>SUM(U56:U76)</f>
        <v>55027.361361999996</v>
      </c>
    </row>
    <row r="78" spans="1:21">
      <c r="A78" s="138" t="s">
        <v>189</v>
      </c>
      <c r="B78" s="11" t="s">
        <v>190</v>
      </c>
      <c r="C78" s="85" t="s">
        <v>191</v>
      </c>
      <c r="D78" s="86"/>
      <c r="E78" s="139"/>
      <c r="F78" s="87">
        <f>68/10</f>
        <v>6.8</v>
      </c>
      <c r="G78" s="88">
        <v>9</v>
      </c>
      <c r="H78" s="132">
        <f>G78*F78/1000</f>
        <v>6.1199999999999997E-2</v>
      </c>
      <c r="I78" s="40">
        <v>0</v>
      </c>
      <c r="J78" s="40">
        <v>0</v>
      </c>
      <c r="K78" s="40">
        <v>0</v>
      </c>
      <c r="L78" s="40">
        <v>0</v>
      </c>
      <c r="M78" s="41">
        <v>0</v>
      </c>
      <c r="N78" s="40">
        <f>F78*G78</f>
        <v>61.199999999999996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f>SUM(I78:T78)</f>
        <v>61.199999999999996</v>
      </c>
    </row>
    <row r="79" spans="1:21" ht="12.75" customHeight="1">
      <c r="A79" s="89"/>
      <c r="B79" s="84" t="s">
        <v>131</v>
      </c>
      <c r="C79" s="74" t="s">
        <v>132</v>
      </c>
      <c r="D79" s="90"/>
      <c r="E79" s="59">
        <v>1839.1</v>
      </c>
      <c r="F79" s="59">
        <f>SUM(E79*12)</f>
        <v>22069.199999999997</v>
      </c>
      <c r="G79" s="91">
        <v>2.1</v>
      </c>
      <c r="H79" s="132">
        <f>SUM(F79*G79/1000)</f>
        <v>46.345319999999994</v>
      </c>
      <c r="I79" s="40">
        <f>F79/12*G79</f>
        <v>3862.1099999999997</v>
      </c>
      <c r="J79" s="40">
        <f>F79/12*G79</f>
        <v>3862.1099999999997</v>
      </c>
      <c r="K79" s="40">
        <f>F79/12*G79</f>
        <v>3862.1099999999997</v>
      </c>
      <c r="L79" s="40">
        <f>F79/12*G79</f>
        <v>3862.1099999999997</v>
      </c>
      <c r="M79" s="40">
        <f>F79/12*G79</f>
        <v>3862.1099999999997</v>
      </c>
      <c r="N79" s="40">
        <f>F79/12*G79</f>
        <v>3862.1099999999997</v>
      </c>
      <c r="O79" s="40">
        <f>F79/12*G79</f>
        <v>3862.1099999999997</v>
      </c>
      <c r="P79" s="40">
        <f>F79/12*G79</f>
        <v>3862.1099999999997</v>
      </c>
      <c r="Q79" s="40">
        <f>F79/12*G79</f>
        <v>3862.1099999999997</v>
      </c>
      <c r="R79" s="40">
        <f>F79/12*G79</f>
        <v>3862.1099999999997</v>
      </c>
      <c r="S79" s="40">
        <f>F79/12*G79</f>
        <v>3862.1099999999997</v>
      </c>
      <c r="T79" s="40">
        <f>F79/12*G79</f>
        <v>3862.1099999999997</v>
      </c>
      <c r="U79" s="40">
        <f>SUM(I79:T79)</f>
        <v>46345.32</v>
      </c>
    </row>
    <row r="80" spans="1:21" s="19" customFormat="1">
      <c r="A80" s="92"/>
      <c r="B80" s="20" t="s">
        <v>35</v>
      </c>
      <c r="C80" s="93"/>
      <c r="D80" s="94"/>
      <c r="E80" s="95"/>
      <c r="F80" s="50"/>
      <c r="G80" s="96"/>
      <c r="H80" s="51">
        <f>SUM(H78:H79)</f>
        <v>46.406519999999993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>
        <f>SUM(U78:U79)</f>
        <v>46406.52</v>
      </c>
    </row>
    <row r="81" spans="1:26" ht="29.25" customHeight="1">
      <c r="A81" s="97"/>
      <c r="B81" s="9" t="s">
        <v>133</v>
      </c>
      <c r="C81" s="74"/>
      <c r="D81" s="98"/>
      <c r="E81" s="37">
        <f>E79</f>
        <v>1839.1</v>
      </c>
      <c r="F81" s="59">
        <f>E81*12</f>
        <v>22069.199999999997</v>
      </c>
      <c r="G81" s="59">
        <v>1.63</v>
      </c>
      <c r="H81" s="132">
        <f>F81*G81/1000</f>
        <v>35.972795999999995</v>
      </c>
      <c r="I81" s="40">
        <f>F81/12*G81</f>
        <v>2997.7329999999993</v>
      </c>
      <c r="J81" s="40">
        <f>F81/12*G81</f>
        <v>2997.7329999999993</v>
      </c>
      <c r="K81" s="40">
        <f>F81/12*G81</f>
        <v>2997.7329999999993</v>
      </c>
      <c r="L81" s="40">
        <f>F81/12*G81</f>
        <v>2997.7329999999993</v>
      </c>
      <c r="M81" s="40">
        <f>F81/12*G81</f>
        <v>2997.7329999999993</v>
      </c>
      <c r="N81" s="40">
        <f>F81/12*G81</f>
        <v>2997.7329999999993</v>
      </c>
      <c r="O81" s="40">
        <f>F81/12*G81</f>
        <v>2997.7329999999993</v>
      </c>
      <c r="P81" s="40">
        <f>F81/12*G81</f>
        <v>2997.7329999999993</v>
      </c>
      <c r="Q81" s="40">
        <f>F81/12*G81</f>
        <v>2997.7329999999993</v>
      </c>
      <c r="R81" s="40">
        <f>F81/12*G81</f>
        <v>2997.7329999999993</v>
      </c>
      <c r="S81" s="40">
        <f>F81/12*G81</f>
        <v>2997.7329999999993</v>
      </c>
      <c r="T81" s="40">
        <f>F81/12*G81</f>
        <v>2997.7329999999993</v>
      </c>
      <c r="U81" s="40">
        <f>SUM(I81:T81)</f>
        <v>35972.795999999995</v>
      </c>
    </row>
    <row r="82" spans="1:26" s="19" customFormat="1">
      <c r="A82" s="92"/>
      <c r="B82" s="99" t="s">
        <v>134</v>
      </c>
      <c r="C82" s="100"/>
      <c r="D82" s="99"/>
      <c r="E82" s="50"/>
      <c r="F82" s="50"/>
      <c r="G82" s="50"/>
      <c r="H82" s="83">
        <f>H81</f>
        <v>35.972795999999995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134">
        <f>U81</f>
        <v>35972.795999999995</v>
      </c>
    </row>
    <row r="83" spans="1:26" s="19" customFormat="1">
      <c r="A83" s="92"/>
      <c r="B83" s="99" t="s">
        <v>135</v>
      </c>
      <c r="C83" s="101"/>
      <c r="D83" s="102"/>
      <c r="E83" s="103"/>
      <c r="F83" s="103"/>
      <c r="G83" s="103"/>
      <c r="H83" s="83">
        <f>SUM(H82+H80+H77+H54+H41+H32+H22)</f>
        <v>411.28681299493331</v>
      </c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34">
        <f>SUM(U82+U80+U77+U54+U41+U32+U22)*1.064</f>
        <v>438599.06667212909</v>
      </c>
    </row>
    <row r="84" spans="1:26" s="131" customFormat="1" ht="52.5" customHeight="1">
      <c r="A84" s="97"/>
      <c r="B84" s="76"/>
      <c r="C84" s="74"/>
      <c r="D84" s="98"/>
      <c r="E84" s="59"/>
      <c r="F84" s="59"/>
      <c r="G84" s="59"/>
      <c r="H84" s="130"/>
      <c r="I84" s="59"/>
      <c r="J84" s="59"/>
      <c r="K84" s="59"/>
      <c r="L84" s="59"/>
      <c r="M84" s="59"/>
      <c r="N84" s="59"/>
      <c r="O84" s="59"/>
      <c r="P84" s="59"/>
      <c r="Q84" s="59"/>
      <c r="R84" s="149"/>
      <c r="S84" s="149"/>
      <c r="T84" s="149"/>
      <c r="U84" s="148" t="s">
        <v>202</v>
      </c>
      <c r="W84" s="161"/>
      <c r="X84" s="161"/>
      <c r="Y84" s="161"/>
      <c r="Z84" s="161"/>
    </row>
    <row r="85" spans="1:26">
      <c r="A85" s="97"/>
      <c r="B85" s="98" t="s">
        <v>136</v>
      </c>
      <c r="C85" s="74"/>
      <c r="D85" s="98"/>
      <c r="E85" s="59"/>
      <c r="F85" s="59"/>
      <c r="G85" s="59" t="s">
        <v>137</v>
      </c>
      <c r="H85" s="104">
        <f>E81</f>
        <v>1839.1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1:26" s="19" customFormat="1">
      <c r="A86" s="92"/>
      <c r="B86" s="102" t="s">
        <v>138</v>
      </c>
      <c r="C86" s="101"/>
      <c r="D86" s="102"/>
      <c r="E86" s="103"/>
      <c r="F86" s="103"/>
      <c r="G86" s="103"/>
      <c r="H86" s="105">
        <f>SUM(H83/H85/12*1000)</f>
        <v>18.636235703828561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35"/>
    </row>
    <row r="87" spans="1:26">
      <c r="A87" s="97"/>
      <c r="B87" s="98"/>
      <c r="C87" s="74"/>
      <c r="D87" s="98"/>
      <c r="E87" s="59"/>
      <c r="F87" s="59"/>
      <c r="G87" s="59"/>
      <c r="H87" s="106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136"/>
    </row>
    <row r="88" spans="1:26">
      <c r="A88" s="97"/>
      <c r="B88" s="76" t="s">
        <v>139</v>
      </c>
      <c r="C88" s="74"/>
      <c r="D88" s="98"/>
      <c r="E88" s="59"/>
      <c r="F88" s="59"/>
      <c r="G88" s="59"/>
      <c r="H88" s="59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1:26">
      <c r="A89" s="97" t="s">
        <v>185</v>
      </c>
      <c r="B89" s="98" t="s">
        <v>186</v>
      </c>
      <c r="C89" s="74"/>
      <c r="D89" s="98"/>
      <c r="E89" s="59"/>
      <c r="F89" s="59">
        <v>7.5</v>
      </c>
      <c r="G89" s="59">
        <v>1372</v>
      </c>
      <c r="H89" s="132">
        <f>G89*F89/1000</f>
        <v>10.29</v>
      </c>
      <c r="I89" s="40">
        <v>0</v>
      </c>
      <c r="J89" s="40">
        <f>G89*2</f>
        <v>2744</v>
      </c>
      <c r="K89" s="40">
        <f>G89*2</f>
        <v>2744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f>G89</f>
        <v>1372</v>
      </c>
      <c r="T89" s="40">
        <f>G89*2.5</f>
        <v>3430</v>
      </c>
      <c r="U89" s="40">
        <f t="shared" ref="U89:U100" si="10">SUM(I89:T89)</f>
        <v>10290</v>
      </c>
    </row>
    <row r="90" spans="1:26" ht="25.5">
      <c r="A90" s="142" t="s">
        <v>194</v>
      </c>
      <c r="B90" s="143" t="s">
        <v>192</v>
      </c>
      <c r="C90" s="144" t="s">
        <v>193</v>
      </c>
      <c r="D90" s="98"/>
      <c r="E90" s="59"/>
      <c r="F90" s="59">
        <v>1</v>
      </c>
      <c r="G90" s="59">
        <v>521.67999999999995</v>
      </c>
      <c r="H90" s="141">
        <f>G90*F90/1000</f>
        <v>0.52167999999999992</v>
      </c>
      <c r="I90" s="40">
        <v>0</v>
      </c>
      <c r="J90" s="40">
        <v>0</v>
      </c>
      <c r="K90" s="40">
        <v>0</v>
      </c>
      <c r="L90" s="40">
        <f>G90</f>
        <v>521.67999999999995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f t="shared" si="10"/>
        <v>521.67999999999995</v>
      </c>
    </row>
    <row r="91" spans="1:26" ht="25.5">
      <c r="A91" s="144" t="s">
        <v>197</v>
      </c>
      <c r="B91" s="143" t="s">
        <v>195</v>
      </c>
      <c r="C91" s="144" t="s">
        <v>196</v>
      </c>
      <c r="D91" s="98"/>
      <c r="E91" s="59"/>
      <c r="F91" s="59">
        <v>1</v>
      </c>
      <c r="G91" s="59">
        <v>179.12</v>
      </c>
      <c r="H91" s="141">
        <f>SUM(G91*F91)/1000</f>
        <v>0.17912</v>
      </c>
      <c r="I91" s="40">
        <v>0</v>
      </c>
      <c r="J91" s="40">
        <v>0</v>
      </c>
      <c r="K91" s="40">
        <v>0</v>
      </c>
      <c r="L91" s="40">
        <f>G91</f>
        <v>179.12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f t="shared" si="10"/>
        <v>179.12</v>
      </c>
    </row>
    <row r="92" spans="1:26" ht="25.5">
      <c r="A92" s="146" t="s">
        <v>199</v>
      </c>
      <c r="B92" s="143" t="s">
        <v>198</v>
      </c>
      <c r="C92" s="144" t="s">
        <v>98</v>
      </c>
      <c r="D92" s="98"/>
      <c r="E92" s="59"/>
      <c r="F92" s="59">
        <v>1</v>
      </c>
      <c r="G92" s="59">
        <v>167.91</v>
      </c>
      <c r="H92" s="145">
        <f>G92*F92/1000</f>
        <v>0.16791</v>
      </c>
      <c r="I92" s="40">
        <v>0</v>
      </c>
      <c r="J92" s="40">
        <v>0</v>
      </c>
      <c r="K92" s="40">
        <v>0</v>
      </c>
      <c r="L92" s="40">
        <v>0</v>
      </c>
      <c r="M92" s="40">
        <f>G92</f>
        <v>167.91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f t="shared" si="10"/>
        <v>167.91</v>
      </c>
    </row>
    <row r="93" spans="1:26">
      <c r="A93" s="146" t="s">
        <v>201</v>
      </c>
      <c r="B93" s="147" t="s">
        <v>200</v>
      </c>
      <c r="C93" s="144" t="s">
        <v>98</v>
      </c>
      <c r="D93" s="98"/>
      <c r="E93" s="59"/>
      <c r="F93" s="59">
        <v>2</v>
      </c>
      <c r="G93" s="59">
        <v>277.95</v>
      </c>
      <c r="H93" s="145">
        <f>F93*G93/1000</f>
        <v>0.55589999999999995</v>
      </c>
      <c r="I93" s="40">
        <v>0</v>
      </c>
      <c r="J93" s="40">
        <v>0</v>
      </c>
      <c r="K93" s="40">
        <v>0</v>
      </c>
      <c r="L93" s="40">
        <v>0</v>
      </c>
      <c r="M93" s="40">
        <f>G93</f>
        <v>277.95</v>
      </c>
      <c r="N93" s="40">
        <v>0</v>
      </c>
      <c r="O93" s="40">
        <v>0</v>
      </c>
      <c r="P93" s="40">
        <v>0</v>
      </c>
      <c r="Q93" s="40">
        <v>0</v>
      </c>
      <c r="R93" s="40">
        <f>G93</f>
        <v>277.95</v>
      </c>
      <c r="S93" s="40">
        <v>0</v>
      </c>
      <c r="T93" s="40">
        <v>0</v>
      </c>
      <c r="U93" s="40">
        <f t="shared" si="10"/>
        <v>555.9</v>
      </c>
    </row>
    <row r="94" spans="1:26">
      <c r="A94" s="144" t="s">
        <v>203</v>
      </c>
      <c r="B94" s="143" t="s">
        <v>213</v>
      </c>
      <c r="C94" s="144" t="s">
        <v>204</v>
      </c>
      <c r="D94" s="98"/>
      <c r="E94" s="59"/>
      <c r="F94" s="59">
        <v>1</v>
      </c>
      <c r="G94" s="59">
        <v>1465</v>
      </c>
      <c r="H94" s="145">
        <f>G94*F94/1000</f>
        <v>1.4650000000000001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f>G94</f>
        <v>1465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f t="shared" si="10"/>
        <v>1465</v>
      </c>
    </row>
    <row r="95" spans="1:26" ht="25.5">
      <c r="A95" s="142" t="s">
        <v>212</v>
      </c>
      <c r="B95" s="143" t="s">
        <v>211</v>
      </c>
      <c r="C95" s="144" t="s">
        <v>98</v>
      </c>
      <c r="D95" s="98"/>
      <c r="E95" s="59"/>
      <c r="F95" s="59">
        <v>4</v>
      </c>
      <c r="G95" s="59">
        <v>72.290000000000006</v>
      </c>
      <c r="H95" s="145">
        <f t="shared" ref="H95:H101" si="11">F95*G95/1000</f>
        <v>0.28916000000000003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f>G95</f>
        <v>72.290000000000006</v>
      </c>
      <c r="O95" s="40">
        <f>G95</f>
        <v>72.290000000000006</v>
      </c>
      <c r="P95" s="40">
        <v>0</v>
      </c>
      <c r="Q95" s="40">
        <v>0</v>
      </c>
      <c r="R95" s="40">
        <v>0</v>
      </c>
      <c r="S95" s="40">
        <f>G95*2</f>
        <v>144.58000000000001</v>
      </c>
      <c r="T95" s="40">
        <v>0</v>
      </c>
      <c r="U95" s="40">
        <f t="shared" si="10"/>
        <v>289.16000000000003</v>
      </c>
    </row>
    <row r="96" spans="1:26" ht="38.25">
      <c r="A96" s="150" t="s">
        <v>90</v>
      </c>
      <c r="B96" s="151" t="s">
        <v>214</v>
      </c>
      <c r="C96" s="150" t="s">
        <v>68</v>
      </c>
      <c r="D96" s="98"/>
      <c r="E96" s="59"/>
      <c r="F96" s="59">
        <v>0.03</v>
      </c>
      <c r="G96" s="59">
        <v>1380.31</v>
      </c>
      <c r="H96" s="145">
        <f t="shared" si="11"/>
        <v>4.1409299999999996E-2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f>G96*0.03</f>
        <v>41.409299999999995</v>
      </c>
      <c r="S96" s="40">
        <v>0</v>
      </c>
      <c r="T96" s="40">
        <v>0</v>
      </c>
      <c r="U96" s="40">
        <f t="shared" si="10"/>
        <v>41.409299999999995</v>
      </c>
    </row>
    <row r="97" spans="1:21" ht="25.5">
      <c r="A97" s="152" t="s">
        <v>185</v>
      </c>
      <c r="B97" s="153" t="s">
        <v>215</v>
      </c>
      <c r="C97" s="154" t="s">
        <v>216</v>
      </c>
      <c r="D97" s="98"/>
      <c r="E97" s="59"/>
      <c r="F97" s="59">
        <v>1</v>
      </c>
      <c r="G97" s="59">
        <v>350.1</v>
      </c>
      <c r="H97" s="145">
        <f t="shared" si="11"/>
        <v>0.35010000000000002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f>G97</f>
        <v>350.1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f t="shared" si="10"/>
        <v>350.1</v>
      </c>
    </row>
    <row r="98" spans="1:21" ht="25.5">
      <c r="A98" s="152" t="s">
        <v>185</v>
      </c>
      <c r="B98" s="153" t="s">
        <v>217</v>
      </c>
      <c r="C98" s="154" t="s">
        <v>216</v>
      </c>
      <c r="D98" s="98"/>
      <c r="E98" s="59"/>
      <c r="F98" s="59">
        <v>2</v>
      </c>
      <c r="G98" s="59">
        <v>1678.06</v>
      </c>
      <c r="H98" s="145">
        <f t="shared" si="11"/>
        <v>3.3561199999999998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f>G98</f>
        <v>1678.06</v>
      </c>
      <c r="O98" s="40">
        <v>0</v>
      </c>
      <c r="P98" s="40">
        <v>0</v>
      </c>
      <c r="Q98" s="40">
        <v>0</v>
      </c>
      <c r="R98" s="40">
        <v>0</v>
      </c>
      <c r="S98" s="40">
        <f>G98</f>
        <v>1678.06</v>
      </c>
      <c r="T98" s="40">
        <v>0</v>
      </c>
      <c r="U98" s="40">
        <f t="shared" si="10"/>
        <v>3356.12</v>
      </c>
    </row>
    <row r="99" spans="1:21">
      <c r="A99" s="146" t="s">
        <v>201</v>
      </c>
      <c r="B99" s="147" t="s">
        <v>200</v>
      </c>
      <c r="C99" s="144" t="s">
        <v>98</v>
      </c>
      <c r="D99" s="98"/>
      <c r="E99" s="59"/>
      <c r="F99" s="59">
        <v>3</v>
      </c>
      <c r="G99" s="59">
        <v>314.49</v>
      </c>
      <c r="H99" s="145">
        <f t="shared" si="11"/>
        <v>0.94347000000000003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f>G99*2</f>
        <v>628.98</v>
      </c>
      <c r="O99" s="40">
        <v>0</v>
      </c>
      <c r="P99" s="40">
        <v>0</v>
      </c>
      <c r="Q99" s="40">
        <v>0</v>
      </c>
      <c r="R99" s="40">
        <f>G99</f>
        <v>314.49</v>
      </c>
      <c r="S99" s="40">
        <v>0</v>
      </c>
      <c r="T99" s="40">
        <v>0</v>
      </c>
      <c r="U99" s="40">
        <f t="shared" si="10"/>
        <v>943.47</v>
      </c>
    </row>
    <row r="100" spans="1:21" ht="25.5">
      <c r="A100" s="146" t="s">
        <v>199</v>
      </c>
      <c r="B100" s="143" t="s">
        <v>198</v>
      </c>
      <c r="C100" s="144" t="s">
        <v>98</v>
      </c>
      <c r="D100" s="98"/>
      <c r="E100" s="59"/>
      <c r="F100" s="59">
        <v>2</v>
      </c>
      <c r="G100" s="59">
        <v>167.91</v>
      </c>
      <c r="H100" s="145">
        <f t="shared" si="11"/>
        <v>0.33582000000000001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f>G100*2</f>
        <v>335.82</v>
      </c>
      <c r="S100" s="40">
        <v>0</v>
      </c>
      <c r="T100" s="40">
        <v>0</v>
      </c>
      <c r="U100" s="40">
        <f t="shared" si="10"/>
        <v>335.82</v>
      </c>
    </row>
    <row r="101" spans="1:21" ht="25.5">
      <c r="A101" s="144" t="s">
        <v>219</v>
      </c>
      <c r="B101" s="143" t="s">
        <v>218</v>
      </c>
      <c r="C101" s="144" t="s">
        <v>98</v>
      </c>
      <c r="D101" s="98"/>
      <c r="E101" s="59"/>
      <c r="F101" s="59">
        <v>2</v>
      </c>
      <c r="G101" s="59">
        <v>164.67</v>
      </c>
      <c r="H101" s="145">
        <f t="shared" si="11"/>
        <v>0.32933999999999997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f>G101</f>
        <v>164.67</v>
      </c>
      <c r="T101" s="40">
        <f>G101</f>
        <v>164.67</v>
      </c>
      <c r="U101" s="40">
        <f>SUM(I101:T101)</f>
        <v>329.34</v>
      </c>
    </row>
    <row r="102" spans="1:21">
      <c r="A102" s="144" t="s">
        <v>203</v>
      </c>
      <c r="B102" s="143" t="s">
        <v>220</v>
      </c>
      <c r="C102" s="144" t="s">
        <v>221</v>
      </c>
      <c r="D102" s="98"/>
      <c r="E102" s="59"/>
      <c r="F102" s="59">
        <v>0.33</v>
      </c>
      <c r="G102" s="59">
        <v>3402</v>
      </c>
      <c r="H102" s="145">
        <f t="shared" ref="H102:H104" si="12">G102*F102/1000</f>
        <v>1.12266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f>G102*0.33</f>
        <v>1122.6600000000001</v>
      </c>
      <c r="U102" s="40">
        <f>SUM(I102:T102)</f>
        <v>1122.6600000000001</v>
      </c>
    </row>
    <row r="103" spans="1:21" s="160" customFormat="1">
      <c r="A103" s="155" t="s">
        <v>203</v>
      </c>
      <c r="B103" s="156" t="s">
        <v>222</v>
      </c>
      <c r="C103" s="155" t="s">
        <v>204</v>
      </c>
      <c r="D103" s="157"/>
      <c r="E103" s="158"/>
      <c r="F103" s="158">
        <v>1</v>
      </c>
      <c r="G103" s="158">
        <v>72541</v>
      </c>
      <c r="H103" s="159">
        <f t="shared" si="12"/>
        <v>72.540999999999997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f>G103</f>
        <v>72541</v>
      </c>
      <c r="T103" s="40">
        <v>0</v>
      </c>
      <c r="U103" s="40">
        <f>SUM(I103:T103)</f>
        <v>72541</v>
      </c>
    </row>
    <row r="104" spans="1:21" s="160" customFormat="1">
      <c r="A104" s="155" t="s">
        <v>203</v>
      </c>
      <c r="B104" s="156" t="s">
        <v>223</v>
      </c>
      <c r="C104" s="155" t="s">
        <v>204</v>
      </c>
      <c r="D104" s="157"/>
      <c r="E104" s="158"/>
      <c r="F104" s="158">
        <v>1</v>
      </c>
      <c r="G104" s="158">
        <v>285278</v>
      </c>
      <c r="H104" s="159">
        <f t="shared" si="12"/>
        <v>285.27800000000002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f>G104</f>
        <v>285278</v>
      </c>
      <c r="U104" s="40">
        <f>SUM(I104:T104)</f>
        <v>285278</v>
      </c>
    </row>
    <row r="105" spans="1:21" s="19" customFormat="1">
      <c r="A105" s="107"/>
      <c r="B105" s="108" t="s">
        <v>140</v>
      </c>
      <c r="C105" s="107"/>
      <c r="D105" s="107"/>
      <c r="E105" s="103"/>
      <c r="F105" s="103"/>
      <c r="G105" s="103"/>
      <c r="H105" s="51">
        <f>SUM(H89:H104)</f>
        <v>377.76668930000005</v>
      </c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50">
        <f>SUM(U89:U104)</f>
        <v>377766.68929999997</v>
      </c>
    </row>
    <row r="106" spans="1:21">
      <c r="A106" s="109"/>
      <c r="B106" s="110"/>
      <c r="C106" s="109"/>
      <c r="D106" s="109"/>
      <c r="E106" s="59"/>
      <c r="F106" s="59"/>
      <c r="G106" s="59"/>
      <c r="H106" s="11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137"/>
    </row>
    <row r="107" spans="1:21" ht="12" customHeight="1">
      <c r="A107" s="97"/>
      <c r="B107" s="18" t="s">
        <v>141</v>
      </c>
      <c r="C107" s="74"/>
      <c r="D107" s="98"/>
      <c r="E107" s="59"/>
      <c r="F107" s="59"/>
      <c r="G107" s="59"/>
      <c r="H107" s="112">
        <f>H105/E108/12*1000</f>
        <v>17.117371236836863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137"/>
    </row>
    <row r="108" spans="1:21" s="19" customFormat="1">
      <c r="A108" s="113"/>
      <c r="B108" s="114" t="s">
        <v>142</v>
      </c>
      <c r="C108" s="115"/>
      <c r="D108" s="114"/>
      <c r="E108" s="116">
        <v>1839.1</v>
      </c>
      <c r="F108" s="117">
        <f>SUM(E108*12)</f>
        <v>22069.199999999997</v>
      </c>
      <c r="G108" s="118">
        <f>H86+H107</f>
        <v>35.753606940665421</v>
      </c>
      <c r="H108" s="119">
        <f>SUM(F108*G108/1000)</f>
        <v>789.0535022949332</v>
      </c>
      <c r="I108" s="103">
        <f t="shared" ref="I108:R108" si="13">SUM(I11:I107)</f>
        <v>47033.437769749995</v>
      </c>
      <c r="J108" s="103">
        <f t="shared" si="13"/>
        <v>33378.419789749998</v>
      </c>
      <c r="K108" s="103">
        <f t="shared" si="13"/>
        <v>32379.66813975</v>
      </c>
      <c r="L108" s="103">
        <f t="shared" si="13"/>
        <v>39729.054143649999</v>
      </c>
      <c r="M108" s="103">
        <f t="shared" si="13"/>
        <v>73472.715953688879</v>
      </c>
      <c r="N108" s="103">
        <f t="shared" si="13"/>
        <v>29864.35035378889</v>
      </c>
      <c r="O108" s="103">
        <f t="shared" si="13"/>
        <v>24379.089547788888</v>
      </c>
      <c r="P108" s="103">
        <f t="shared" si="13"/>
        <v>31401.139547788887</v>
      </c>
      <c r="Q108" s="103">
        <f t="shared" si="13"/>
        <v>25305.739197788887</v>
      </c>
      <c r="R108" s="103">
        <f t="shared" si="13"/>
        <v>26874.514851688888</v>
      </c>
      <c r="S108" s="103">
        <f>SUM(S11:S107)</f>
        <v>105535.97813974999</v>
      </c>
      <c r="T108" s="103">
        <f>SUM(T11:T107)</f>
        <v>320629.74978974997</v>
      </c>
      <c r="U108" s="50">
        <f>U83+U105</f>
        <v>816365.75597212906</v>
      </c>
    </row>
    <row r="109" spans="1:21">
      <c r="A109" s="120"/>
      <c r="B109" s="120"/>
      <c r="C109" s="120"/>
      <c r="D109" s="120"/>
      <c r="E109" s="121"/>
      <c r="F109" s="121"/>
      <c r="G109" s="121"/>
      <c r="H109" s="121"/>
      <c r="I109" s="121"/>
      <c r="J109" s="121"/>
      <c r="K109" s="121"/>
      <c r="L109" s="121"/>
      <c r="M109" s="120"/>
      <c r="N109" s="121"/>
      <c r="O109" s="120"/>
      <c r="P109" s="120"/>
      <c r="Q109" s="120"/>
      <c r="R109" s="120"/>
      <c r="S109" s="120"/>
      <c r="T109" s="120"/>
      <c r="U109" s="120"/>
    </row>
    <row r="110" spans="1:21">
      <c r="A110" s="120"/>
      <c r="B110" s="120"/>
      <c r="C110" s="120"/>
      <c r="D110" s="120"/>
      <c r="E110" s="121"/>
      <c r="F110" s="121"/>
      <c r="G110" s="121"/>
      <c r="H110" s="121"/>
      <c r="I110" s="121"/>
      <c r="J110" s="122"/>
      <c r="K110" s="123"/>
      <c r="L110" s="122"/>
      <c r="M110" s="121"/>
      <c r="N110" s="120"/>
      <c r="O110" s="120"/>
      <c r="P110" s="120"/>
      <c r="Q110" s="120"/>
      <c r="R110" s="120"/>
      <c r="S110" s="120"/>
      <c r="T110" s="120"/>
      <c r="U110" s="120"/>
    </row>
    <row r="111" spans="1:21" ht="45">
      <c r="A111" s="120"/>
      <c r="B111" s="124" t="s">
        <v>184</v>
      </c>
      <c r="C111" s="166">
        <v>-142248.78</v>
      </c>
      <c r="D111" s="167"/>
      <c r="E111" s="167"/>
      <c r="F111" s="168"/>
      <c r="G111" s="121"/>
      <c r="H111" s="121"/>
      <c r="I111" s="121"/>
      <c r="J111" s="122"/>
      <c r="K111" s="123"/>
      <c r="L111" s="122"/>
      <c r="M111" s="121"/>
      <c r="N111" s="120"/>
      <c r="O111" s="120"/>
      <c r="P111" s="120"/>
      <c r="Q111" s="120"/>
      <c r="R111" s="120"/>
      <c r="S111" s="120"/>
      <c r="T111" s="120"/>
      <c r="U111" s="120"/>
    </row>
    <row r="112" spans="1:21" ht="30">
      <c r="A112" s="120"/>
      <c r="B112" s="22" t="s">
        <v>205</v>
      </c>
      <c r="C112" s="170">
        <v>498322.44</v>
      </c>
      <c r="D112" s="171"/>
      <c r="E112" s="171"/>
      <c r="F112" s="172"/>
      <c r="G112" s="121"/>
      <c r="H112" s="121"/>
      <c r="I112" s="121"/>
      <c r="J112" s="122"/>
      <c r="K112" s="123"/>
      <c r="L112" s="122"/>
      <c r="M112" s="121"/>
      <c r="N112" s="120"/>
      <c r="O112" s="120"/>
      <c r="P112" s="120"/>
      <c r="Q112" s="120"/>
      <c r="R112" s="120"/>
      <c r="S112" s="120"/>
      <c r="T112" s="120"/>
      <c r="U112" s="120"/>
    </row>
    <row r="113" spans="1:21" ht="30">
      <c r="A113" s="120"/>
      <c r="B113" s="22" t="s">
        <v>206</v>
      </c>
      <c r="C113" s="170">
        <f>SUM(U108-U105)</f>
        <v>438599.06667212909</v>
      </c>
      <c r="D113" s="171"/>
      <c r="E113" s="171"/>
      <c r="F113" s="172"/>
      <c r="G113" s="121"/>
      <c r="H113" s="121"/>
      <c r="I113" s="121"/>
      <c r="J113" s="122"/>
      <c r="K113" s="123"/>
      <c r="L113" s="122"/>
      <c r="M113" s="121"/>
      <c r="N113" s="120"/>
      <c r="O113" s="120"/>
      <c r="P113" s="120"/>
      <c r="Q113" s="120"/>
      <c r="R113" s="120"/>
      <c r="S113" s="120"/>
      <c r="T113" s="120"/>
      <c r="U113" s="120"/>
    </row>
    <row r="114" spans="1:21" ht="30">
      <c r="A114" s="120"/>
      <c r="B114" s="22" t="s">
        <v>207</v>
      </c>
      <c r="C114" s="170">
        <f>SUM(U105)</f>
        <v>377766.68929999997</v>
      </c>
      <c r="D114" s="171"/>
      <c r="E114" s="171"/>
      <c r="F114" s="172"/>
      <c r="G114" s="121"/>
      <c r="H114" s="121"/>
      <c r="I114" s="121"/>
      <c r="J114" s="122"/>
      <c r="K114" s="123"/>
      <c r="L114" s="122"/>
      <c r="M114" s="121"/>
      <c r="N114" s="120"/>
      <c r="O114" s="120"/>
      <c r="P114" s="120"/>
      <c r="Q114" s="120"/>
      <c r="R114" s="120"/>
      <c r="S114" s="120"/>
      <c r="T114" s="120"/>
      <c r="U114" s="120"/>
    </row>
    <row r="115" spans="1:21" ht="18">
      <c r="A115" s="120"/>
      <c r="B115" s="133" t="s">
        <v>208</v>
      </c>
      <c r="C115" s="170">
        <v>491479.77</v>
      </c>
      <c r="D115" s="171"/>
      <c r="E115" s="171"/>
      <c r="F115" s="172"/>
      <c r="G115" s="120"/>
      <c r="H115" s="125" t="s">
        <v>150</v>
      </c>
      <c r="I115" s="126"/>
      <c r="J115" s="126"/>
      <c r="K115" s="127"/>
      <c r="L115" s="128"/>
      <c r="M115" s="125"/>
      <c r="N115" s="125"/>
      <c r="O115" s="120"/>
      <c r="P115" s="120"/>
      <c r="Q115" s="120"/>
      <c r="R115" s="120"/>
      <c r="S115" s="120"/>
      <c r="T115" s="120"/>
      <c r="U115" s="120"/>
    </row>
    <row r="116" spans="1:21" ht="78.75">
      <c r="A116" s="120"/>
      <c r="B116" s="23" t="s">
        <v>209</v>
      </c>
      <c r="C116" s="173">
        <v>153480.78</v>
      </c>
      <c r="D116" s="174"/>
      <c r="E116" s="174"/>
      <c r="F116" s="175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</row>
    <row r="117" spans="1:21" ht="45">
      <c r="A117" s="120"/>
      <c r="B117" s="129" t="s">
        <v>210</v>
      </c>
      <c r="C117" s="169">
        <f>SUM(U108-C112)+C111</f>
        <v>175794.53597212906</v>
      </c>
      <c r="D117" s="167"/>
      <c r="E117" s="167"/>
      <c r="F117" s="168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</row>
    <row r="119" spans="1:21">
      <c r="J119" s="4"/>
      <c r="K119" s="5"/>
      <c r="L119" s="5"/>
      <c r="M119" s="3"/>
    </row>
    <row r="120" spans="1:21">
      <c r="G120" s="6"/>
      <c r="H120" s="6"/>
    </row>
    <row r="121" spans="1:21">
      <c r="G121" s="7"/>
    </row>
  </sheetData>
  <mergeCells count="12">
    <mergeCell ref="C111:F111"/>
    <mergeCell ref="C117:F117"/>
    <mergeCell ref="C112:F112"/>
    <mergeCell ref="C113:F113"/>
    <mergeCell ref="C114:F114"/>
    <mergeCell ref="C115:F115"/>
    <mergeCell ref="C116:F116"/>
    <mergeCell ref="W84:Z84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5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Нефт.7</vt:lpstr>
      <vt:lpstr>Нефт.7!Область_печати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2016-05-30T13:27:45Z</cp:lastPrinted>
  <dcterms:created xsi:type="dcterms:W3CDTF">2014-02-05T12:20:20Z</dcterms:created>
  <dcterms:modified xsi:type="dcterms:W3CDTF">2016-05-30T13:31:48Z</dcterms:modified>
</cp:coreProperties>
</file>