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,13" sheetId="1" r:id="rId1"/>
  </sheets>
  <definedNames>
    <definedName name="_xlnm.Print_Area" localSheetId="0">'Нефт.,13'!$A$1:$U$134</definedName>
  </definedNames>
  <calcPr calcId="124519"/>
</workbook>
</file>

<file path=xl/calcChain.xml><?xml version="1.0" encoding="utf-8"?>
<calcChain xmlns="http://schemas.openxmlformats.org/spreadsheetml/2006/main">
  <c r="T120" i="1"/>
  <c r="U120" s="1"/>
  <c r="H120"/>
  <c r="R116"/>
  <c r="T121"/>
  <c r="U121" s="1"/>
  <c r="H119"/>
  <c r="H121"/>
  <c r="S117"/>
  <c r="U117" s="1"/>
  <c r="H117"/>
  <c r="C132"/>
  <c r="C129"/>
  <c r="T75"/>
  <c r="T109"/>
  <c r="T119"/>
  <c r="U119" s="1"/>
  <c r="T62"/>
  <c r="T58"/>
  <c r="S58"/>
  <c r="T40"/>
  <c r="T34"/>
  <c r="S34"/>
  <c r="S94"/>
  <c r="S116"/>
  <c r="S118"/>
  <c r="U118" s="1"/>
  <c r="H118"/>
  <c r="F103"/>
  <c r="Q103"/>
  <c r="R58"/>
  <c r="Q58"/>
  <c r="R51"/>
  <c r="S40"/>
  <c r="R26"/>
  <c r="Q26"/>
  <c r="P58" l="1"/>
  <c r="O58"/>
  <c r="N58"/>
  <c r="P52"/>
  <c r="P26"/>
  <c r="P112"/>
  <c r="F112"/>
  <c r="P116"/>
  <c r="U116" s="1"/>
  <c r="H116"/>
  <c r="N114" l="1"/>
  <c r="U114" s="1"/>
  <c r="H114"/>
  <c r="H115"/>
  <c r="F115"/>
  <c r="N115" s="1"/>
  <c r="U115" s="1"/>
  <c r="O94"/>
  <c r="O62"/>
  <c r="O104"/>
  <c r="O26"/>
  <c r="N113" l="1"/>
  <c r="U113" s="1"/>
  <c r="H113"/>
  <c r="N89"/>
  <c r="N108"/>
  <c r="N107"/>
  <c r="U107" s="1"/>
  <c r="U108"/>
  <c r="H108"/>
  <c r="H107"/>
  <c r="N90"/>
  <c r="N101"/>
  <c r="N71"/>
  <c r="N109"/>
  <c r="N106"/>
  <c r="N110"/>
  <c r="F110"/>
  <c r="N112"/>
  <c r="H112"/>
  <c r="U112"/>
  <c r="N111" l="1"/>
  <c r="U110"/>
  <c r="U111"/>
  <c r="H110"/>
  <c r="F111"/>
  <c r="H111" s="1"/>
  <c r="U109"/>
  <c r="H109"/>
  <c r="M58" l="1"/>
  <c r="N26"/>
  <c r="M51"/>
  <c r="M105"/>
  <c r="U105" s="1"/>
  <c r="M106"/>
  <c r="U106" s="1"/>
  <c r="H105"/>
  <c r="H106"/>
  <c r="M104"/>
  <c r="U104" s="1"/>
  <c r="H104"/>
  <c r="L58"/>
  <c r="I52"/>
  <c r="M26"/>
  <c r="M19"/>
  <c r="L103"/>
  <c r="U103" s="1"/>
  <c r="H103"/>
  <c r="K58"/>
  <c r="L52"/>
  <c r="L40" l="1"/>
  <c r="L34"/>
  <c r="K34"/>
  <c r="K98"/>
  <c r="K102"/>
  <c r="U102" s="1"/>
  <c r="H102"/>
  <c r="K101"/>
  <c r="U101" s="1"/>
  <c r="H101"/>
  <c r="K100"/>
  <c r="U100" s="1"/>
  <c r="J98"/>
  <c r="H100"/>
  <c r="J58"/>
  <c r="H36"/>
  <c r="K40" l="1"/>
  <c r="J34"/>
  <c r="J99"/>
  <c r="U99" s="1"/>
  <c r="H99"/>
  <c r="U98"/>
  <c r="H98"/>
  <c r="J71" l="1"/>
  <c r="J97"/>
  <c r="U97" s="1"/>
  <c r="H97"/>
  <c r="J96"/>
  <c r="U96" s="1"/>
  <c r="H96"/>
  <c r="J95" l="1"/>
  <c r="U95" s="1"/>
  <c r="H95"/>
  <c r="J92"/>
  <c r="U92" s="1"/>
  <c r="H92"/>
  <c r="J90"/>
  <c r="J94"/>
  <c r="U94" s="1"/>
  <c r="H94"/>
  <c r="H90"/>
  <c r="U90"/>
  <c r="J89"/>
  <c r="J93"/>
  <c r="U93" s="1"/>
  <c r="H93"/>
  <c r="J91"/>
  <c r="U91" s="1"/>
  <c r="H91"/>
  <c r="J88"/>
  <c r="U89"/>
  <c r="H89"/>
  <c r="U88" l="1"/>
  <c r="H88"/>
  <c r="O77" l="1"/>
  <c r="U77" s="1"/>
  <c r="F27" l="1"/>
  <c r="H77"/>
  <c r="J40"/>
  <c r="U75"/>
  <c r="U73"/>
  <c r="U72"/>
  <c r="U71"/>
  <c r="U63"/>
  <c r="U62"/>
  <c r="U60"/>
  <c r="U52"/>
  <c r="U30"/>
  <c r="U29"/>
  <c r="U26"/>
  <c r="U19"/>
  <c r="I58"/>
  <c r="U58" s="1"/>
  <c r="U51"/>
  <c r="I40"/>
  <c r="U40" s="1"/>
  <c r="U36"/>
  <c r="I34"/>
  <c r="U34" s="1"/>
  <c r="I87"/>
  <c r="U87" s="1"/>
  <c r="U122" s="1"/>
  <c r="H87"/>
  <c r="H122" s="1"/>
  <c r="Q27" l="1"/>
  <c r="R27"/>
  <c r="P27"/>
  <c r="O27"/>
  <c r="M27"/>
  <c r="N27"/>
  <c r="F65"/>
  <c r="F64"/>
  <c r="H58"/>
  <c r="F52"/>
  <c r="U27" l="1"/>
  <c r="M65"/>
  <c r="U65" s="1"/>
  <c r="M64"/>
  <c r="U64" s="1"/>
  <c r="F47"/>
  <c r="Q47" s="1"/>
  <c r="F38"/>
  <c r="F35"/>
  <c r="S38" l="1"/>
  <c r="T38"/>
  <c r="T35"/>
  <c r="S35"/>
  <c r="K38"/>
  <c r="L38"/>
  <c r="K35"/>
  <c r="L35"/>
  <c r="M47"/>
  <c r="U47" s="1"/>
  <c r="I38"/>
  <c r="J38"/>
  <c r="I35"/>
  <c r="J35"/>
  <c r="F23"/>
  <c r="F16"/>
  <c r="Q23" l="1"/>
  <c r="R23"/>
  <c r="O23"/>
  <c r="P23"/>
  <c r="N23"/>
  <c r="Q16"/>
  <c r="S16"/>
  <c r="O16"/>
  <c r="M16"/>
  <c r="M23"/>
  <c r="I16"/>
  <c r="K16"/>
  <c r="H23"/>
  <c r="U23"/>
  <c r="U35"/>
  <c r="U38"/>
  <c r="F57"/>
  <c r="F55"/>
  <c r="T55" l="1"/>
  <c r="S55"/>
  <c r="K55"/>
  <c r="L55"/>
  <c r="J55"/>
  <c r="U16"/>
  <c r="I55"/>
  <c r="H57"/>
  <c r="U57"/>
  <c r="H47"/>
  <c r="F48"/>
  <c r="H19"/>
  <c r="H55"/>
  <c r="Q48" l="1"/>
  <c r="T48"/>
  <c r="J48"/>
  <c r="M48"/>
  <c r="U55"/>
  <c r="I48"/>
  <c r="U48" l="1"/>
  <c r="H73"/>
  <c r="C131" l="1"/>
  <c r="H124"/>
  <c r="F125"/>
  <c r="E80"/>
  <c r="H83" s="1"/>
  <c r="F78"/>
  <c r="H75"/>
  <c r="F72"/>
  <c r="H72" s="1"/>
  <c r="F69"/>
  <c r="F68"/>
  <c r="M68" s="1"/>
  <c r="F67"/>
  <c r="M67" s="1"/>
  <c r="F66"/>
  <c r="M66" s="1"/>
  <c r="H65"/>
  <c r="H64"/>
  <c r="H63"/>
  <c r="H62"/>
  <c r="H52"/>
  <c r="H51"/>
  <c r="F50"/>
  <c r="F49"/>
  <c r="F46"/>
  <c r="F45"/>
  <c r="F44"/>
  <c r="F43"/>
  <c r="H40"/>
  <c r="F39"/>
  <c r="H38"/>
  <c r="F37"/>
  <c r="H35"/>
  <c r="H34"/>
  <c r="F31"/>
  <c r="H30"/>
  <c r="H29"/>
  <c r="F28"/>
  <c r="H27"/>
  <c r="F25"/>
  <c r="F24"/>
  <c r="F20"/>
  <c r="F18"/>
  <c r="F17"/>
  <c r="F15"/>
  <c r="F14"/>
  <c r="M14" s="1"/>
  <c r="E13"/>
  <c r="F13" s="1"/>
  <c r="F12"/>
  <c r="F11"/>
  <c r="T11" l="1"/>
  <c r="R11"/>
  <c r="S11"/>
  <c r="Q11"/>
  <c r="P11"/>
  <c r="O11"/>
  <c r="N11"/>
  <c r="R15"/>
  <c r="T15"/>
  <c r="Q15"/>
  <c r="S15"/>
  <c r="P15"/>
  <c r="O15"/>
  <c r="N15"/>
  <c r="Q24"/>
  <c r="R24"/>
  <c r="P24"/>
  <c r="O24"/>
  <c r="R12"/>
  <c r="T12"/>
  <c r="S12"/>
  <c r="Q12"/>
  <c r="P12"/>
  <c r="O12"/>
  <c r="S28"/>
  <c r="Q28"/>
  <c r="T28"/>
  <c r="R28"/>
  <c r="P28"/>
  <c r="O28"/>
  <c r="T37"/>
  <c r="S37"/>
  <c r="T39"/>
  <c r="S39"/>
  <c r="M43"/>
  <c r="Q43"/>
  <c r="M45"/>
  <c r="Q45"/>
  <c r="M49"/>
  <c r="R49"/>
  <c r="S78"/>
  <c r="R78"/>
  <c r="T78"/>
  <c r="Q78"/>
  <c r="P78"/>
  <c r="O78"/>
  <c r="N78"/>
  <c r="T13"/>
  <c r="S13"/>
  <c r="Q13"/>
  <c r="R13"/>
  <c r="P13"/>
  <c r="O13"/>
  <c r="T31"/>
  <c r="S31"/>
  <c r="Q31"/>
  <c r="R31"/>
  <c r="P31"/>
  <c r="O31"/>
  <c r="M44"/>
  <c r="Q44"/>
  <c r="M46"/>
  <c r="Q46"/>
  <c r="M50"/>
  <c r="R50"/>
  <c r="H69"/>
  <c r="Q69"/>
  <c r="U69" s="1"/>
  <c r="K13"/>
  <c r="M13"/>
  <c r="N13"/>
  <c r="L13"/>
  <c r="H18"/>
  <c r="M18"/>
  <c r="U18" s="1"/>
  <c r="M24"/>
  <c r="N24"/>
  <c r="K12"/>
  <c r="N12"/>
  <c r="M12"/>
  <c r="L12"/>
  <c r="H14"/>
  <c r="U14"/>
  <c r="H17"/>
  <c r="M17"/>
  <c r="U17" s="1"/>
  <c r="H20"/>
  <c r="M20"/>
  <c r="U20" s="1"/>
  <c r="H25"/>
  <c r="M25"/>
  <c r="U25" s="1"/>
  <c r="N28"/>
  <c r="M28"/>
  <c r="L28"/>
  <c r="K28"/>
  <c r="K37"/>
  <c r="L37"/>
  <c r="K39"/>
  <c r="L39"/>
  <c r="M78"/>
  <c r="L78"/>
  <c r="K78"/>
  <c r="M11"/>
  <c r="L11"/>
  <c r="K11"/>
  <c r="M15"/>
  <c r="L15"/>
  <c r="K15"/>
  <c r="M31"/>
  <c r="N31"/>
  <c r="L31"/>
  <c r="K31"/>
  <c r="J15"/>
  <c r="I28"/>
  <c r="J78"/>
  <c r="J11"/>
  <c r="J31"/>
  <c r="I11"/>
  <c r="I12"/>
  <c r="J12"/>
  <c r="J28"/>
  <c r="J37"/>
  <c r="J39"/>
  <c r="H43"/>
  <c r="U43"/>
  <c r="H45"/>
  <c r="U45"/>
  <c r="H66"/>
  <c r="U66"/>
  <c r="H68"/>
  <c r="U68"/>
  <c r="I78"/>
  <c r="I13"/>
  <c r="J13"/>
  <c r="I15"/>
  <c r="H24"/>
  <c r="U24"/>
  <c r="H31"/>
  <c r="I31"/>
  <c r="H44"/>
  <c r="U44"/>
  <c r="H46"/>
  <c r="U46"/>
  <c r="H67"/>
  <c r="U67"/>
  <c r="H37"/>
  <c r="I37"/>
  <c r="U37" s="1"/>
  <c r="H39"/>
  <c r="I39"/>
  <c r="U39" s="1"/>
  <c r="H49"/>
  <c r="U49"/>
  <c r="H50"/>
  <c r="U50"/>
  <c r="H78"/>
  <c r="H28"/>
  <c r="H32" s="1"/>
  <c r="H48"/>
  <c r="H53" s="1"/>
  <c r="H11"/>
  <c r="H12"/>
  <c r="H16"/>
  <c r="H13"/>
  <c r="H15"/>
  <c r="H79"/>
  <c r="F80"/>
  <c r="H41"/>
  <c r="H76"/>
  <c r="T80" l="1"/>
  <c r="R80"/>
  <c r="S80"/>
  <c r="Q80"/>
  <c r="P80"/>
  <c r="P125" s="1"/>
  <c r="O80"/>
  <c r="N80"/>
  <c r="S125"/>
  <c r="T125"/>
  <c r="O125"/>
  <c r="Q125"/>
  <c r="R125"/>
  <c r="M80"/>
  <c r="L80"/>
  <c r="K80"/>
  <c r="N125"/>
  <c r="J80"/>
  <c r="I80"/>
  <c r="I125" s="1"/>
  <c r="J125"/>
  <c r="U13"/>
  <c r="U76"/>
  <c r="U28"/>
  <c r="K125"/>
  <c r="U11"/>
  <c r="U31"/>
  <c r="U15"/>
  <c r="U78"/>
  <c r="U79" s="1"/>
  <c r="U12"/>
  <c r="M125"/>
  <c r="L125"/>
  <c r="U53"/>
  <c r="U41"/>
  <c r="H21"/>
  <c r="H80"/>
  <c r="H81" s="1"/>
  <c r="U21" l="1"/>
  <c r="U80"/>
  <c r="U81" s="1"/>
  <c r="U32"/>
  <c r="H82"/>
  <c r="H84" s="1"/>
  <c r="G125" s="1"/>
  <c r="H125" s="1"/>
  <c r="U82" l="1"/>
  <c r="U125" s="1"/>
  <c r="C134" s="1"/>
  <c r="C130" l="1"/>
</calcChain>
</file>

<file path=xl/sharedStrings.xml><?xml version="1.0" encoding="utf-8"?>
<sst xmlns="http://schemas.openxmlformats.org/spreadsheetml/2006/main" count="369" uniqueCount="266">
  <si>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</si>
  <si>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</si>
  <si>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</si>
  <si>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</si>
  <si>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</si>
  <si>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</si>
  <si>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</si>
  <si>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</si>
  <si>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</si>
  <si>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</si>
  <si>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</si>
  <si>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</si>
  <si>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</si>
  <si>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</si>
  <si>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</si>
  <si>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</si>
  <si>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</si>
  <si>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</si>
  <si>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</si>
  <si>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</si>
  <si>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</si>
  <si>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</si>
  <si>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</si>
  <si>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</si>
  <si>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</si>
  <si>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</si>
  <si>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</si>
  <si>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</si>
  <si>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</si>
  <si>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</si>
  <si>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</si>
  <si>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</si>
  <si>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</si>
  <si>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</si>
  <si>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</si>
  <si>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</si>
  <si>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</si>
  <si>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</si>
  <si>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</si>
  <si>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</si>
  <si>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</si>
  <si>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</si>
  <si>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</si>
  <si>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</si>
  <si>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</si>
  <si>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</si>
  <si>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</si>
  <si>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</si>
  <si>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</si>
  <si>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</si>
  <si>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</si>
  <si>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</si>
  <si>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</si>
  <si>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</si>
  <si>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</si>
  <si>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</si>
  <si>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</si>
  <si>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</si>
  <si>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</si>
  <si>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</si>
  <si>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</si>
  <si>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</si>
  <si>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</si>
  <si>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</si>
  <si>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</si>
  <si>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</si>
  <si>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</si>
  <si>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</si>
  <si>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</si>
  <si>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</si>
  <si>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</si>
  <si>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</si>
  <si>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</si>
  <si>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</si>
  <si>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</si>
  <si>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</si>
  <si>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</si>
  <si>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</si>
  <si>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</si>
  <si>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</si>
  <si>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</si>
  <si>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</si>
  <si>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</si>
  <si>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</si>
  <si>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</si>
  <si>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</si>
  <si>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</si>
  <si>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</si>
  <si>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</si>
  <si>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</si>
  <si>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</si>
  <si>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</si>
  <si>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</si>
  <si>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</si>
  <si>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</si>
  <si>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</si>
  <si>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</si>
  <si>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</si>
  <si>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1 раз в месяц</t>
  </si>
  <si>
    <t>3 раза в год</t>
  </si>
  <si>
    <t>Вода для промывки СО</t>
  </si>
  <si>
    <t>Спуск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</si>
  <si>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</si>
  <si>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</si>
  <si>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</si>
  <si>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Влажная протирка подоконников</t>
  </si>
  <si>
    <t>Осмотр деревянных конструкций стропил</t>
  </si>
  <si>
    <t>100 м3</t>
  </si>
  <si>
    <t>6 раз за сезон</t>
  </si>
  <si>
    <t>Очистка от мусора</t>
  </si>
  <si>
    <t>10 шт.</t>
  </si>
  <si>
    <t>Смена ламп накаливания</t>
  </si>
  <si>
    <t>1 раз в  2 месяца</t>
  </si>
  <si>
    <t>Очистка урн от мусора</t>
  </si>
  <si>
    <t>30 раз за сезон</t>
  </si>
  <si>
    <t>Сдвигание снега в дни снегопада (тротуар, крыльца)</t>
  </si>
  <si>
    <t>35 раз за сезон</t>
  </si>
  <si>
    <t>Дератизация</t>
  </si>
  <si>
    <t>Лестничная клетка</t>
  </si>
  <si>
    <t>Установка пружин на входных дверях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</si>
  <si>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</si>
  <si>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</si>
  <si>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</si>
  <si>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</si>
  <si>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</si>
  <si>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</si>
  <si>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</si>
  <si>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</si>
  <si>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</si>
  <si>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</si>
  <si>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</si>
  <si>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Стоимость (руб.)</t>
  </si>
  <si>
    <t>5 этажей, 8 подъездов</t>
  </si>
  <si>
    <t>договор</t>
  </si>
  <si>
    <t>ТО внутридомового газ.оборудования</t>
  </si>
  <si>
    <t>Выполне ние       июнь</t>
  </si>
  <si>
    <t>Баланс выполненных работ на 01.01.2016 г. ( -долг за предприятием, +долг за населением)</t>
  </si>
  <si>
    <t>Выполнено работ по текущему ремонту за 2016 г.</t>
  </si>
  <si>
    <t>Фактически оплачено за 2016 г.</t>
  </si>
  <si>
    <t>Смена патронов (без материала)</t>
  </si>
  <si>
    <t>калькуляция</t>
  </si>
  <si>
    <t>Ремонт и регулировка доводчика (со стоимостью доводчика)</t>
  </si>
  <si>
    <t>1шт.</t>
  </si>
  <si>
    <t>Смена арматуры - вентилей и клапанов обратных муфтовых диаметром до 20 мм</t>
  </si>
  <si>
    <t>1 шт</t>
  </si>
  <si>
    <t>смета</t>
  </si>
  <si>
    <t>1 м</t>
  </si>
  <si>
    <t>Смена арматуры - вентилей и клапанов обратных муфтовых диаметром до 32 мм</t>
  </si>
  <si>
    <t xml:space="preserve">Смена сгонов у трубопроводов диаметром до 20 мм </t>
  </si>
  <si>
    <t>1 сгон</t>
  </si>
  <si>
    <t>Смена сгонов у трубопроводов диаметром до 32 мм</t>
  </si>
  <si>
    <t>Устройство хомута</t>
  </si>
  <si>
    <t>место</t>
  </si>
  <si>
    <t>Работа автовышки</t>
  </si>
  <si>
    <t>маш/час</t>
  </si>
  <si>
    <t>Замена кран-буксы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</si>
  <si>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13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</si>
  <si>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Ремонт и регулировка доводчика (без стоимости доводчика)</t>
  </si>
  <si>
    <t>Ремонт силового предохранительного шкафа (без стоимости материалов)</t>
  </si>
  <si>
    <t>Смена плавкой вставки на электрощите</t>
  </si>
  <si>
    <t>Ремонт ступеней деревянных</t>
  </si>
  <si>
    <t>10 ступ.</t>
  </si>
  <si>
    <t>Выполнено работ по содержанию за 2016 г.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</si>
  <si>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</si>
  <si>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</si>
  <si>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</si>
  <si>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</si>
  <si>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</si>
  <si>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</si>
  <si>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</si>
  <si>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</si>
  <si>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</si>
  <si>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Смена вентилей диаметром до 20 мм (без материала)</t>
  </si>
  <si>
    <t>Подключение и отключение сварочного аппарата</t>
  </si>
  <si>
    <t>счёт</t>
  </si>
  <si>
    <t>Герметизация стыков трубопроводов</t>
  </si>
  <si>
    <t>руб.</t>
  </si>
  <si>
    <t>Ремонт групповых щитков на лестничной клетке без ремонта автоматов</t>
  </si>
  <si>
    <t>100шт</t>
  </si>
  <si>
    <t>Внеплановый осмотр элекгросетей, арматуры и электрооборудования на чердаках и подвалах</t>
  </si>
  <si>
    <t>Внеплановый осмотр вводных электрических щитков</t>
  </si>
  <si>
    <t>Внеплановый осмотр электросетей, армазуры и электрооборудования на лестничных клетках</t>
  </si>
  <si>
    <t>Начислено за содержание и текущий ремонт за 2016 г.</t>
  </si>
  <si>
    <t>Смена тройника 20</t>
  </si>
  <si>
    <t>Смена тройника 25</t>
  </si>
  <si>
    <t>Ремонт венткороба</t>
  </si>
  <si>
    <t>тыс.руб.</t>
  </si>
  <si>
    <t xml:space="preserve">Смена трубопроводов на металл-полимерные трубы д=20 </t>
  </si>
  <si>
    <t xml:space="preserve">Смена внутренних трубопроводов из стальных труб диаметром до 32 мм </t>
  </si>
  <si>
    <t>Смена внутренних трубопроводов из стальных труб диаметром до 50 мм</t>
  </si>
  <si>
    <t>Ремонт отдельных мест покрытия из асбоцементных листов обыкновенного профиля</t>
  </si>
  <si>
    <t>10 м2</t>
  </si>
  <si>
    <t>Ремонт оголовков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</si>
  <si>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</si>
  <si>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</si>
  <si>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</si>
  <si>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</si>
  <si>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</si>
  <si>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</si>
  <si>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</si>
  <si>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</si>
  <si>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</si>
  <si>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</si>
  <si>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</si>
  <si>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</si>
  <si>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</si>
  <si>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</si>
  <si>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</si>
  <si>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</si>
  <si>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</si>
  <si>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</si>
  <si>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</si>
  <si>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</si>
  <si>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</si>
  <si>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</si>
  <si>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</si>
  <si>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</si>
  <si>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</si>
  <si>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</si>
  <si>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</si>
  <si>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</si>
  <si>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</si>
  <si>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Осмотр шиферной кровли</t>
  </si>
  <si>
    <t>ТЕР 54-041</t>
  </si>
  <si>
    <t>ТЕР 51-034</t>
  </si>
  <si>
    <t>ТЕР 15-018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</si>
  <si>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</si>
  <si>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</si>
  <si>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</si>
  <si>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</si>
  <si>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</si>
  <si>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</si>
  <si>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</si>
  <si>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</si>
  <si>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ТЕР 33-043</t>
  </si>
  <si>
    <t>ТЕР 33-028</t>
  </si>
  <si>
    <t>ТЕР 32-027</t>
  </si>
  <si>
    <t>ТЕР 32-028</t>
  </si>
  <si>
    <t>ТЕР 32-087</t>
  </si>
  <si>
    <t>ТЕР 32-089</t>
  </si>
  <si>
    <t>ТЕР 31-009</t>
  </si>
  <si>
    <t xml:space="preserve">ТЕР 31-010 </t>
  </si>
  <si>
    <t>пр.ТЕР 32-098</t>
  </si>
  <si>
    <t>ТЕР 32-075</t>
  </si>
  <si>
    <t>ТЕР 33-032</t>
  </si>
  <si>
    <t>ТЕР 18-001</t>
  </si>
  <si>
    <t>пр.ТЕР 31-009</t>
  </si>
  <si>
    <t xml:space="preserve">пр.ТЕР 31-010 </t>
  </si>
  <si>
    <t>ТЕР 33-060</t>
  </si>
  <si>
    <t>ТЕР 33-030</t>
  </si>
  <si>
    <t>ТЕР 17-006</t>
  </si>
  <si>
    <t>Прочистка засоров ГВС, XВC</t>
  </si>
  <si>
    <t>3м</t>
  </si>
  <si>
    <t>ТЕР 32-101</t>
  </si>
  <si>
    <t xml:space="preserve">Смена сосков у трубопроводов диаметром до 20 мм 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</si>
  <si>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</si>
  <si>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</si>
  <si>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Смена трубопроводов на металл-полимерные трубы д=20 (без учёта материала)</t>
  </si>
  <si>
    <t>пр.ТЕР 32-028</t>
  </si>
  <si>
    <t>Смена вентиля диаметром до 32 мм (без стоимости материалов)</t>
  </si>
  <si>
    <t>пр.ТЕР 32-101</t>
  </si>
  <si>
    <t>Прогрев XВC</t>
  </si>
  <si>
    <t>пр.ТЕР 32-085</t>
  </si>
  <si>
    <t>Смена внутренних трубопроводов из стальных труб диаметром до 20 мм (без стоимости материалов)</t>
  </si>
  <si>
    <t>пр.ТЕР 33-023</t>
  </si>
  <si>
    <t>Смена светодиодных светильников в.о.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</si>
</sst>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7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1" fillId="8" borderId="7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0" fontId="7" fillId="0" borderId="12" xfId="0" applyFont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ont="1" applyFill="1"/>
    <xf numFmtId="0" fontId="18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165" fontId="1" fillId="4" borderId="3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vertical="center"/>
    </xf>
    <xf numFmtId="4" fontId="1" fillId="2" borderId="22" xfId="0" applyNumberFormat="1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0" borderId="21" xfId="0" applyFont="1" applyBorder="1"/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X138"/>
  <sheetViews>
    <sheetView tabSelected="1" view="pageBreakPreview" zoomScaleNormal="75" zoomScaleSheetLayoutView="100" workbookViewId="0">
      <pane ySplit="7" topLeftCell="A101" activePane="bottomLeft" state="frozen"/>
      <selection activeCell="B1" sqref="B1"/>
      <selection pane="bottomLeft" activeCell="A106" sqref="A106:XFD106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  <col min="22" max="24" width="9.140625" style="142"/>
  </cols>
  <sheetData>
    <row r="1" spans="1:21" ht="14.25" customHeight="1"/>
    <row r="3" spans="1:21" ht="18">
      <c r="A3" s="131"/>
      <c r="B3" s="177" t="s">
        <v>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34"/>
      <c r="N3" s="34"/>
      <c r="O3" s="34"/>
      <c r="P3" s="34"/>
      <c r="Q3" s="34"/>
      <c r="R3" s="34"/>
      <c r="S3" s="34"/>
      <c r="T3" s="34"/>
      <c r="U3" s="34"/>
    </row>
    <row r="4" spans="1:21" ht="33.75" customHeight="1">
      <c r="A4" s="34"/>
      <c r="B4" s="178" t="s">
        <v>1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34"/>
      <c r="N4" s="34"/>
      <c r="O4" s="34"/>
      <c r="P4" s="34"/>
      <c r="Q4" s="34"/>
      <c r="R4" s="34"/>
      <c r="S4" s="34"/>
      <c r="T4" s="34"/>
      <c r="U4" s="34"/>
    </row>
    <row r="5" spans="1:21" ht="18">
      <c r="A5" s="34"/>
      <c r="B5" s="178" t="s">
        <v>156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34"/>
      <c r="N5" s="34"/>
      <c r="O5" s="34"/>
      <c r="P5" s="34"/>
      <c r="Q5" s="34"/>
      <c r="R5" s="34"/>
      <c r="S5" s="34"/>
      <c r="T5" s="34"/>
      <c r="U5" s="34"/>
    </row>
    <row r="6" spans="1:21" ht="14.25">
      <c r="A6" s="34"/>
      <c r="B6" s="179" t="s">
        <v>132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34"/>
      <c r="N6" s="34"/>
      <c r="O6" s="34"/>
      <c r="P6" s="34"/>
      <c r="Q6" s="34"/>
      <c r="R6" s="34"/>
      <c r="S6" s="34"/>
      <c r="T6" s="34"/>
      <c r="U6" s="34"/>
    </row>
    <row r="7" spans="1:21" ht="50.25" customHeight="1">
      <c r="A7" s="151" t="s">
        <v>2</v>
      </c>
      <c r="B7" s="152" t="s">
        <v>3</v>
      </c>
      <c r="C7" s="152" t="s">
        <v>4</v>
      </c>
      <c r="D7" s="152" t="s">
        <v>5</v>
      </c>
      <c r="E7" s="152" t="s">
        <v>6</v>
      </c>
      <c r="F7" s="152" t="s">
        <v>7</v>
      </c>
      <c r="G7" s="152" t="s">
        <v>8</v>
      </c>
      <c r="H7" s="153" t="s">
        <v>9</v>
      </c>
      <c r="I7" s="29" t="s">
        <v>120</v>
      </c>
      <c r="J7" s="29" t="s">
        <v>121</v>
      </c>
      <c r="K7" s="29" t="s">
        <v>122</v>
      </c>
      <c r="L7" s="29" t="s">
        <v>123</v>
      </c>
      <c r="M7" s="29" t="s">
        <v>124</v>
      </c>
      <c r="N7" s="29" t="s">
        <v>135</v>
      </c>
      <c r="O7" s="29" t="s">
        <v>125</v>
      </c>
      <c r="P7" s="29" t="s">
        <v>126</v>
      </c>
      <c r="Q7" s="29" t="s">
        <v>127</v>
      </c>
      <c r="R7" s="29" t="s">
        <v>128</v>
      </c>
      <c r="S7" s="29" t="s">
        <v>129</v>
      </c>
      <c r="T7" s="29" t="s">
        <v>130</v>
      </c>
      <c r="U7" s="29" t="s">
        <v>131</v>
      </c>
    </row>
    <row r="8" spans="1:21">
      <c r="A8" s="154">
        <v>1</v>
      </c>
      <c r="B8" s="8">
        <v>2</v>
      </c>
      <c r="C8" s="30">
        <v>3</v>
      </c>
      <c r="D8" s="8">
        <v>4</v>
      </c>
      <c r="E8" s="8">
        <v>5</v>
      </c>
      <c r="F8" s="30">
        <v>6</v>
      </c>
      <c r="G8" s="30">
        <v>7</v>
      </c>
      <c r="H8" s="31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  <c r="S8" s="32">
        <v>19</v>
      </c>
      <c r="T8" s="32">
        <v>20</v>
      </c>
      <c r="U8" s="32">
        <v>21</v>
      </c>
    </row>
    <row r="9" spans="1:21" ht="38.25">
      <c r="A9" s="154"/>
      <c r="B9" s="10" t="s">
        <v>10</v>
      </c>
      <c r="C9" s="30"/>
      <c r="D9" s="11"/>
      <c r="E9" s="11"/>
      <c r="F9" s="30"/>
      <c r="G9" s="30"/>
      <c r="H9" s="35"/>
      <c r="I9" s="36"/>
      <c r="J9" s="36"/>
      <c r="K9" s="36"/>
      <c r="L9" s="36"/>
      <c r="M9" s="123"/>
      <c r="N9" s="124"/>
      <c r="O9" s="124"/>
      <c r="P9" s="124"/>
      <c r="Q9" s="124"/>
      <c r="R9" s="124"/>
      <c r="S9" s="124"/>
      <c r="T9" s="124"/>
      <c r="U9" s="124"/>
    </row>
    <row r="10" spans="1:21">
      <c r="A10" s="154"/>
      <c r="B10" s="10" t="s">
        <v>11</v>
      </c>
      <c r="C10" s="30"/>
      <c r="D10" s="11"/>
      <c r="E10" s="11"/>
      <c r="F10" s="30"/>
      <c r="G10" s="30"/>
      <c r="H10" s="35"/>
      <c r="I10" s="36"/>
      <c r="J10" s="36"/>
      <c r="K10" s="36"/>
      <c r="L10" s="36"/>
      <c r="M10" s="123"/>
      <c r="N10" s="124"/>
      <c r="O10" s="124"/>
      <c r="P10" s="124"/>
      <c r="Q10" s="124"/>
      <c r="R10" s="124"/>
      <c r="S10" s="124"/>
      <c r="T10" s="124"/>
      <c r="U10" s="124"/>
    </row>
    <row r="11" spans="1:21" ht="25.5">
      <c r="A11" s="154" t="s">
        <v>193</v>
      </c>
      <c r="B11" s="11" t="s">
        <v>12</v>
      </c>
      <c r="C11" s="30" t="s">
        <v>13</v>
      </c>
      <c r="D11" s="11" t="s">
        <v>14</v>
      </c>
      <c r="E11" s="37">
        <v>127.9</v>
      </c>
      <c r="F11" s="38">
        <f>SUM(E11*156/100)</f>
        <v>199.524</v>
      </c>
      <c r="G11" s="38">
        <v>187.48</v>
      </c>
      <c r="H11" s="39">
        <f t="shared" ref="H11:H20" si="0">SUM(F11*G11/1000)</f>
        <v>37.406759520000001</v>
      </c>
      <c r="I11" s="33">
        <f>F11/12*G11</f>
        <v>3117.2299599999997</v>
      </c>
      <c r="J11" s="33">
        <f>F11/12*G11</f>
        <v>3117.2299599999997</v>
      </c>
      <c r="K11" s="33">
        <f>F11/12*G11</f>
        <v>3117.2299599999997</v>
      </c>
      <c r="L11" s="33">
        <f>F11/12*G11</f>
        <v>3117.2299599999997</v>
      </c>
      <c r="M11" s="33">
        <f>F11/12*G11</f>
        <v>3117.2299599999997</v>
      </c>
      <c r="N11" s="33">
        <f>F11/12*G11</f>
        <v>3117.2299599999997</v>
      </c>
      <c r="O11" s="33">
        <f>F11/12*G11</f>
        <v>3117.2299599999997</v>
      </c>
      <c r="P11" s="33">
        <f>F11/12*G11</f>
        <v>3117.2299599999997</v>
      </c>
      <c r="Q11" s="33">
        <f>F11/12*G11</f>
        <v>3117.2299599999997</v>
      </c>
      <c r="R11" s="33">
        <f>F11/12*G11</f>
        <v>3117.2299599999997</v>
      </c>
      <c r="S11" s="33">
        <f>F11/12*G11</f>
        <v>3117.2299599999997</v>
      </c>
      <c r="T11" s="33">
        <f>F11/12*G11</f>
        <v>3117.2299599999997</v>
      </c>
      <c r="U11" s="33">
        <f t="shared" ref="U11:U20" si="1">SUM(I11:T11)</f>
        <v>37406.75952</v>
      </c>
    </row>
    <row r="12" spans="1:21" ht="25.5">
      <c r="A12" s="154" t="s">
        <v>193</v>
      </c>
      <c r="B12" s="11" t="s">
        <v>15</v>
      </c>
      <c r="C12" s="30" t="s">
        <v>13</v>
      </c>
      <c r="D12" s="11" t="s">
        <v>16</v>
      </c>
      <c r="E12" s="37">
        <v>511.6</v>
      </c>
      <c r="F12" s="38">
        <f>SUM(E12*104/100)</f>
        <v>532.06399999999996</v>
      </c>
      <c r="G12" s="38">
        <v>185.48</v>
      </c>
      <c r="H12" s="39">
        <f t="shared" si="0"/>
        <v>98.687230719999988</v>
      </c>
      <c r="I12" s="33">
        <f>F12/12*G12</f>
        <v>8223.9358933333315</v>
      </c>
      <c r="J12" s="33">
        <f>F12/12*G12</f>
        <v>8223.9358933333315</v>
      </c>
      <c r="K12" s="33">
        <f t="shared" ref="K12:K13" si="2">F12/12*G12</f>
        <v>8223.9358933333315</v>
      </c>
      <c r="L12" s="33">
        <f t="shared" ref="L12:L13" si="3">F12/12*G12</f>
        <v>8223.9358933333315</v>
      </c>
      <c r="M12" s="33">
        <f t="shared" ref="M12:M13" si="4">F12/12*G12</f>
        <v>8223.9358933333315</v>
      </c>
      <c r="N12" s="33">
        <f t="shared" ref="N12:N13" si="5">F12/12*G12</f>
        <v>8223.9358933333315</v>
      </c>
      <c r="O12" s="33">
        <f t="shared" ref="O12:O13" si="6">F12/12*G12</f>
        <v>8223.9358933333315</v>
      </c>
      <c r="P12" s="33">
        <f t="shared" ref="P12:P15" si="7">F12/12*G12</f>
        <v>8223.9358933333315</v>
      </c>
      <c r="Q12" s="33">
        <f t="shared" ref="Q12:Q13" si="8">F12/12*G12</f>
        <v>8223.9358933333315</v>
      </c>
      <c r="R12" s="33">
        <f t="shared" ref="R12:R13" si="9">F12/12*G12</f>
        <v>8223.9358933333315</v>
      </c>
      <c r="S12" s="33">
        <f t="shared" ref="S12:S13" si="10">F12/12*G12</f>
        <v>8223.9358933333315</v>
      </c>
      <c r="T12" s="33">
        <f t="shared" ref="T12:T15" si="11">F12/12*G12</f>
        <v>8223.9358933333315</v>
      </c>
      <c r="U12" s="33">
        <f t="shared" si="1"/>
        <v>98687.230719999949</v>
      </c>
    </row>
    <row r="13" spans="1:21" ht="25.5">
      <c r="A13" s="154" t="s">
        <v>194</v>
      </c>
      <c r="B13" s="11" t="s">
        <v>17</v>
      </c>
      <c r="C13" s="30" t="s">
        <v>13</v>
      </c>
      <c r="D13" s="11" t="s">
        <v>18</v>
      </c>
      <c r="E13" s="37">
        <f>SUM(E11+E12)</f>
        <v>639.5</v>
      </c>
      <c r="F13" s="38">
        <f>SUM(E13*24/100)</f>
        <v>153.47999999999999</v>
      </c>
      <c r="G13" s="38">
        <v>539.30999999999995</v>
      </c>
      <c r="H13" s="39">
        <f t="shared" si="0"/>
        <v>82.773298799999992</v>
      </c>
      <c r="I13" s="33">
        <f>F13/12*G13</f>
        <v>6897.7748999999985</v>
      </c>
      <c r="J13" s="33">
        <f>F13/12*G13</f>
        <v>6897.7748999999985</v>
      </c>
      <c r="K13" s="33">
        <f t="shared" si="2"/>
        <v>6897.7748999999985</v>
      </c>
      <c r="L13" s="33">
        <f t="shared" si="3"/>
        <v>6897.7748999999985</v>
      </c>
      <c r="M13" s="33">
        <f t="shared" si="4"/>
        <v>6897.7748999999985</v>
      </c>
      <c r="N13" s="33">
        <f t="shared" si="5"/>
        <v>6897.7748999999985</v>
      </c>
      <c r="O13" s="33">
        <f t="shared" si="6"/>
        <v>6897.7748999999985</v>
      </c>
      <c r="P13" s="33">
        <f t="shared" si="7"/>
        <v>6897.7748999999985</v>
      </c>
      <c r="Q13" s="33">
        <f t="shared" si="8"/>
        <v>6897.7748999999985</v>
      </c>
      <c r="R13" s="33">
        <f t="shared" si="9"/>
        <v>6897.7748999999985</v>
      </c>
      <c r="S13" s="33">
        <f t="shared" si="10"/>
        <v>6897.7748999999985</v>
      </c>
      <c r="T13" s="33">
        <f t="shared" si="11"/>
        <v>6897.7748999999985</v>
      </c>
      <c r="U13" s="33">
        <f t="shared" si="1"/>
        <v>82773.29879999999</v>
      </c>
    </row>
    <row r="14" spans="1:21">
      <c r="A14" s="154" t="s">
        <v>195</v>
      </c>
      <c r="B14" s="11" t="s">
        <v>19</v>
      </c>
      <c r="C14" s="30" t="s">
        <v>20</v>
      </c>
      <c r="D14" s="11" t="s">
        <v>97</v>
      </c>
      <c r="E14" s="37">
        <v>38.4</v>
      </c>
      <c r="F14" s="38">
        <f>SUM(E14/10)</f>
        <v>3.84</v>
      </c>
      <c r="G14" s="38">
        <v>181.91</v>
      </c>
      <c r="H14" s="39">
        <f t="shared" si="0"/>
        <v>0.6985344</v>
      </c>
      <c r="I14" s="33">
        <v>0</v>
      </c>
      <c r="J14" s="33">
        <v>0</v>
      </c>
      <c r="K14" s="33">
        <v>0</v>
      </c>
      <c r="L14" s="33">
        <v>0</v>
      </c>
      <c r="M14" s="33">
        <f>F14/2*G14</f>
        <v>349.2672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f t="shared" si="1"/>
        <v>349.2672</v>
      </c>
    </row>
    <row r="15" spans="1:21">
      <c r="A15" s="154" t="s">
        <v>196</v>
      </c>
      <c r="B15" s="11" t="s">
        <v>21</v>
      </c>
      <c r="C15" s="30" t="s">
        <v>13</v>
      </c>
      <c r="D15" s="11" t="s">
        <v>98</v>
      </c>
      <c r="E15" s="37">
        <v>58.4</v>
      </c>
      <c r="F15" s="38">
        <f>SUM(E15*12/100)</f>
        <v>7.0079999999999991</v>
      </c>
      <c r="G15" s="38">
        <v>232.92</v>
      </c>
      <c r="H15" s="39">
        <f t="shared" si="0"/>
        <v>1.6323033599999996</v>
      </c>
      <c r="I15" s="33">
        <f>F15/12*G15</f>
        <v>136.02527999999998</v>
      </c>
      <c r="J15" s="33">
        <f>F15/12*G15</f>
        <v>136.02527999999998</v>
      </c>
      <c r="K15" s="33">
        <f>F15/12*G15</f>
        <v>136.02527999999998</v>
      </c>
      <c r="L15" s="33">
        <f>F15/12*G15</f>
        <v>136.02527999999998</v>
      </c>
      <c r="M15" s="33">
        <f>F15/12*G15</f>
        <v>136.02527999999998</v>
      </c>
      <c r="N15" s="33">
        <f>F15/12*G15</f>
        <v>136.02527999999998</v>
      </c>
      <c r="O15" s="33">
        <f>F15/12*G15</f>
        <v>136.02527999999998</v>
      </c>
      <c r="P15" s="33">
        <f t="shared" si="7"/>
        <v>136.02527999999998</v>
      </c>
      <c r="Q15" s="33">
        <f t="shared" ref="Q15" si="12">F15/12*G15</f>
        <v>136.02527999999998</v>
      </c>
      <c r="R15" s="33">
        <f t="shared" ref="R15" si="13">F15/12*G15</f>
        <v>136.02527999999998</v>
      </c>
      <c r="S15" s="33">
        <f t="shared" ref="S15" si="14">F15/12*G15</f>
        <v>136.02527999999998</v>
      </c>
      <c r="T15" s="33">
        <f t="shared" si="11"/>
        <v>136.02527999999998</v>
      </c>
      <c r="U15" s="33">
        <f t="shared" si="1"/>
        <v>1632.3033600000001</v>
      </c>
    </row>
    <row r="16" spans="1:21">
      <c r="A16" s="154" t="s">
        <v>197</v>
      </c>
      <c r="B16" s="11" t="s">
        <v>22</v>
      </c>
      <c r="C16" s="30" t="s">
        <v>13</v>
      </c>
      <c r="D16" s="11" t="s">
        <v>112</v>
      </c>
      <c r="E16" s="37">
        <v>9.08</v>
      </c>
      <c r="F16" s="38">
        <f>SUM(E16*6/100)</f>
        <v>0.54480000000000006</v>
      </c>
      <c r="G16" s="38">
        <v>231.03</v>
      </c>
      <c r="H16" s="39">
        <f t="shared" si="0"/>
        <v>0.12586514400000001</v>
      </c>
      <c r="I16" s="33">
        <f>F16/6*G16</f>
        <v>20.977524000000003</v>
      </c>
      <c r="J16" s="33">
        <v>0</v>
      </c>
      <c r="K16" s="33">
        <f>F16/6*G16</f>
        <v>20.977524000000003</v>
      </c>
      <c r="L16" s="33">
        <v>0</v>
      </c>
      <c r="M16" s="33">
        <f>F16/6*G16</f>
        <v>20.977524000000003</v>
      </c>
      <c r="N16" s="33">
        <v>0</v>
      </c>
      <c r="O16" s="33">
        <f>F16/6*G16</f>
        <v>20.977524000000003</v>
      </c>
      <c r="P16" s="33">
        <v>0</v>
      </c>
      <c r="Q16" s="33">
        <f>F16/6*G16</f>
        <v>20.977524000000003</v>
      </c>
      <c r="R16" s="33">
        <v>0</v>
      </c>
      <c r="S16" s="33">
        <f>F16/6*G16</f>
        <v>20.977524000000003</v>
      </c>
      <c r="T16" s="33">
        <v>0</v>
      </c>
      <c r="U16" s="33">
        <f t="shared" si="1"/>
        <v>125.86514400000002</v>
      </c>
    </row>
    <row r="17" spans="1:24">
      <c r="A17" s="154" t="s">
        <v>198</v>
      </c>
      <c r="B17" s="11" t="s">
        <v>23</v>
      </c>
      <c r="C17" s="30" t="s">
        <v>24</v>
      </c>
      <c r="D17" s="11" t="s">
        <v>97</v>
      </c>
      <c r="E17" s="37">
        <v>714</v>
      </c>
      <c r="F17" s="38">
        <f>SUM(E17/100)</f>
        <v>7.14</v>
      </c>
      <c r="G17" s="38">
        <v>287.83999999999997</v>
      </c>
      <c r="H17" s="39">
        <f t="shared" si="0"/>
        <v>2.0551775999999995</v>
      </c>
      <c r="I17" s="33">
        <v>0</v>
      </c>
      <c r="J17" s="33">
        <v>0</v>
      </c>
      <c r="K17" s="33">
        <v>0</v>
      </c>
      <c r="L17" s="33">
        <v>0</v>
      </c>
      <c r="M17" s="33">
        <f t="shared" ref="M17:M20" si="15">F17*G17</f>
        <v>2055.1775999999995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f t="shared" si="1"/>
        <v>2055.1775999999995</v>
      </c>
    </row>
    <row r="18" spans="1:24">
      <c r="A18" s="154" t="s">
        <v>199</v>
      </c>
      <c r="B18" s="11" t="s">
        <v>25</v>
      </c>
      <c r="C18" s="30" t="s">
        <v>24</v>
      </c>
      <c r="D18" s="11" t="s">
        <v>97</v>
      </c>
      <c r="E18" s="40">
        <v>96.6</v>
      </c>
      <c r="F18" s="38">
        <f>SUM(E18/100)</f>
        <v>0.96599999999999997</v>
      </c>
      <c r="G18" s="38">
        <v>47.34</v>
      </c>
      <c r="H18" s="39">
        <f t="shared" si="0"/>
        <v>4.5730440000000004E-2</v>
      </c>
      <c r="I18" s="33">
        <v>0</v>
      </c>
      <c r="J18" s="33">
        <v>0</v>
      </c>
      <c r="K18" s="33">
        <v>0</v>
      </c>
      <c r="L18" s="33">
        <v>0</v>
      </c>
      <c r="M18" s="33">
        <f t="shared" si="15"/>
        <v>45.730440000000002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f t="shared" si="1"/>
        <v>45.730440000000002</v>
      </c>
    </row>
    <row r="19" spans="1:24">
      <c r="A19" s="154" t="s">
        <v>200</v>
      </c>
      <c r="B19" s="11" t="s">
        <v>105</v>
      </c>
      <c r="C19" s="30" t="s">
        <v>24</v>
      </c>
      <c r="D19" s="11" t="s">
        <v>97</v>
      </c>
      <c r="E19" s="41">
        <v>40</v>
      </c>
      <c r="F19" s="42">
        <v>4.8</v>
      </c>
      <c r="G19" s="38">
        <v>416.62</v>
      </c>
      <c r="H19" s="39">
        <f>F19*G19/1000</f>
        <v>1.9997759999999998</v>
      </c>
      <c r="I19" s="33">
        <v>0</v>
      </c>
      <c r="J19" s="33">
        <v>0</v>
      </c>
      <c r="K19" s="33">
        <v>0</v>
      </c>
      <c r="L19" s="33">
        <v>0</v>
      </c>
      <c r="M19" s="33">
        <f t="shared" si="15"/>
        <v>1999.7759999999998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f t="shared" si="1"/>
        <v>1999.7759999999998</v>
      </c>
    </row>
    <row r="20" spans="1:24">
      <c r="A20" s="154" t="s">
        <v>201</v>
      </c>
      <c r="B20" s="11" t="s">
        <v>26</v>
      </c>
      <c r="C20" s="30" t="s">
        <v>24</v>
      </c>
      <c r="D20" s="11" t="s">
        <v>97</v>
      </c>
      <c r="E20" s="37">
        <v>17</v>
      </c>
      <c r="F20" s="38">
        <f>SUM(E20/100)</f>
        <v>0.17</v>
      </c>
      <c r="G20" s="38">
        <v>556.74</v>
      </c>
      <c r="H20" s="39">
        <f t="shared" si="0"/>
        <v>9.4645800000000002E-2</v>
      </c>
      <c r="I20" s="33">
        <v>0</v>
      </c>
      <c r="J20" s="33">
        <v>0</v>
      </c>
      <c r="K20" s="33">
        <v>0</v>
      </c>
      <c r="L20" s="33">
        <v>0</v>
      </c>
      <c r="M20" s="33">
        <f t="shared" si="15"/>
        <v>94.645800000000008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f t="shared" si="1"/>
        <v>94.645800000000008</v>
      </c>
    </row>
    <row r="21" spans="1:24" s="19" customFormat="1">
      <c r="A21" s="155"/>
      <c r="B21" s="20" t="s">
        <v>27</v>
      </c>
      <c r="C21" s="43"/>
      <c r="D21" s="20"/>
      <c r="E21" s="44"/>
      <c r="F21" s="45"/>
      <c r="G21" s="45"/>
      <c r="H21" s="46">
        <f>SUM(H11:H20)</f>
        <v>225.51932178399997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>
        <f>SUM(U11:U20)</f>
        <v>225170.05458399997</v>
      </c>
      <c r="V21" s="142"/>
      <c r="W21" s="142"/>
      <c r="X21" s="142"/>
    </row>
    <row r="22" spans="1:24">
      <c r="A22" s="154"/>
      <c r="B22" s="12" t="s">
        <v>28</v>
      </c>
      <c r="C22" s="30"/>
      <c r="D22" s="11"/>
      <c r="E22" s="37"/>
      <c r="F22" s="38"/>
      <c r="G22" s="38"/>
      <c r="H22" s="39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</row>
    <row r="23" spans="1:24" ht="25.5" customHeight="1">
      <c r="A23" s="154" t="s">
        <v>202</v>
      </c>
      <c r="B23" s="11" t="s">
        <v>163</v>
      </c>
      <c r="C23" s="30" t="s">
        <v>30</v>
      </c>
      <c r="D23" s="11" t="s">
        <v>29</v>
      </c>
      <c r="E23" s="38">
        <v>844.95</v>
      </c>
      <c r="F23" s="38">
        <f>SUM(E23*52/1000)</f>
        <v>43.937400000000004</v>
      </c>
      <c r="G23" s="38">
        <v>166.65</v>
      </c>
      <c r="H23" s="39">
        <f>SUM(F23*G23/1000)</f>
        <v>7.3221677100000004</v>
      </c>
      <c r="I23" s="33">
        <v>0</v>
      </c>
      <c r="J23" s="33">
        <v>0</v>
      </c>
      <c r="K23" s="33">
        <v>0</v>
      </c>
      <c r="L23" s="33">
        <v>0</v>
      </c>
      <c r="M23" s="33">
        <f>F23/6*G23</f>
        <v>1220.3612850000002</v>
      </c>
      <c r="N23" s="33">
        <f>F23/6*G23</f>
        <v>1220.3612850000002</v>
      </c>
      <c r="O23" s="33">
        <f>F23/6*G23</f>
        <v>1220.3612850000002</v>
      </c>
      <c r="P23" s="33">
        <f>F23/6*G23</f>
        <v>1220.3612850000002</v>
      </c>
      <c r="Q23" s="33">
        <f>F23/6*G23</f>
        <v>1220.3612850000002</v>
      </c>
      <c r="R23" s="33">
        <f>F23/6*G23</f>
        <v>1220.3612850000002</v>
      </c>
      <c r="S23" s="33">
        <v>0</v>
      </c>
      <c r="T23" s="33">
        <v>0</v>
      </c>
      <c r="U23" s="33">
        <f t="shared" ref="U23:U31" si="16">SUM(I23:T23)</f>
        <v>7322.1677100000006</v>
      </c>
    </row>
    <row r="24" spans="1:24" ht="38.25" customHeight="1">
      <c r="A24" s="154" t="s">
        <v>203</v>
      </c>
      <c r="B24" s="11" t="s">
        <v>164</v>
      </c>
      <c r="C24" s="30" t="s">
        <v>30</v>
      </c>
      <c r="D24" s="11" t="s">
        <v>31</v>
      </c>
      <c r="E24" s="38">
        <v>260.13</v>
      </c>
      <c r="F24" s="38">
        <f>SUM(E24*78/1000)</f>
        <v>20.290140000000001</v>
      </c>
      <c r="G24" s="38">
        <v>276.48</v>
      </c>
      <c r="H24" s="39">
        <f t="shared" ref="H24:H31" si="17">SUM(F24*G24/1000)</f>
        <v>5.6098179072000001</v>
      </c>
      <c r="I24" s="33">
        <v>0</v>
      </c>
      <c r="J24" s="33">
        <v>0</v>
      </c>
      <c r="K24" s="33">
        <v>0</v>
      </c>
      <c r="L24" s="33">
        <v>0</v>
      </c>
      <c r="M24" s="33">
        <f>F24/6*G24</f>
        <v>934.96965120000016</v>
      </c>
      <c r="N24" s="33">
        <f t="shared" ref="N24:N27" si="18">F24/6*G24</f>
        <v>934.96965120000016</v>
      </c>
      <c r="O24" s="33">
        <f t="shared" ref="O24:O27" si="19">F24/6*G24</f>
        <v>934.96965120000016</v>
      </c>
      <c r="P24" s="33">
        <f t="shared" ref="P24:P27" si="20">F24/6*G24</f>
        <v>934.96965120000016</v>
      </c>
      <c r="Q24" s="33">
        <f t="shared" ref="Q24:Q27" si="21">F24/6*G24</f>
        <v>934.96965120000016</v>
      </c>
      <c r="R24" s="33">
        <f t="shared" ref="R24:R27" si="22">F24/6*G24</f>
        <v>934.96965120000016</v>
      </c>
      <c r="S24" s="33">
        <v>0</v>
      </c>
      <c r="T24" s="33">
        <v>0</v>
      </c>
      <c r="U24" s="33">
        <f t="shared" si="16"/>
        <v>5609.8179072000012</v>
      </c>
    </row>
    <row r="25" spans="1:24">
      <c r="A25" s="154" t="s">
        <v>204</v>
      </c>
      <c r="B25" s="11" t="s">
        <v>32</v>
      </c>
      <c r="C25" s="30" t="s">
        <v>30</v>
      </c>
      <c r="D25" s="11" t="s">
        <v>33</v>
      </c>
      <c r="E25" s="38">
        <v>844.95</v>
      </c>
      <c r="F25" s="38">
        <f>SUM(E25/1000)</f>
        <v>0.84495000000000009</v>
      </c>
      <c r="G25" s="38">
        <v>3228.73</v>
      </c>
      <c r="H25" s="39">
        <f t="shared" si="17"/>
        <v>2.7281154135000003</v>
      </c>
      <c r="I25" s="33">
        <v>0</v>
      </c>
      <c r="J25" s="33">
        <v>0</v>
      </c>
      <c r="K25" s="33">
        <v>0</v>
      </c>
      <c r="L25" s="33">
        <v>0</v>
      </c>
      <c r="M25" s="33">
        <f>F25*G25</f>
        <v>2728.1154135000002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f t="shared" si="16"/>
        <v>2728.1154135000002</v>
      </c>
    </row>
    <row r="26" spans="1:24">
      <c r="A26" s="154" t="s">
        <v>205</v>
      </c>
      <c r="B26" s="11" t="s">
        <v>113</v>
      </c>
      <c r="C26" s="30" t="s">
        <v>61</v>
      </c>
      <c r="D26" s="11" t="s">
        <v>36</v>
      </c>
      <c r="E26" s="38">
        <v>8</v>
      </c>
      <c r="F26" s="38">
        <v>12.4</v>
      </c>
      <c r="G26" s="38">
        <v>1391.86</v>
      </c>
      <c r="H26" s="39">
        <v>17.259</v>
      </c>
      <c r="I26" s="33">
        <v>0</v>
      </c>
      <c r="J26" s="33">
        <v>0</v>
      </c>
      <c r="K26" s="33">
        <v>0</v>
      </c>
      <c r="L26" s="33">
        <v>0</v>
      </c>
      <c r="M26" s="33">
        <f>F26/6*G26</f>
        <v>2876.5106666666666</v>
      </c>
      <c r="N26" s="33">
        <f t="shared" si="18"/>
        <v>2876.5106666666666</v>
      </c>
      <c r="O26" s="33">
        <f t="shared" si="19"/>
        <v>2876.5106666666666</v>
      </c>
      <c r="P26" s="33">
        <f t="shared" si="20"/>
        <v>2876.5106666666666</v>
      </c>
      <c r="Q26" s="33">
        <f t="shared" si="21"/>
        <v>2876.5106666666666</v>
      </c>
      <c r="R26" s="33">
        <f t="shared" si="22"/>
        <v>2876.5106666666666</v>
      </c>
      <c r="S26" s="33">
        <v>0</v>
      </c>
      <c r="T26" s="33">
        <v>0</v>
      </c>
      <c r="U26" s="33">
        <f t="shared" si="16"/>
        <v>17259.063999999998</v>
      </c>
    </row>
    <row r="27" spans="1:24">
      <c r="A27" s="154" t="s">
        <v>206</v>
      </c>
      <c r="B27" s="11" t="s">
        <v>34</v>
      </c>
      <c r="C27" s="30" t="s">
        <v>35</v>
      </c>
      <c r="D27" s="11" t="s">
        <v>36</v>
      </c>
      <c r="E27" s="48">
        <v>0.33333333333333331</v>
      </c>
      <c r="F27" s="38">
        <f>155/3</f>
        <v>51.666666666666664</v>
      </c>
      <c r="G27" s="38">
        <v>60.6</v>
      </c>
      <c r="H27" s="39">
        <f>SUM(G27*155/3/1000)</f>
        <v>3.1309999999999998</v>
      </c>
      <c r="I27" s="33">
        <v>0</v>
      </c>
      <c r="J27" s="33">
        <v>0</v>
      </c>
      <c r="K27" s="33">
        <v>0</v>
      </c>
      <c r="L27" s="33">
        <v>0</v>
      </c>
      <c r="M27" s="33">
        <f>F27/6*G27</f>
        <v>521.83333333333337</v>
      </c>
      <c r="N27" s="33">
        <f t="shared" si="18"/>
        <v>521.83333333333337</v>
      </c>
      <c r="O27" s="33">
        <f t="shared" si="19"/>
        <v>521.83333333333337</v>
      </c>
      <c r="P27" s="33">
        <f t="shared" si="20"/>
        <v>521.83333333333337</v>
      </c>
      <c r="Q27" s="33">
        <f t="shared" si="21"/>
        <v>521.83333333333337</v>
      </c>
      <c r="R27" s="33">
        <f t="shared" si="22"/>
        <v>521.83333333333337</v>
      </c>
      <c r="S27" s="33">
        <v>0</v>
      </c>
      <c r="T27" s="33">
        <v>0</v>
      </c>
      <c r="U27" s="33">
        <f t="shared" si="16"/>
        <v>3131.0000000000005</v>
      </c>
    </row>
    <row r="28" spans="1:24" ht="12.75" customHeight="1">
      <c r="A28" s="154" t="s">
        <v>207</v>
      </c>
      <c r="B28" s="11" t="s">
        <v>37</v>
      </c>
      <c r="C28" s="30" t="s">
        <v>38</v>
      </c>
      <c r="D28" s="11" t="s">
        <v>39</v>
      </c>
      <c r="E28" s="49">
        <v>0.1</v>
      </c>
      <c r="F28" s="38">
        <f>SUM(E28*365)</f>
        <v>36.5</v>
      </c>
      <c r="G28" s="38">
        <v>157.18</v>
      </c>
      <c r="H28" s="39">
        <f t="shared" si="17"/>
        <v>5.737070000000001</v>
      </c>
      <c r="I28" s="33">
        <f>F28/12*G28</f>
        <v>478.08916666666664</v>
      </c>
      <c r="J28" s="33">
        <f>F28/12*G28</f>
        <v>478.08916666666664</v>
      </c>
      <c r="K28" s="33">
        <f>F28/12*G28</f>
        <v>478.08916666666664</v>
      </c>
      <c r="L28" s="33">
        <f>F28/12*G28</f>
        <v>478.08916666666664</v>
      </c>
      <c r="M28" s="33">
        <f>F28/12*G28</f>
        <v>478.08916666666664</v>
      </c>
      <c r="N28" s="33">
        <f>F28/12*G28</f>
        <v>478.08916666666664</v>
      </c>
      <c r="O28" s="33">
        <f>F28/12*G28</f>
        <v>478.08916666666664</v>
      </c>
      <c r="P28" s="33">
        <f>F28/12*G28</f>
        <v>478.08916666666664</v>
      </c>
      <c r="Q28" s="33">
        <f>F28/12*G28</f>
        <v>478.08916666666664</v>
      </c>
      <c r="R28" s="33">
        <f>F28/12*G28</f>
        <v>478.08916666666664</v>
      </c>
      <c r="S28" s="33">
        <f>F28/12*G28</f>
        <v>478.08916666666664</v>
      </c>
      <c r="T28" s="33">
        <f>F28/12*G28</f>
        <v>478.08916666666664</v>
      </c>
      <c r="U28" s="33">
        <f t="shared" si="16"/>
        <v>5737.07</v>
      </c>
    </row>
    <row r="29" spans="1:24" ht="12.75" customHeight="1">
      <c r="A29" s="154" t="s">
        <v>208</v>
      </c>
      <c r="B29" s="11" t="s">
        <v>165</v>
      </c>
      <c r="C29" s="30" t="s">
        <v>38</v>
      </c>
      <c r="D29" s="11" t="s">
        <v>40</v>
      </c>
      <c r="E29" s="37"/>
      <c r="F29" s="38">
        <v>3</v>
      </c>
      <c r="G29" s="38">
        <v>204.32</v>
      </c>
      <c r="H29" s="39">
        <f t="shared" si="17"/>
        <v>0.61296000000000006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f t="shared" si="16"/>
        <v>0</v>
      </c>
    </row>
    <row r="30" spans="1:24" ht="13.5" customHeight="1">
      <c r="A30" s="154" t="s">
        <v>140</v>
      </c>
      <c r="B30" s="11" t="s">
        <v>166</v>
      </c>
      <c r="C30" s="30" t="s">
        <v>41</v>
      </c>
      <c r="D30" s="11" t="s">
        <v>40</v>
      </c>
      <c r="E30" s="37"/>
      <c r="F30" s="38">
        <v>2</v>
      </c>
      <c r="G30" s="38">
        <v>1214.73</v>
      </c>
      <c r="H30" s="39">
        <f t="shared" si="17"/>
        <v>2.4294600000000002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f t="shared" si="16"/>
        <v>0</v>
      </c>
    </row>
    <row r="31" spans="1:24">
      <c r="A31" s="154"/>
      <c r="B31" s="50" t="s">
        <v>42</v>
      </c>
      <c r="C31" s="30" t="s">
        <v>43</v>
      </c>
      <c r="D31" s="50" t="s">
        <v>39</v>
      </c>
      <c r="E31" s="37">
        <v>4591.2</v>
      </c>
      <c r="F31" s="38">
        <f>SUM(E31*12)</f>
        <v>55094.399999999994</v>
      </c>
      <c r="G31" s="38">
        <v>5.85</v>
      </c>
      <c r="H31" s="39">
        <f t="shared" si="17"/>
        <v>322.30223999999993</v>
      </c>
      <c r="I31" s="33">
        <f>F31/12*G31</f>
        <v>26858.519999999997</v>
      </c>
      <c r="J31" s="33">
        <f>F31/12*G31</f>
        <v>26858.519999999997</v>
      </c>
      <c r="K31" s="33">
        <f>F31/12*G31</f>
        <v>26858.519999999997</v>
      </c>
      <c r="L31" s="33">
        <f>F31/12*G31</f>
        <v>26858.519999999997</v>
      </c>
      <c r="M31" s="33">
        <f>F31/12*G31</f>
        <v>26858.519999999997</v>
      </c>
      <c r="N31" s="33">
        <f>F31/12*G31</f>
        <v>26858.519999999997</v>
      </c>
      <c r="O31" s="33">
        <f>F31/12*G31</f>
        <v>26858.519999999997</v>
      </c>
      <c r="P31" s="33">
        <f>F31/12*G31</f>
        <v>26858.519999999997</v>
      </c>
      <c r="Q31" s="33">
        <f t="shared" ref="Q31" si="23">F31/12*G31</f>
        <v>26858.519999999997</v>
      </c>
      <c r="R31" s="33">
        <f t="shared" ref="R31" si="24">F31/12*G31</f>
        <v>26858.519999999997</v>
      </c>
      <c r="S31" s="33">
        <f t="shared" ref="S31" si="25">F31/12*G31</f>
        <v>26858.519999999997</v>
      </c>
      <c r="T31" s="33">
        <f t="shared" ref="T31" si="26">F31/12*G31</f>
        <v>26858.519999999997</v>
      </c>
      <c r="U31" s="33">
        <f t="shared" si="16"/>
        <v>322302.24</v>
      </c>
    </row>
    <row r="32" spans="1:24" s="19" customFormat="1">
      <c r="A32" s="155"/>
      <c r="B32" s="20" t="s">
        <v>27</v>
      </c>
      <c r="C32" s="43"/>
      <c r="D32" s="20"/>
      <c r="E32" s="44"/>
      <c r="F32" s="45"/>
      <c r="G32" s="45"/>
      <c r="H32" s="51">
        <f>SUM(H23:H31)</f>
        <v>367.13183103069991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>
        <f>SUM(U23:U31)</f>
        <v>364089.47503069998</v>
      </c>
      <c r="V32" s="142"/>
      <c r="W32" s="142"/>
      <c r="X32" s="142"/>
    </row>
    <row r="33" spans="1:24">
      <c r="A33" s="154"/>
      <c r="B33" s="12" t="s">
        <v>45</v>
      </c>
      <c r="C33" s="30"/>
      <c r="D33" s="11"/>
      <c r="E33" s="37"/>
      <c r="F33" s="38"/>
      <c r="G33" s="38"/>
      <c r="H33" s="39" t="s">
        <v>44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1:24" ht="12.75" customHeight="1">
      <c r="A34" s="154" t="s">
        <v>140</v>
      </c>
      <c r="B34" s="13" t="s">
        <v>46</v>
      </c>
      <c r="C34" s="30" t="s">
        <v>41</v>
      </c>
      <c r="D34" s="11"/>
      <c r="E34" s="37"/>
      <c r="F34" s="38">
        <v>10</v>
      </c>
      <c r="G34" s="38">
        <v>1632.6</v>
      </c>
      <c r="H34" s="39">
        <f t="shared" ref="H34:H40" si="27">SUM(F34*G34/1000)</f>
        <v>16.326000000000001</v>
      </c>
      <c r="I34" s="33">
        <f>F34/6*G34</f>
        <v>2721</v>
      </c>
      <c r="J34" s="33">
        <f>F34/6*G34</f>
        <v>2721</v>
      </c>
      <c r="K34" s="33">
        <f>F34/6*G34</f>
        <v>2721</v>
      </c>
      <c r="L34" s="33">
        <f>F34/6*G34</f>
        <v>2721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f>F34/6*G34</f>
        <v>2721</v>
      </c>
      <c r="T34" s="33">
        <f>F34/6*G34</f>
        <v>2721</v>
      </c>
      <c r="U34" s="33">
        <f t="shared" ref="U34:U40" si="28">SUM(I34:T34)</f>
        <v>16326</v>
      </c>
    </row>
    <row r="35" spans="1:24" s="1" customFormat="1" ht="25.5">
      <c r="A35" s="156" t="s">
        <v>209</v>
      </c>
      <c r="B35" s="13" t="s">
        <v>115</v>
      </c>
      <c r="C35" s="52" t="s">
        <v>47</v>
      </c>
      <c r="D35" s="13" t="s">
        <v>114</v>
      </c>
      <c r="E35" s="53">
        <v>254.8</v>
      </c>
      <c r="F35" s="53">
        <f>SUM(E35*30/1000)</f>
        <v>7.6440000000000001</v>
      </c>
      <c r="G35" s="53">
        <v>2247.8000000000002</v>
      </c>
      <c r="H35" s="39">
        <f t="shared" si="27"/>
        <v>17.182183200000004</v>
      </c>
      <c r="I35" s="54">
        <f>F35/6*G35</f>
        <v>2863.6972000000001</v>
      </c>
      <c r="J35" s="54">
        <f>F35/6*G35</f>
        <v>2863.6972000000001</v>
      </c>
      <c r="K35" s="33">
        <f t="shared" ref="K35:K40" si="29">F35/6*G35</f>
        <v>2863.6972000000001</v>
      </c>
      <c r="L35" s="33">
        <f t="shared" ref="L35:L40" si="30">F35/6*G35</f>
        <v>2863.6972000000001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f t="shared" ref="S35:S40" si="31">F35/6*G35</f>
        <v>2863.6972000000001</v>
      </c>
      <c r="T35" s="33">
        <f t="shared" ref="T35:T40" si="32">F35/6*G35</f>
        <v>2863.6972000000001</v>
      </c>
      <c r="U35" s="33">
        <f t="shared" si="28"/>
        <v>17182.183199999999</v>
      </c>
      <c r="V35" s="143"/>
      <c r="W35" s="143"/>
      <c r="X35" s="143"/>
    </row>
    <row r="36" spans="1:24">
      <c r="A36" s="154" t="s">
        <v>140</v>
      </c>
      <c r="B36" s="11" t="s">
        <v>104</v>
      </c>
      <c r="C36" s="30" t="s">
        <v>68</v>
      </c>
      <c r="D36" s="11" t="s">
        <v>40</v>
      </c>
      <c r="E36" s="37"/>
      <c r="F36" s="53">
        <v>40</v>
      </c>
      <c r="G36" s="38">
        <v>213.2</v>
      </c>
      <c r="H36" s="39">
        <f t="shared" si="27"/>
        <v>8.5280000000000005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f t="shared" si="28"/>
        <v>0</v>
      </c>
    </row>
    <row r="37" spans="1:24" ht="24.75" customHeight="1">
      <c r="A37" s="154" t="s">
        <v>210</v>
      </c>
      <c r="B37" s="11" t="s">
        <v>167</v>
      </c>
      <c r="C37" s="30" t="s">
        <v>47</v>
      </c>
      <c r="D37" s="11" t="s">
        <v>48</v>
      </c>
      <c r="E37" s="38">
        <v>260.13</v>
      </c>
      <c r="F37" s="53">
        <f>SUM(E37*155/1000)</f>
        <v>40.320149999999998</v>
      </c>
      <c r="G37" s="38">
        <v>374.95</v>
      </c>
      <c r="H37" s="39">
        <f t="shared" si="27"/>
        <v>15.118040242499999</v>
      </c>
      <c r="I37" s="33">
        <f>F37/6*G37</f>
        <v>2519.6733737499999</v>
      </c>
      <c r="J37" s="33">
        <f>F37/6*G37</f>
        <v>2519.6733737499999</v>
      </c>
      <c r="K37" s="33">
        <f t="shared" si="29"/>
        <v>2519.6733737499999</v>
      </c>
      <c r="L37" s="33">
        <f t="shared" si="30"/>
        <v>2519.6733737499999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f t="shared" si="31"/>
        <v>2519.6733737499999</v>
      </c>
      <c r="T37" s="33">
        <f t="shared" si="32"/>
        <v>2519.6733737499999</v>
      </c>
      <c r="U37" s="33">
        <f t="shared" si="28"/>
        <v>15118.040242499999</v>
      </c>
    </row>
    <row r="38" spans="1:24" ht="51" customHeight="1">
      <c r="A38" s="154" t="s">
        <v>211</v>
      </c>
      <c r="B38" s="11" t="s">
        <v>168</v>
      </c>
      <c r="C38" s="30" t="s">
        <v>30</v>
      </c>
      <c r="D38" s="11" t="s">
        <v>116</v>
      </c>
      <c r="E38" s="38">
        <v>132.72999999999999</v>
      </c>
      <c r="F38" s="53">
        <f>SUM(E38*35/1000)</f>
        <v>4.6455499999999992</v>
      </c>
      <c r="G38" s="38">
        <v>6203.7</v>
      </c>
      <c r="H38" s="39">
        <f t="shared" si="27"/>
        <v>28.819598534999994</v>
      </c>
      <c r="I38" s="33">
        <f>F38/6*G38</f>
        <v>4803.266422499999</v>
      </c>
      <c r="J38" s="33">
        <f>F38/6*G38</f>
        <v>4803.266422499999</v>
      </c>
      <c r="K38" s="33">
        <f t="shared" si="29"/>
        <v>4803.266422499999</v>
      </c>
      <c r="L38" s="33">
        <f t="shared" si="30"/>
        <v>4803.266422499999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f t="shared" si="31"/>
        <v>4803.266422499999</v>
      </c>
      <c r="T38" s="33">
        <f t="shared" si="32"/>
        <v>4803.266422499999</v>
      </c>
      <c r="U38" s="33">
        <f t="shared" si="28"/>
        <v>28819.59853499999</v>
      </c>
    </row>
    <row r="39" spans="1:24" ht="12.75" customHeight="1">
      <c r="A39" s="154" t="s">
        <v>212</v>
      </c>
      <c r="B39" s="11" t="s">
        <v>169</v>
      </c>
      <c r="C39" s="30" t="s">
        <v>30</v>
      </c>
      <c r="D39" s="11" t="s">
        <v>49</v>
      </c>
      <c r="E39" s="38">
        <v>254.8</v>
      </c>
      <c r="F39" s="53">
        <f>SUM(E39*45/1000)</f>
        <v>11.465999999999999</v>
      </c>
      <c r="G39" s="38">
        <v>458.28</v>
      </c>
      <c r="H39" s="39">
        <f t="shared" si="27"/>
        <v>5.2546384799999997</v>
      </c>
      <c r="I39" s="33">
        <f>F39/6*G39</f>
        <v>875.77307999999982</v>
      </c>
      <c r="J39" s="33">
        <f>F39/6*G39</f>
        <v>875.77307999999982</v>
      </c>
      <c r="K39" s="33">
        <f t="shared" si="29"/>
        <v>875.77307999999982</v>
      </c>
      <c r="L39" s="33">
        <f t="shared" si="30"/>
        <v>875.77307999999982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f t="shared" si="31"/>
        <v>875.77307999999982</v>
      </c>
      <c r="T39" s="33">
        <f t="shared" si="32"/>
        <v>875.77307999999982</v>
      </c>
      <c r="U39" s="33">
        <f t="shared" si="28"/>
        <v>5254.6384799999987</v>
      </c>
    </row>
    <row r="40" spans="1:24" s="2" customFormat="1">
      <c r="A40" s="156"/>
      <c r="B40" s="13" t="s">
        <v>170</v>
      </c>
      <c r="C40" s="52" t="s">
        <v>38</v>
      </c>
      <c r="D40" s="13"/>
      <c r="E40" s="49"/>
      <c r="F40" s="53">
        <v>0.9</v>
      </c>
      <c r="G40" s="53">
        <v>853.06</v>
      </c>
      <c r="H40" s="39">
        <f t="shared" si="27"/>
        <v>0.76775400000000005</v>
      </c>
      <c r="I40" s="54">
        <f>F40/6*G40</f>
        <v>127.95899999999999</v>
      </c>
      <c r="J40" s="54">
        <f>F40/6*G40</f>
        <v>127.95899999999999</v>
      </c>
      <c r="K40" s="33">
        <f t="shared" si="29"/>
        <v>127.95899999999999</v>
      </c>
      <c r="L40" s="33">
        <f t="shared" si="30"/>
        <v>127.95899999999999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f t="shared" si="31"/>
        <v>127.95899999999999</v>
      </c>
      <c r="T40" s="33">
        <f t="shared" si="32"/>
        <v>127.95899999999999</v>
      </c>
      <c r="U40" s="33">
        <f t="shared" si="28"/>
        <v>767.75399999999991</v>
      </c>
      <c r="V40" s="142"/>
      <c r="W40" s="142"/>
      <c r="X40" s="142"/>
    </row>
    <row r="41" spans="1:24" s="19" customFormat="1">
      <c r="A41" s="155"/>
      <c r="B41" s="20" t="s">
        <v>27</v>
      </c>
      <c r="C41" s="43"/>
      <c r="D41" s="20"/>
      <c r="E41" s="44"/>
      <c r="F41" s="45" t="s">
        <v>44</v>
      </c>
      <c r="G41" s="45"/>
      <c r="H41" s="51">
        <f>SUM(H34:H40)</f>
        <v>91.996214457499988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>
        <f>SUM(U34:U40)</f>
        <v>83468.214457499984</v>
      </c>
      <c r="V41" s="142"/>
      <c r="W41" s="142"/>
      <c r="X41" s="142"/>
    </row>
    <row r="42" spans="1:24">
      <c r="A42" s="154"/>
      <c r="B42" s="14" t="s">
        <v>50</v>
      </c>
      <c r="C42" s="30"/>
      <c r="D42" s="11"/>
      <c r="E42" s="37"/>
      <c r="F42" s="38"/>
      <c r="G42" s="38"/>
      <c r="H42" s="39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  <row r="43" spans="1:24">
      <c r="A43" s="154" t="s">
        <v>213</v>
      </c>
      <c r="B43" s="11" t="s">
        <v>222</v>
      </c>
      <c r="C43" s="30" t="s">
        <v>30</v>
      </c>
      <c r="D43" s="11" t="s">
        <v>51</v>
      </c>
      <c r="E43" s="37">
        <v>1795.9</v>
      </c>
      <c r="F43" s="38">
        <f>SUM(E43*2/1000)</f>
        <v>3.5918000000000001</v>
      </c>
      <c r="G43" s="55">
        <v>865.61</v>
      </c>
      <c r="H43" s="39">
        <f t="shared" ref="H43:H52" si="33">SUM(F43*G43/1000)</f>
        <v>3.1090979980000002</v>
      </c>
      <c r="I43" s="33">
        <v>0</v>
      </c>
      <c r="J43" s="33">
        <v>0</v>
      </c>
      <c r="K43" s="33">
        <v>0</v>
      </c>
      <c r="L43" s="33">
        <v>0</v>
      </c>
      <c r="M43" s="33">
        <f>F43/2*G43</f>
        <v>1554.5489990000001</v>
      </c>
      <c r="N43" s="33">
        <v>0</v>
      </c>
      <c r="O43" s="33">
        <v>0</v>
      </c>
      <c r="P43" s="33">
        <v>0</v>
      </c>
      <c r="Q43" s="33">
        <f>F43/2*G43</f>
        <v>1554.5489990000001</v>
      </c>
      <c r="R43" s="33">
        <v>0</v>
      </c>
      <c r="S43" s="33">
        <v>0</v>
      </c>
      <c r="T43" s="33">
        <v>0</v>
      </c>
      <c r="U43" s="33">
        <f t="shared" ref="U43:U52" si="34">SUM(I43:T43)</f>
        <v>3109.0979980000002</v>
      </c>
    </row>
    <row r="44" spans="1:24">
      <c r="A44" s="154" t="s">
        <v>214</v>
      </c>
      <c r="B44" s="11" t="s">
        <v>52</v>
      </c>
      <c r="C44" s="30" t="s">
        <v>30</v>
      </c>
      <c r="D44" s="11" t="s">
        <v>51</v>
      </c>
      <c r="E44" s="37">
        <v>104</v>
      </c>
      <c r="F44" s="38">
        <f>SUM(E44*2/1000)</f>
        <v>0.20799999999999999</v>
      </c>
      <c r="G44" s="55">
        <v>619.46</v>
      </c>
      <c r="H44" s="39">
        <f t="shared" si="33"/>
        <v>0.12884767999999999</v>
      </c>
      <c r="I44" s="33">
        <v>0</v>
      </c>
      <c r="J44" s="33">
        <v>0</v>
      </c>
      <c r="K44" s="33">
        <v>0</v>
      </c>
      <c r="L44" s="33">
        <v>0</v>
      </c>
      <c r="M44" s="33">
        <f t="shared" ref="M44:M47" si="35">F44/2*G44</f>
        <v>64.423839999999998</v>
      </c>
      <c r="N44" s="33">
        <v>0</v>
      </c>
      <c r="O44" s="33">
        <v>0</v>
      </c>
      <c r="P44" s="33">
        <v>0</v>
      </c>
      <c r="Q44" s="33">
        <f t="shared" ref="Q44:Q47" si="36">F44/2*G44</f>
        <v>64.423839999999998</v>
      </c>
      <c r="R44" s="33">
        <v>0</v>
      </c>
      <c r="S44" s="33">
        <v>0</v>
      </c>
      <c r="T44" s="33">
        <v>0</v>
      </c>
      <c r="U44" s="33">
        <f t="shared" si="34"/>
        <v>128.84768</v>
      </c>
    </row>
    <row r="45" spans="1:24" ht="12.75" customHeight="1">
      <c r="A45" s="154" t="s">
        <v>215</v>
      </c>
      <c r="B45" s="11" t="s">
        <v>53</v>
      </c>
      <c r="C45" s="30" t="s">
        <v>30</v>
      </c>
      <c r="D45" s="11" t="s">
        <v>51</v>
      </c>
      <c r="E45" s="37">
        <v>1996.87</v>
      </c>
      <c r="F45" s="38">
        <f>SUM(E45*2/1000)</f>
        <v>3.9937399999999998</v>
      </c>
      <c r="G45" s="55">
        <v>619.46</v>
      </c>
      <c r="H45" s="39">
        <f t="shared" si="33"/>
        <v>2.4739621804</v>
      </c>
      <c r="I45" s="33">
        <v>0</v>
      </c>
      <c r="J45" s="33">
        <v>0</v>
      </c>
      <c r="K45" s="33">
        <v>0</v>
      </c>
      <c r="L45" s="33">
        <v>0</v>
      </c>
      <c r="M45" s="33">
        <f t="shared" si="35"/>
        <v>1236.9810901999999</v>
      </c>
      <c r="N45" s="33">
        <v>0</v>
      </c>
      <c r="O45" s="33">
        <v>0</v>
      </c>
      <c r="P45" s="33">
        <v>0</v>
      </c>
      <c r="Q45" s="33">
        <f t="shared" si="36"/>
        <v>1236.9810901999999</v>
      </c>
      <c r="R45" s="33">
        <v>0</v>
      </c>
      <c r="S45" s="33">
        <v>0</v>
      </c>
      <c r="T45" s="33">
        <v>0</v>
      </c>
      <c r="U45" s="33">
        <f t="shared" si="34"/>
        <v>2473.9621803999999</v>
      </c>
    </row>
    <row r="46" spans="1:24">
      <c r="A46" s="154" t="s">
        <v>216</v>
      </c>
      <c r="B46" s="11" t="s">
        <v>54</v>
      </c>
      <c r="C46" s="30" t="s">
        <v>30</v>
      </c>
      <c r="D46" s="11" t="s">
        <v>51</v>
      </c>
      <c r="E46" s="37">
        <v>2630.35</v>
      </c>
      <c r="F46" s="38">
        <f>SUM(E46*2/1000)</f>
        <v>5.2606999999999999</v>
      </c>
      <c r="G46" s="55">
        <v>648.64</v>
      </c>
      <c r="H46" s="39">
        <f t="shared" si="33"/>
        <v>3.4123004479999999</v>
      </c>
      <c r="I46" s="33">
        <v>0</v>
      </c>
      <c r="J46" s="33">
        <v>0</v>
      </c>
      <c r="K46" s="33">
        <v>0</v>
      </c>
      <c r="L46" s="33">
        <v>0</v>
      </c>
      <c r="M46" s="33">
        <f t="shared" si="35"/>
        <v>1706.150224</v>
      </c>
      <c r="N46" s="33">
        <v>0</v>
      </c>
      <c r="O46" s="33">
        <v>0</v>
      </c>
      <c r="P46" s="33">
        <v>0</v>
      </c>
      <c r="Q46" s="33">
        <f t="shared" si="36"/>
        <v>1706.150224</v>
      </c>
      <c r="R46" s="33">
        <v>0</v>
      </c>
      <c r="S46" s="33">
        <v>0</v>
      </c>
      <c r="T46" s="33">
        <v>0</v>
      </c>
      <c r="U46" s="33">
        <f t="shared" si="34"/>
        <v>3412.300448</v>
      </c>
    </row>
    <row r="47" spans="1:24">
      <c r="A47" s="154" t="s">
        <v>217</v>
      </c>
      <c r="B47" s="11" t="s">
        <v>106</v>
      </c>
      <c r="C47" s="30" t="s">
        <v>107</v>
      </c>
      <c r="D47" s="11" t="s">
        <v>51</v>
      </c>
      <c r="E47" s="37">
        <v>131.47</v>
      </c>
      <c r="F47" s="38">
        <f>SUM(E47*2/100)</f>
        <v>2.6294</v>
      </c>
      <c r="G47" s="55">
        <v>77.84</v>
      </c>
      <c r="H47" s="39">
        <f t="shared" si="33"/>
        <v>0.20467249599999998</v>
      </c>
      <c r="I47" s="33">
        <v>0</v>
      </c>
      <c r="J47" s="33">
        <v>0</v>
      </c>
      <c r="K47" s="33">
        <v>0</v>
      </c>
      <c r="L47" s="33">
        <v>0</v>
      </c>
      <c r="M47" s="33">
        <f t="shared" si="35"/>
        <v>102.336248</v>
      </c>
      <c r="N47" s="33">
        <v>0</v>
      </c>
      <c r="O47" s="33">
        <v>0</v>
      </c>
      <c r="P47" s="33">
        <v>0</v>
      </c>
      <c r="Q47" s="33">
        <f t="shared" si="36"/>
        <v>102.336248</v>
      </c>
      <c r="R47" s="33">
        <v>0</v>
      </c>
      <c r="S47" s="33">
        <v>0</v>
      </c>
      <c r="T47" s="33">
        <v>0</v>
      </c>
      <c r="U47" s="33">
        <f t="shared" si="34"/>
        <v>204.672496</v>
      </c>
    </row>
    <row r="48" spans="1:24" ht="25.5">
      <c r="A48" s="154" t="s">
        <v>218</v>
      </c>
      <c r="B48" s="11" t="s">
        <v>55</v>
      </c>
      <c r="C48" s="30" t="s">
        <v>30</v>
      </c>
      <c r="D48" s="11" t="s">
        <v>56</v>
      </c>
      <c r="E48" s="37">
        <v>2872.4</v>
      </c>
      <c r="F48" s="38">
        <f>SUM(E48*5/1000)</f>
        <v>14.362</v>
      </c>
      <c r="G48" s="55">
        <v>1297.28</v>
      </c>
      <c r="H48" s="39">
        <f t="shared" si="33"/>
        <v>18.631535359999997</v>
      </c>
      <c r="I48" s="33">
        <f>F48/5*G48</f>
        <v>3726.3070719999996</v>
      </c>
      <c r="J48" s="33">
        <f>F48/5*G48</f>
        <v>3726.3070719999996</v>
      </c>
      <c r="K48" s="33">
        <v>0</v>
      </c>
      <c r="L48" s="33">
        <v>0</v>
      </c>
      <c r="M48" s="33">
        <f>F48/5*G48</f>
        <v>3726.3070719999996</v>
      </c>
      <c r="N48" s="33">
        <v>0</v>
      </c>
      <c r="O48" s="33">
        <v>0</v>
      </c>
      <c r="P48" s="33">
        <v>0</v>
      </c>
      <c r="Q48" s="33">
        <f>F48/5*G48</f>
        <v>3726.3070719999996</v>
      </c>
      <c r="R48" s="33">
        <v>0</v>
      </c>
      <c r="S48" s="33">
        <v>0</v>
      </c>
      <c r="T48" s="33">
        <f>F48/5*G48</f>
        <v>3726.3070719999996</v>
      </c>
      <c r="U48" s="33">
        <f t="shared" si="34"/>
        <v>18631.535359999998</v>
      </c>
    </row>
    <row r="49" spans="1:24" ht="38.25" customHeight="1">
      <c r="A49" s="154" t="s">
        <v>219</v>
      </c>
      <c r="B49" s="11" t="s">
        <v>57</v>
      </c>
      <c r="C49" s="30" t="s">
        <v>30</v>
      </c>
      <c r="D49" s="11" t="s">
        <v>51</v>
      </c>
      <c r="E49" s="37">
        <v>2872.4</v>
      </c>
      <c r="F49" s="38">
        <f>SUM(E49*2/1000)</f>
        <v>5.7448000000000006</v>
      </c>
      <c r="G49" s="55">
        <v>1297.28</v>
      </c>
      <c r="H49" s="39">
        <f t="shared" si="33"/>
        <v>7.4526141440000009</v>
      </c>
      <c r="I49" s="33">
        <v>0</v>
      </c>
      <c r="J49" s="33">
        <v>0</v>
      </c>
      <c r="K49" s="33">
        <v>0</v>
      </c>
      <c r="L49" s="33">
        <v>0</v>
      </c>
      <c r="M49" s="33">
        <f>F49/2*G49</f>
        <v>3726.3070720000005</v>
      </c>
      <c r="N49" s="33">
        <v>0</v>
      </c>
      <c r="O49" s="33">
        <v>0</v>
      </c>
      <c r="P49" s="33">
        <v>0</v>
      </c>
      <c r="Q49" s="33">
        <v>0</v>
      </c>
      <c r="R49" s="33">
        <f t="shared" ref="R49:R51" si="37">F49/2*G49</f>
        <v>3726.3070720000005</v>
      </c>
      <c r="S49" s="33">
        <v>0</v>
      </c>
      <c r="T49" s="33">
        <v>0</v>
      </c>
      <c r="U49" s="33">
        <f t="shared" si="34"/>
        <v>7452.614144000001</v>
      </c>
    </row>
    <row r="50" spans="1:24" ht="25.5" customHeight="1">
      <c r="A50" s="154" t="s">
        <v>220</v>
      </c>
      <c r="B50" s="11" t="s">
        <v>58</v>
      </c>
      <c r="C50" s="30" t="s">
        <v>59</v>
      </c>
      <c r="D50" s="11" t="s">
        <v>51</v>
      </c>
      <c r="E50" s="37">
        <v>40</v>
      </c>
      <c r="F50" s="38">
        <f>SUM(E50*2/100)</f>
        <v>0.8</v>
      </c>
      <c r="G50" s="55">
        <v>2918.89</v>
      </c>
      <c r="H50" s="39">
        <f t="shared" si="33"/>
        <v>2.3351120000000001</v>
      </c>
      <c r="I50" s="33">
        <v>0</v>
      </c>
      <c r="J50" s="33">
        <v>0</v>
      </c>
      <c r="K50" s="33">
        <v>0</v>
      </c>
      <c r="L50" s="33">
        <v>0</v>
      </c>
      <c r="M50" s="33">
        <f>F50/2*G50</f>
        <v>1167.556</v>
      </c>
      <c r="N50" s="33">
        <v>0</v>
      </c>
      <c r="O50" s="33">
        <v>0</v>
      </c>
      <c r="P50" s="33">
        <v>0</v>
      </c>
      <c r="Q50" s="33">
        <v>0</v>
      </c>
      <c r="R50" s="33">
        <f t="shared" si="37"/>
        <v>1167.556</v>
      </c>
      <c r="S50" s="33">
        <v>0</v>
      </c>
      <c r="T50" s="33">
        <v>0</v>
      </c>
      <c r="U50" s="33">
        <f t="shared" si="34"/>
        <v>2335.1120000000001</v>
      </c>
    </row>
    <row r="51" spans="1:24">
      <c r="A51" s="154" t="s">
        <v>221</v>
      </c>
      <c r="B51" s="11" t="s">
        <v>60</v>
      </c>
      <c r="C51" s="30" t="s">
        <v>61</v>
      </c>
      <c r="D51" s="11" t="s">
        <v>51</v>
      </c>
      <c r="E51" s="37">
        <v>1</v>
      </c>
      <c r="F51" s="38">
        <v>0.02</v>
      </c>
      <c r="G51" s="55">
        <v>6042.12</v>
      </c>
      <c r="H51" s="39">
        <f t="shared" si="33"/>
        <v>0.1208424</v>
      </c>
      <c r="I51" s="33">
        <v>0</v>
      </c>
      <c r="J51" s="33">
        <v>0</v>
      </c>
      <c r="K51" s="33">
        <v>0</v>
      </c>
      <c r="L51" s="33">
        <v>0</v>
      </c>
      <c r="M51" s="33">
        <f>F51/2*G51</f>
        <v>60.421199999999999</v>
      </c>
      <c r="N51" s="33">
        <v>0</v>
      </c>
      <c r="O51" s="33">
        <v>0</v>
      </c>
      <c r="P51" s="33">
        <v>0</v>
      </c>
      <c r="Q51" s="33">
        <v>0</v>
      </c>
      <c r="R51" s="33">
        <f t="shared" si="37"/>
        <v>60.421199999999999</v>
      </c>
      <c r="S51" s="33">
        <v>0</v>
      </c>
      <c r="T51" s="33">
        <v>0</v>
      </c>
      <c r="U51" s="33">
        <f t="shared" si="34"/>
        <v>120.8424</v>
      </c>
    </row>
    <row r="52" spans="1:24" ht="13.5" customHeight="1">
      <c r="A52" s="154" t="s">
        <v>63</v>
      </c>
      <c r="B52" s="11" t="s">
        <v>64</v>
      </c>
      <c r="C52" s="30" t="s">
        <v>35</v>
      </c>
      <c r="D52" s="11" t="s">
        <v>99</v>
      </c>
      <c r="E52" s="37">
        <v>160</v>
      </c>
      <c r="F52" s="38">
        <f>SUM(E52)*3</f>
        <v>480</v>
      </c>
      <c r="G52" s="56">
        <v>70.209999999999994</v>
      </c>
      <c r="H52" s="39">
        <f t="shared" si="33"/>
        <v>33.700799999999994</v>
      </c>
      <c r="I52" s="33">
        <f>E52*G52</f>
        <v>11233.599999999999</v>
      </c>
      <c r="J52" s="33">
        <v>0</v>
      </c>
      <c r="K52" s="33">
        <v>0</v>
      </c>
      <c r="L52" s="33">
        <f>E52*G52</f>
        <v>11233.599999999999</v>
      </c>
      <c r="M52" s="33">
        <v>0</v>
      </c>
      <c r="N52" s="33">
        <v>0</v>
      </c>
      <c r="O52" s="33">
        <v>0</v>
      </c>
      <c r="P52" s="33">
        <f>E52*G52</f>
        <v>11233.599999999999</v>
      </c>
      <c r="Q52" s="33">
        <v>0</v>
      </c>
      <c r="R52" s="33">
        <v>0</v>
      </c>
      <c r="S52" s="33">
        <v>0</v>
      </c>
      <c r="T52" s="33">
        <v>0</v>
      </c>
      <c r="U52" s="33">
        <f t="shared" si="34"/>
        <v>33700.799999999996</v>
      </c>
    </row>
    <row r="53" spans="1:24" s="21" customFormat="1">
      <c r="A53" s="157"/>
      <c r="B53" s="20" t="s">
        <v>27</v>
      </c>
      <c r="C53" s="57"/>
      <c r="D53" s="20"/>
      <c r="E53" s="58"/>
      <c r="F53" s="59"/>
      <c r="G53" s="59"/>
      <c r="H53" s="51">
        <f>SUM(H43:H52)</f>
        <v>71.569784706399986</v>
      </c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>
        <f>SUM(U43:U52)</f>
        <v>71569.784706399994</v>
      </c>
      <c r="V53" s="142"/>
      <c r="W53" s="142"/>
      <c r="X53" s="142"/>
    </row>
    <row r="54" spans="1:24">
      <c r="A54" s="154"/>
      <c r="B54" s="12" t="s">
        <v>65</v>
      </c>
      <c r="C54" s="30"/>
      <c r="D54" s="11"/>
      <c r="E54" s="37"/>
      <c r="F54" s="38"/>
      <c r="G54" s="38"/>
      <c r="H54" s="39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</row>
    <row r="55" spans="1:24" ht="38.25">
      <c r="A55" s="162" t="s">
        <v>223</v>
      </c>
      <c r="B55" s="11" t="s">
        <v>171</v>
      </c>
      <c r="C55" s="30" t="s">
        <v>13</v>
      </c>
      <c r="D55" s="11" t="s">
        <v>108</v>
      </c>
      <c r="E55" s="37">
        <v>239.59</v>
      </c>
      <c r="F55" s="38">
        <f>E55*6/100</f>
        <v>14.375399999999999</v>
      </c>
      <c r="G55" s="61">
        <v>1654.04</v>
      </c>
      <c r="H55" s="39">
        <f>F55*G55/1000</f>
        <v>23.777486615999997</v>
      </c>
      <c r="I55" s="33">
        <f>F55/6*G55</f>
        <v>3962.9144359999996</v>
      </c>
      <c r="J55" s="33">
        <f>F55/6*G55</f>
        <v>3962.9144359999996</v>
      </c>
      <c r="K55" s="33">
        <f>F55/6*G55</f>
        <v>3962.9144359999996</v>
      </c>
      <c r="L55" s="33">
        <f>F55/6*G55</f>
        <v>3962.9144359999996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f>F55/6*G55</f>
        <v>3962.9144359999996</v>
      </c>
      <c r="T55" s="33">
        <f>F55/6*G55</f>
        <v>3962.9144359999996</v>
      </c>
      <c r="U55" s="33">
        <f>SUM(I55:T55)</f>
        <v>23777.486615999998</v>
      </c>
    </row>
    <row r="56" spans="1:24" ht="12.75" customHeight="1">
      <c r="A56" s="158"/>
      <c r="B56" s="25" t="s">
        <v>66</v>
      </c>
      <c r="C56" s="28"/>
      <c r="D56" s="24"/>
      <c r="E56" s="62"/>
      <c r="F56" s="63"/>
      <c r="G56" s="64"/>
      <c r="H56" s="65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</row>
    <row r="57" spans="1:24" ht="12.75" customHeight="1">
      <c r="A57" s="158" t="s">
        <v>224</v>
      </c>
      <c r="B57" s="24" t="s">
        <v>109</v>
      </c>
      <c r="C57" s="28" t="s">
        <v>24</v>
      </c>
      <c r="D57" s="24" t="s">
        <v>33</v>
      </c>
      <c r="E57" s="62">
        <v>2686</v>
      </c>
      <c r="F57" s="63">
        <f>E57/100</f>
        <v>26.86</v>
      </c>
      <c r="G57" s="66">
        <v>848.37</v>
      </c>
      <c r="H57" s="65">
        <f>G57*F57/1000</f>
        <v>22.787218199999998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f>SUM(I57:T57)</f>
        <v>0</v>
      </c>
    </row>
    <row r="58" spans="1:24" ht="12.75" customHeight="1">
      <c r="A58" s="158"/>
      <c r="B58" s="24" t="s">
        <v>117</v>
      </c>
      <c r="C58" s="28" t="s">
        <v>67</v>
      </c>
      <c r="D58" s="24" t="s">
        <v>98</v>
      </c>
      <c r="E58" s="62">
        <v>343</v>
      </c>
      <c r="F58" s="63">
        <v>4116</v>
      </c>
      <c r="G58" s="67">
        <v>2.6</v>
      </c>
      <c r="H58" s="65">
        <f>F58*G58</f>
        <v>10701.6</v>
      </c>
      <c r="I58" s="33">
        <f>F58/12*G58</f>
        <v>891.80000000000007</v>
      </c>
      <c r="J58" s="33">
        <f>F58/12*G58</f>
        <v>891.80000000000007</v>
      </c>
      <c r="K58" s="33">
        <f>F58/12*G58</f>
        <v>891.80000000000007</v>
      </c>
      <c r="L58" s="33">
        <f>F58/12*G58</f>
        <v>891.80000000000007</v>
      </c>
      <c r="M58" s="33">
        <f>F58/12*G58</f>
        <v>891.80000000000007</v>
      </c>
      <c r="N58" s="33">
        <f>F58/12*G58</f>
        <v>891.80000000000007</v>
      </c>
      <c r="O58" s="33">
        <f>F58/12*G58</f>
        <v>891.80000000000007</v>
      </c>
      <c r="P58" s="33">
        <f>F58/12*G58</f>
        <v>891.80000000000007</v>
      </c>
      <c r="Q58" s="33">
        <f>F58/12*G58</f>
        <v>891.80000000000007</v>
      </c>
      <c r="R58" s="33">
        <f>F58/12*G58</f>
        <v>891.80000000000007</v>
      </c>
      <c r="S58" s="33">
        <f>F58/12*G58</f>
        <v>891.80000000000007</v>
      </c>
      <c r="T58" s="33">
        <f>F58/12*G58</f>
        <v>891.80000000000007</v>
      </c>
      <c r="U58" s="33">
        <f>SUM(I58:T58)</f>
        <v>10701.599999999999</v>
      </c>
    </row>
    <row r="59" spans="1:24" ht="12.75" customHeight="1">
      <c r="A59" s="158"/>
      <c r="B59" s="25" t="s">
        <v>118</v>
      </c>
      <c r="C59" s="28"/>
      <c r="D59" s="24"/>
      <c r="E59" s="62"/>
      <c r="F59" s="65"/>
      <c r="G59" s="55"/>
      <c r="H59" s="68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</row>
    <row r="60" spans="1:24" ht="12.75" customHeight="1">
      <c r="A60" s="158" t="s">
        <v>225</v>
      </c>
      <c r="B60" s="24" t="s">
        <v>119</v>
      </c>
      <c r="C60" s="28" t="s">
        <v>35</v>
      </c>
      <c r="D60" s="24" t="s">
        <v>40</v>
      </c>
      <c r="E60" s="62">
        <v>3</v>
      </c>
      <c r="F60" s="63">
        <v>3</v>
      </c>
      <c r="G60" s="67">
        <v>254.16</v>
      </c>
      <c r="H60" s="65">
        <v>0.76200000000000001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f>SUM(I60:T60)</f>
        <v>0</v>
      </c>
    </row>
    <row r="61" spans="1:24">
      <c r="A61" s="158"/>
      <c r="B61" s="15" t="s">
        <v>69</v>
      </c>
      <c r="C61" s="28"/>
      <c r="D61" s="24"/>
      <c r="E61" s="62"/>
      <c r="F61" s="63"/>
      <c r="G61" s="63"/>
      <c r="H61" s="65" t="s">
        <v>44</v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24" ht="12.75" customHeight="1">
      <c r="A62" s="69" t="s">
        <v>226</v>
      </c>
      <c r="B62" s="16" t="s">
        <v>70</v>
      </c>
      <c r="C62" s="69" t="s">
        <v>62</v>
      </c>
      <c r="D62" s="9" t="s">
        <v>40</v>
      </c>
      <c r="E62" s="41">
        <v>15</v>
      </c>
      <c r="F62" s="38">
        <v>15</v>
      </c>
      <c r="G62" s="55">
        <v>237.74</v>
      </c>
      <c r="H62" s="70">
        <f t="shared" ref="H62:H75" si="38">SUM(F62*G62/1000)</f>
        <v>3.5661000000000005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f>G62*3</f>
        <v>713.22</v>
      </c>
      <c r="P62" s="33">
        <v>0</v>
      </c>
      <c r="Q62" s="33">
        <v>0</v>
      </c>
      <c r="R62" s="33">
        <v>0</v>
      </c>
      <c r="S62" s="33">
        <v>0</v>
      </c>
      <c r="T62" s="33">
        <f>G62</f>
        <v>237.74</v>
      </c>
      <c r="U62" s="33">
        <f t="shared" ref="U62:U69" si="39">SUM(I62:T62)</f>
        <v>950.96</v>
      </c>
    </row>
    <row r="63" spans="1:24" ht="12.75" customHeight="1">
      <c r="A63" s="69" t="s">
        <v>227</v>
      </c>
      <c r="B63" s="16" t="s">
        <v>71</v>
      </c>
      <c r="C63" s="69" t="s">
        <v>62</v>
      </c>
      <c r="D63" s="9" t="s">
        <v>40</v>
      </c>
      <c r="E63" s="41">
        <v>5</v>
      </c>
      <c r="F63" s="38">
        <v>5</v>
      </c>
      <c r="G63" s="55">
        <v>81.510000000000005</v>
      </c>
      <c r="H63" s="70">
        <f t="shared" si="38"/>
        <v>0.40755000000000002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f t="shared" si="39"/>
        <v>0</v>
      </c>
    </row>
    <row r="64" spans="1:24" s="2" customFormat="1">
      <c r="A64" s="71" t="s">
        <v>228</v>
      </c>
      <c r="B64" s="16" t="s">
        <v>72</v>
      </c>
      <c r="C64" s="71" t="s">
        <v>73</v>
      </c>
      <c r="D64" s="9" t="s">
        <v>33</v>
      </c>
      <c r="E64" s="37">
        <v>24123</v>
      </c>
      <c r="F64" s="56">
        <f>SUM(E64/100)</f>
        <v>241.23</v>
      </c>
      <c r="G64" s="55">
        <v>226.79</v>
      </c>
      <c r="H64" s="70">
        <f t="shared" si="38"/>
        <v>54.708551699999994</v>
      </c>
      <c r="I64" s="54">
        <v>0</v>
      </c>
      <c r="J64" s="54">
        <v>0</v>
      </c>
      <c r="K64" s="33">
        <v>0</v>
      </c>
      <c r="L64" s="33">
        <v>0</v>
      </c>
      <c r="M64" s="33">
        <f>F64*G64</f>
        <v>54708.551699999996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f t="shared" si="39"/>
        <v>54708.551699999996</v>
      </c>
      <c r="V64" s="142"/>
      <c r="W64" s="142"/>
      <c r="X64" s="142"/>
    </row>
    <row r="65" spans="1:24" ht="12.75" customHeight="1">
      <c r="A65" s="69" t="s">
        <v>229</v>
      </c>
      <c r="B65" s="16" t="s">
        <v>74</v>
      </c>
      <c r="C65" s="69" t="s">
        <v>75</v>
      </c>
      <c r="D65" s="9"/>
      <c r="E65" s="37">
        <v>24123</v>
      </c>
      <c r="F65" s="55">
        <f>SUM(E65/1000)</f>
        <v>24.123000000000001</v>
      </c>
      <c r="G65" s="55">
        <v>176.61</v>
      </c>
      <c r="H65" s="70">
        <f t="shared" si="38"/>
        <v>4.2603630300000006</v>
      </c>
      <c r="I65" s="33">
        <v>0</v>
      </c>
      <c r="J65" s="33">
        <v>0</v>
      </c>
      <c r="K65" s="33">
        <v>0</v>
      </c>
      <c r="L65" s="33">
        <v>0</v>
      </c>
      <c r="M65" s="33">
        <f t="shared" ref="M65:M68" si="40">F65*G65</f>
        <v>4260.3630300000004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f t="shared" si="39"/>
        <v>4260.3630300000004</v>
      </c>
    </row>
    <row r="66" spans="1:24">
      <c r="A66" s="69" t="s">
        <v>230</v>
      </c>
      <c r="B66" s="16" t="s">
        <v>76</v>
      </c>
      <c r="C66" s="69" t="s">
        <v>77</v>
      </c>
      <c r="D66" s="9" t="s">
        <v>33</v>
      </c>
      <c r="E66" s="37">
        <v>2730</v>
      </c>
      <c r="F66" s="55">
        <f>SUM(E66/100)</f>
        <v>27.3</v>
      </c>
      <c r="G66" s="55">
        <v>2217.7800000000002</v>
      </c>
      <c r="H66" s="70">
        <f t="shared" si="38"/>
        <v>60.545394000000009</v>
      </c>
      <c r="I66" s="33">
        <v>0</v>
      </c>
      <c r="J66" s="33">
        <v>0</v>
      </c>
      <c r="K66" s="33">
        <v>0</v>
      </c>
      <c r="L66" s="33">
        <v>0</v>
      </c>
      <c r="M66" s="33">
        <f>F66*G66</f>
        <v>60545.394000000008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f t="shared" si="39"/>
        <v>60545.394000000008</v>
      </c>
    </row>
    <row r="67" spans="1:24">
      <c r="A67" s="69"/>
      <c r="B67" s="17" t="s">
        <v>100</v>
      </c>
      <c r="C67" s="69" t="s">
        <v>38</v>
      </c>
      <c r="D67" s="9"/>
      <c r="E67" s="37">
        <v>23</v>
      </c>
      <c r="F67" s="55">
        <f>SUM(E67)</f>
        <v>23</v>
      </c>
      <c r="G67" s="55">
        <v>42.67</v>
      </c>
      <c r="H67" s="70">
        <f t="shared" si="38"/>
        <v>0.98141000000000012</v>
      </c>
      <c r="I67" s="33">
        <v>0</v>
      </c>
      <c r="J67" s="33">
        <v>0</v>
      </c>
      <c r="K67" s="33">
        <v>0</v>
      </c>
      <c r="L67" s="33">
        <v>0</v>
      </c>
      <c r="M67" s="33">
        <f t="shared" si="40"/>
        <v>981.41000000000008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f t="shared" si="39"/>
        <v>981.41000000000008</v>
      </c>
    </row>
    <row r="68" spans="1:24" ht="12.75" customHeight="1">
      <c r="A68" s="163"/>
      <c r="B68" s="17" t="s">
        <v>101</v>
      </c>
      <c r="C68" s="69" t="s">
        <v>38</v>
      </c>
      <c r="D68" s="9"/>
      <c r="E68" s="37">
        <v>23</v>
      </c>
      <c r="F68" s="55">
        <f>SUM(E68)</f>
        <v>23</v>
      </c>
      <c r="G68" s="55">
        <v>39.81</v>
      </c>
      <c r="H68" s="70">
        <f t="shared" si="38"/>
        <v>0.91563000000000005</v>
      </c>
      <c r="I68" s="33">
        <v>0</v>
      </c>
      <c r="J68" s="33">
        <v>0</v>
      </c>
      <c r="K68" s="33">
        <v>0</v>
      </c>
      <c r="L68" s="33">
        <v>0</v>
      </c>
      <c r="M68" s="33">
        <f t="shared" si="40"/>
        <v>915.63000000000011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f t="shared" si="39"/>
        <v>915.63000000000011</v>
      </c>
    </row>
    <row r="69" spans="1:24">
      <c r="A69" s="69" t="s">
        <v>231</v>
      </c>
      <c r="B69" s="9" t="s">
        <v>78</v>
      </c>
      <c r="C69" s="69" t="s">
        <v>79</v>
      </c>
      <c r="D69" s="9" t="s">
        <v>33</v>
      </c>
      <c r="E69" s="41">
        <v>10</v>
      </c>
      <c r="F69" s="38">
        <f>SUM(E69)</f>
        <v>10</v>
      </c>
      <c r="G69" s="55">
        <v>53.32</v>
      </c>
      <c r="H69" s="70">
        <f t="shared" si="38"/>
        <v>0.53320000000000001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f>G69*F69</f>
        <v>533.20000000000005</v>
      </c>
      <c r="R69" s="33">
        <v>0</v>
      </c>
      <c r="S69" s="33">
        <v>0</v>
      </c>
      <c r="T69" s="33">
        <v>0</v>
      </c>
      <c r="U69" s="33">
        <f t="shared" si="39"/>
        <v>533.20000000000005</v>
      </c>
    </row>
    <row r="70" spans="1:24">
      <c r="A70" s="69"/>
      <c r="B70" s="18" t="s">
        <v>80</v>
      </c>
      <c r="C70" s="69"/>
      <c r="D70" s="9"/>
      <c r="E70" s="41"/>
      <c r="F70" s="55"/>
      <c r="G70" s="55"/>
      <c r="H70" s="70" t="s">
        <v>44</v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1:24">
      <c r="A71" s="69" t="s">
        <v>232</v>
      </c>
      <c r="B71" s="9" t="s">
        <v>111</v>
      </c>
      <c r="C71" s="69" t="s">
        <v>110</v>
      </c>
      <c r="D71" s="9"/>
      <c r="E71" s="41">
        <v>2</v>
      </c>
      <c r="F71" s="64">
        <v>0.2</v>
      </c>
      <c r="G71" s="55">
        <v>536.23</v>
      </c>
      <c r="H71" s="70">
        <v>0.251</v>
      </c>
      <c r="I71" s="33">
        <v>0</v>
      </c>
      <c r="J71" s="33">
        <f>G71*1.5</f>
        <v>804.34500000000003</v>
      </c>
      <c r="K71" s="33">
        <v>0</v>
      </c>
      <c r="L71" s="33">
        <v>0</v>
      </c>
      <c r="M71" s="33">
        <v>0</v>
      </c>
      <c r="N71" s="33">
        <f>G71*2.9</f>
        <v>1555.067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f>SUM(I71:T71)</f>
        <v>2359.4120000000003</v>
      </c>
    </row>
    <row r="72" spans="1:24">
      <c r="A72" s="69" t="s">
        <v>233</v>
      </c>
      <c r="B72" s="9" t="s">
        <v>81</v>
      </c>
      <c r="C72" s="69" t="s">
        <v>35</v>
      </c>
      <c r="D72" s="9"/>
      <c r="E72" s="41">
        <v>1</v>
      </c>
      <c r="F72" s="38">
        <f>SUM(E72)</f>
        <v>1</v>
      </c>
      <c r="G72" s="55">
        <v>383.25</v>
      </c>
      <c r="H72" s="70">
        <f t="shared" si="38"/>
        <v>0.38324999999999998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f>SUM(I72:T72)</f>
        <v>0</v>
      </c>
    </row>
    <row r="73" spans="1:24">
      <c r="A73" s="69" t="s">
        <v>234</v>
      </c>
      <c r="B73" s="9" t="s">
        <v>102</v>
      </c>
      <c r="C73" s="69" t="s">
        <v>35</v>
      </c>
      <c r="D73" s="9"/>
      <c r="E73" s="41">
        <v>2</v>
      </c>
      <c r="F73" s="55">
        <v>2</v>
      </c>
      <c r="G73" s="55">
        <v>911.85</v>
      </c>
      <c r="H73" s="70">
        <f>F73*G73/1000</f>
        <v>1.8237000000000001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f>SUM(I73:T73)</f>
        <v>0</v>
      </c>
    </row>
    <row r="74" spans="1:24">
      <c r="A74" s="69"/>
      <c r="B74" s="72" t="s">
        <v>82</v>
      </c>
      <c r="C74" s="69"/>
      <c r="D74" s="9"/>
      <c r="E74" s="41"/>
      <c r="F74" s="55"/>
      <c r="G74" s="55" t="s">
        <v>44</v>
      </c>
      <c r="H74" s="70" t="s">
        <v>44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1:24" s="2" customFormat="1">
      <c r="A75" s="71" t="s">
        <v>83</v>
      </c>
      <c r="B75" s="73" t="s">
        <v>84</v>
      </c>
      <c r="C75" s="71" t="s">
        <v>77</v>
      </c>
      <c r="D75" s="16"/>
      <c r="E75" s="74"/>
      <c r="F75" s="56">
        <v>1.35</v>
      </c>
      <c r="G75" s="56">
        <v>2949.85</v>
      </c>
      <c r="H75" s="70">
        <f t="shared" si="38"/>
        <v>3.9822975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f>F75/32*G75</f>
        <v>124.446796875</v>
      </c>
      <c r="U75" s="33">
        <f>SUM(I75:T75)</f>
        <v>124.446796875</v>
      </c>
      <c r="V75" s="142"/>
      <c r="W75" s="142"/>
      <c r="X75" s="142"/>
    </row>
    <row r="76" spans="1:24" s="21" customFormat="1">
      <c r="A76" s="75"/>
      <c r="B76" s="20" t="s">
        <v>27</v>
      </c>
      <c r="C76" s="76"/>
      <c r="D76" s="77"/>
      <c r="E76" s="78"/>
      <c r="F76" s="60"/>
      <c r="G76" s="60"/>
      <c r="H76" s="79">
        <f>SUM(H55:H75)</f>
        <v>10881.285151046004</v>
      </c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>
        <f>SUM(U55:U75)</f>
        <v>159858.45414287504</v>
      </c>
      <c r="V76" s="142"/>
      <c r="W76" s="142"/>
      <c r="X76" s="142"/>
    </row>
    <row r="77" spans="1:24">
      <c r="A77" s="159" t="s">
        <v>133</v>
      </c>
      <c r="B77" s="11" t="s">
        <v>134</v>
      </c>
      <c r="C77" s="81"/>
      <c r="D77" s="82"/>
      <c r="E77" s="126"/>
      <c r="F77" s="83">
        <v>1</v>
      </c>
      <c r="G77" s="84">
        <v>19342.2</v>
      </c>
      <c r="H77" s="70">
        <f>G77*F77/1000</f>
        <v>19.342200000000002</v>
      </c>
      <c r="I77" s="33">
        <v>0</v>
      </c>
      <c r="J77" s="33">
        <v>0</v>
      </c>
      <c r="K77" s="33">
        <v>0</v>
      </c>
      <c r="L77" s="33">
        <v>0</v>
      </c>
      <c r="M77" s="122">
        <v>0</v>
      </c>
      <c r="N77" s="122">
        <v>0</v>
      </c>
      <c r="O77" s="33">
        <f>G77</f>
        <v>19342.2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3">
        <f>SUM(I77:T77)</f>
        <v>19342.2</v>
      </c>
    </row>
    <row r="78" spans="1:24" ht="12.75" customHeight="1">
      <c r="A78" s="160"/>
      <c r="B78" s="80" t="s">
        <v>85</v>
      </c>
      <c r="C78" s="69" t="s">
        <v>86</v>
      </c>
      <c r="D78" s="85"/>
      <c r="E78" s="55">
        <v>4591.2</v>
      </c>
      <c r="F78" s="55">
        <f>SUM(E78*12)</f>
        <v>55094.399999999994</v>
      </c>
      <c r="G78" s="86">
        <v>2.54</v>
      </c>
      <c r="H78" s="70">
        <f>SUM(F78*G78/1000)</f>
        <v>139.93977599999999</v>
      </c>
      <c r="I78" s="33">
        <f>F78/12*G78</f>
        <v>11661.647999999999</v>
      </c>
      <c r="J78" s="33">
        <f>F78/12*G78</f>
        <v>11661.647999999999</v>
      </c>
      <c r="K78" s="33">
        <f>F78/12*G78</f>
        <v>11661.647999999999</v>
      </c>
      <c r="L78" s="33">
        <f>F78/12*G78</f>
        <v>11661.647999999999</v>
      </c>
      <c r="M78" s="122">
        <f>F78/12*G78</f>
        <v>11661.647999999999</v>
      </c>
      <c r="N78" s="122">
        <f>F78/12*G78</f>
        <v>11661.647999999999</v>
      </c>
      <c r="O78" s="33">
        <f>F78/12*G78</f>
        <v>11661.647999999999</v>
      </c>
      <c r="P78" s="33">
        <f>F78/12*G78</f>
        <v>11661.647999999999</v>
      </c>
      <c r="Q78" s="33">
        <f>F78/12*G78</f>
        <v>11661.647999999999</v>
      </c>
      <c r="R78" s="33">
        <f>F78/12*G78</f>
        <v>11661.647999999999</v>
      </c>
      <c r="S78" s="33">
        <f>F78/12*G78</f>
        <v>11661.647999999999</v>
      </c>
      <c r="T78" s="33">
        <f>F78/12*G78</f>
        <v>11661.647999999999</v>
      </c>
      <c r="U78" s="33">
        <f>SUM(I78:T78)</f>
        <v>139939.77599999998</v>
      </c>
    </row>
    <row r="79" spans="1:24" s="19" customFormat="1">
      <c r="A79" s="87"/>
      <c r="B79" s="20" t="s">
        <v>27</v>
      </c>
      <c r="C79" s="88"/>
      <c r="D79" s="89"/>
      <c r="E79" s="90"/>
      <c r="F79" s="47"/>
      <c r="G79" s="91"/>
      <c r="H79" s="92">
        <f>SUM(H77:H78)</f>
        <v>159.28197599999999</v>
      </c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>
        <f>SUM(U77:U78)</f>
        <v>159281.976</v>
      </c>
      <c r="V79" s="142"/>
      <c r="W79" s="142"/>
      <c r="X79" s="142"/>
    </row>
    <row r="80" spans="1:24" ht="25.5" customHeight="1">
      <c r="A80" s="27"/>
      <c r="B80" s="9" t="s">
        <v>87</v>
      </c>
      <c r="C80" s="69"/>
      <c r="D80" s="26"/>
      <c r="E80" s="37">
        <f>E78</f>
        <v>4591.2</v>
      </c>
      <c r="F80" s="55">
        <f>E80*12</f>
        <v>55094.399999999994</v>
      </c>
      <c r="G80" s="55">
        <v>2.0499999999999998</v>
      </c>
      <c r="H80" s="70">
        <f>F80*G80/1000</f>
        <v>112.94351999999998</v>
      </c>
      <c r="I80" s="33">
        <f>F80/12*G80</f>
        <v>9411.9599999999991</v>
      </c>
      <c r="J80" s="33">
        <f>F80/12*G80</f>
        <v>9411.9599999999991</v>
      </c>
      <c r="K80" s="33">
        <f>F80/12*G80</f>
        <v>9411.9599999999991</v>
      </c>
      <c r="L80" s="33">
        <f>F80/12*G80</f>
        <v>9411.9599999999991</v>
      </c>
      <c r="M80" s="33">
        <f>F80/12*G80</f>
        <v>9411.9599999999991</v>
      </c>
      <c r="N80" s="33">
        <f>F80/12*G80</f>
        <v>9411.9599999999991</v>
      </c>
      <c r="O80" s="33">
        <f>F80/12*G80</f>
        <v>9411.9599999999991</v>
      </c>
      <c r="P80" s="33">
        <f>F80/12*G80</f>
        <v>9411.9599999999991</v>
      </c>
      <c r="Q80" s="33">
        <f>F80/12*G80</f>
        <v>9411.9599999999991</v>
      </c>
      <c r="R80" s="33">
        <f>F80/12*G80</f>
        <v>9411.9599999999991</v>
      </c>
      <c r="S80" s="33">
        <f>F80/12*G80</f>
        <v>9411.9599999999991</v>
      </c>
      <c r="T80" s="33">
        <f t="shared" ref="T80" si="41">F80/12*G80</f>
        <v>9411.9599999999991</v>
      </c>
      <c r="U80" s="33">
        <f>SUM(I80:T80)</f>
        <v>112943.51999999996</v>
      </c>
    </row>
    <row r="81" spans="1:24" s="19" customFormat="1">
      <c r="A81" s="87"/>
      <c r="B81" s="93" t="s">
        <v>88</v>
      </c>
      <c r="C81" s="94"/>
      <c r="D81" s="93"/>
      <c r="E81" s="47"/>
      <c r="F81" s="47"/>
      <c r="G81" s="47"/>
      <c r="H81" s="79">
        <f>H80</f>
        <v>112.94351999999998</v>
      </c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127">
        <f>U80</f>
        <v>112943.51999999996</v>
      </c>
      <c r="V81" s="142"/>
      <c r="W81" s="142"/>
      <c r="X81" s="142"/>
    </row>
    <row r="82" spans="1:24" s="19" customFormat="1">
      <c r="A82" s="87"/>
      <c r="B82" s="93" t="s">
        <v>89</v>
      </c>
      <c r="C82" s="95"/>
      <c r="D82" s="96"/>
      <c r="E82" s="97"/>
      <c r="F82" s="97"/>
      <c r="G82" s="97"/>
      <c r="H82" s="79">
        <f>SUM(H81+H79+H76+H53+H41+H32+H21)</f>
        <v>11909.727799024604</v>
      </c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127">
        <f>SUM(U81+U79+U76+U53+U41+U32+U21)</f>
        <v>1176381.4789214749</v>
      </c>
      <c r="V82" s="142"/>
      <c r="W82" s="142"/>
      <c r="X82" s="142"/>
    </row>
    <row r="83" spans="1:24">
      <c r="A83" s="27"/>
      <c r="B83" s="26" t="s">
        <v>90</v>
      </c>
      <c r="C83" s="69"/>
      <c r="D83" s="26"/>
      <c r="E83" s="55"/>
      <c r="F83" s="55"/>
      <c r="G83" s="55" t="s">
        <v>91</v>
      </c>
      <c r="H83" s="98">
        <f>E80</f>
        <v>4591.2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1:24" s="19" customFormat="1">
      <c r="A84" s="87"/>
      <c r="B84" s="96" t="s">
        <v>92</v>
      </c>
      <c r="C84" s="95"/>
      <c r="D84" s="96"/>
      <c r="E84" s="97"/>
      <c r="F84" s="97"/>
      <c r="G84" s="97"/>
      <c r="H84" s="99">
        <f>SUM(H82/H83/12*1000)</f>
        <v>216.16948000204383</v>
      </c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128"/>
      <c r="V84" s="142"/>
      <c r="W84" s="142"/>
      <c r="X84" s="142"/>
    </row>
    <row r="85" spans="1:24">
      <c r="A85" s="27"/>
      <c r="B85" s="26"/>
      <c r="C85" s="69"/>
      <c r="D85" s="26"/>
      <c r="E85" s="55"/>
      <c r="F85" s="55"/>
      <c r="G85" s="55"/>
      <c r="H85" s="100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129"/>
    </row>
    <row r="86" spans="1:24">
      <c r="A86" s="27"/>
      <c r="B86" s="72" t="s">
        <v>93</v>
      </c>
      <c r="C86" s="69"/>
      <c r="D86" s="26"/>
      <c r="E86" s="55"/>
      <c r="F86" s="55"/>
      <c r="G86" s="55"/>
      <c r="H86" s="55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</row>
    <row r="87" spans="1:24">
      <c r="A87" s="134" t="s">
        <v>235</v>
      </c>
      <c r="B87" s="133" t="s">
        <v>139</v>
      </c>
      <c r="C87" s="132" t="s">
        <v>62</v>
      </c>
      <c r="D87" s="135"/>
      <c r="E87" s="55"/>
      <c r="F87" s="55">
        <v>1</v>
      </c>
      <c r="G87" s="55">
        <v>131.76</v>
      </c>
      <c r="H87" s="55">
        <f t="shared" ref="H87" si="42">G87*F87/1000</f>
        <v>0.13175999999999999</v>
      </c>
      <c r="I87" s="33">
        <f>G87*1</f>
        <v>131.76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f>SUM(I87:T87)</f>
        <v>131.76</v>
      </c>
    </row>
    <row r="88" spans="1:24" ht="25.5">
      <c r="A88" s="136" t="s">
        <v>140</v>
      </c>
      <c r="B88" s="137" t="s">
        <v>141</v>
      </c>
      <c r="C88" s="138" t="s">
        <v>142</v>
      </c>
      <c r="D88" s="135"/>
      <c r="E88" s="55"/>
      <c r="F88" s="55">
        <v>2</v>
      </c>
      <c r="G88" s="55">
        <v>1835.8</v>
      </c>
      <c r="H88" s="70">
        <f>G88*F88/1000</f>
        <v>3.6715999999999998</v>
      </c>
      <c r="I88" s="33">
        <v>0</v>
      </c>
      <c r="J88" s="33">
        <f>G88*2</f>
        <v>3671.6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f t="shared" ref="U88" si="43">SUM(I88:T88)</f>
        <v>3671.6</v>
      </c>
    </row>
    <row r="89" spans="1:24" ht="25.5">
      <c r="A89" s="139" t="s">
        <v>236</v>
      </c>
      <c r="B89" s="140" t="s">
        <v>143</v>
      </c>
      <c r="C89" s="141" t="s">
        <v>144</v>
      </c>
      <c r="D89" s="135"/>
      <c r="E89" s="55"/>
      <c r="F89" s="55">
        <v>9</v>
      </c>
      <c r="G89" s="55">
        <v>559.62</v>
      </c>
      <c r="H89" s="70">
        <f t="shared" ref="H89:H103" si="44">G89*F89/1000</f>
        <v>5.0365799999999998</v>
      </c>
      <c r="I89" s="33">
        <v>0</v>
      </c>
      <c r="J89" s="33">
        <f>G89*6</f>
        <v>3357.7200000000003</v>
      </c>
      <c r="K89" s="33">
        <v>0</v>
      </c>
      <c r="L89" s="33">
        <v>0</v>
      </c>
      <c r="M89" s="33">
        <v>0</v>
      </c>
      <c r="N89" s="33">
        <f>G89*(1+2)</f>
        <v>1678.8600000000001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f t="shared" ref="U89" si="45">SUM(I89:T89)</f>
        <v>5036.58</v>
      </c>
    </row>
    <row r="90" spans="1:24" ht="25.5">
      <c r="A90" s="134" t="s">
        <v>237</v>
      </c>
      <c r="B90" s="133" t="s">
        <v>147</v>
      </c>
      <c r="C90" s="132" t="s">
        <v>144</v>
      </c>
      <c r="D90" s="135"/>
      <c r="E90" s="55"/>
      <c r="F90" s="55">
        <v>4</v>
      </c>
      <c r="G90" s="55">
        <v>762.37</v>
      </c>
      <c r="H90" s="70">
        <f>G90*F90/1000</f>
        <v>3.04948</v>
      </c>
      <c r="I90" s="33">
        <v>0</v>
      </c>
      <c r="J90" s="33">
        <f>G90*3</f>
        <v>2287.11</v>
      </c>
      <c r="K90" s="33">
        <v>0</v>
      </c>
      <c r="L90" s="33">
        <v>0</v>
      </c>
      <c r="M90" s="33">
        <v>0</v>
      </c>
      <c r="N90" s="33">
        <f>G90</f>
        <v>762.37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f t="shared" ref="U90" si="46">SUM(I90:T90)</f>
        <v>3049.48</v>
      </c>
    </row>
    <row r="91" spans="1:24" ht="25.5">
      <c r="A91" s="139" t="s">
        <v>145</v>
      </c>
      <c r="B91" s="140" t="s">
        <v>187</v>
      </c>
      <c r="C91" s="141" t="s">
        <v>146</v>
      </c>
      <c r="D91" s="135"/>
      <c r="E91" s="55"/>
      <c r="F91" s="55">
        <v>1.5</v>
      </c>
      <c r="G91" s="55">
        <v>2057</v>
      </c>
      <c r="H91" s="70">
        <f t="shared" si="44"/>
        <v>3.0855000000000001</v>
      </c>
      <c r="I91" s="33">
        <v>0</v>
      </c>
      <c r="J91" s="33">
        <f>G91*1.5</f>
        <v>3085.5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f t="shared" ref="U91" si="47">SUM(I91:T91)</f>
        <v>3085.5</v>
      </c>
    </row>
    <row r="92" spans="1:24" ht="25.5">
      <c r="A92" s="132" t="s">
        <v>238</v>
      </c>
      <c r="B92" s="133" t="s">
        <v>188</v>
      </c>
      <c r="C92" s="132" t="s">
        <v>146</v>
      </c>
      <c r="D92" s="135"/>
      <c r="E92" s="55"/>
      <c r="F92" s="55">
        <v>0.5</v>
      </c>
      <c r="G92" s="55">
        <v>994.03</v>
      </c>
      <c r="H92" s="70">
        <f t="shared" si="44"/>
        <v>0.49701499999999998</v>
      </c>
      <c r="I92" s="33">
        <v>0</v>
      </c>
      <c r="J92" s="33">
        <f>G92*0.5</f>
        <v>497.01499999999999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f t="shared" ref="U92" si="48">SUM(I92:T92)</f>
        <v>497.01499999999999</v>
      </c>
    </row>
    <row r="93" spans="1:24" ht="25.5">
      <c r="A93" s="132" t="s">
        <v>239</v>
      </c>
      <c r="B93" s="133" t="s">
        <v>189</v>
      </c>
      <c r="C93" s="132" t="s">
        <v>146</v>
      </c>
      <c r="D93" s="135"/>
      <c r="E93" s="55"/>
      <c r="F93" s="55">
        <v>6</v>
      </c>
      <c r="G93" s="55">
        <v>1264.3399999999999</v>
      </c>
      <c r="H93" s="70">
        <f t="shared" si="44"/>
        <v>7.5860399999999988</v>
      </c>
      <c r="I93" s="33">
        <v>0</v>
      </c>
      <c r="J93" s="33">
        <f>G93*6</f>
        <v>7586.0399999999991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f t="shared" ref="U93:U94" si="49">SUM(I93:T93)</f>
        <v>7586.0399999999991</v>
      </c>
    </row>
    <row r="94" spans="1:24" ht="25.5">
      <c r="A94" s="132" t="s">
        <v>240</v>
      </c>
      <c r="B94" s="133" t="s">
        <v>148</v>
      </c>
      <c r="C94" s="132" t="s">
        <v>149</v>
      </c>
      <c r="D94" s="135"/>
      <c r="E94" s="55"/>
      <c r="F94" s="55">
        <v>4</v>
      </c>
      <c r="G94" s="55">
        <v>195.95</v>
      </c>
      <c r="H94" s="70">
        <f t="shared" si="44"/>
        <v>0.78379999999999994</v>
      </c>
      <c r="I94" s="33">
        <v>0</v>
      </c>
      <c r="J94" s="33">
        <f>G94*1</f>
        <v>195.95</v>
      </c>
      <c r="K94" s="33">
        <v>0</v>
      </c>
      <c r="L94" s="33">
        <v>0</v>
      </c>
      <c r="M94" s="33">
        <v>0</v>
      </c>
      <c r="N94" s="33">
        <v>0</v>
      </c>
      <c r="O94" s="33">
        <f>G94*2</f>
        <v>391.9</v>
      </c>
      <c r="P94" s="33">
        <v>0</v>
      </c>
      <c r="Q94" s="33">
        <v>0</v>
      </c>
      <c r="R94" s="33">
        <v>0</v>
      </c>
      <c r="S94" s="33">
        <f>G94</f>
        <v>195.95</v>
      </c>
      <c r="T94" s="33">
        <v>0</v>
      </c>
      <c r="U94" s="33">
        <f t="shared" si="49"/>
        <v>783.8</v>
      </c>
    </row>
    <row r="95" spans="1:24" ht="25.5">
      <c r="A95" s="132" t="s">
        <v>241</v>
      </c>
      <c r="B95" s="133" t="s">
        <v>150</v>
      </c>
      <c r="C95" s="132" t="s">
        <v>149</v>
      </c>
      <c r="D95" s="135"/>
      <c r="E95" s="55"/>
      <c r="F95" s="55">
        <v>1</v>
      </c>
      <c r="G95" s="55">
        <v>290.67</v>
      </c>
      <c r="H95" s="70">
        <f t="shared" si="44"/>
        <v>0.29067000000000004</v>
      </c>
      <c r="I95" s="33">
        <v>0</v>
      </c>
      <c r="J95" s="33">
        <f>G95*1</f>
        <v>290.67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f t="shared" ref="U95" si="50">SUM(I95:T95)</f>
        <v>290.67</v>
      </c>
    </row>
    <row r="96" spans="1:24">
      <c r="A96" s="141" t="s">
        <v>242</v>
      </c>
      <c r="B96" s="140" t="s">
        <v>151</v>
      </c>
      <c r="C96" s="141" t="s">
        <v>152</v>
      </c>
      <c r="D96" s="26"/>
      <c r="E96" s="55"/>
      <c r="F96" s="55">
        <v>2</v>
      </c>
      <c r="G96" s="55">
        <v>185.81</v>
      </c>
      <c r="H96" s="70">
        <f t="shared" si="44"/>
        <v>0.37162000000000001</v>
      </c>
      <c r="I96" s="33">
        <v>0</v>
      </c>
      <c r="J96" s="33">
        <f>G96*2</f>
        <v>371.62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f t="shared" ref="U96" si="51">SUM(I96:T96)</f>
        <v>371.62</v>
      </c>
    </row>
    <row r="97" spans="1:24" s="19" customFormat="1">
      <c r="A97" s="139" t="s">
        <v>264</v>
      </c>
      <c r="B97" s="140" t="s">
        <v>265</v>
      </c>
      <c r="C97" s="141" t="s">
        <v>62</v>
      </c>
      <c r="D97" s="135"/>
      <c r="E97" s="55"/>
      <c r="F97" s="55">
        <v>1</v>
      </c>
      <c r="G97" s="55">
        <v>1072.21</v>
      </c>
      <c r="H97" s="70">
        <f t="shared" si="44"/>
        <v>1.0722100000000001</v>
      </c>
      <c r="I97" s="33">
        <v>0</v>
      </c>
      <c r="J97" s="33">
        <f>G97</f>
        <v>1072.21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f t="shared" ref="U97:U98" si="52">SUM(I97:T97)</f>
        <v>1072.21</v>
      </c>
      <c r="V97" s="142"/>
      <c r="W97" s="142"/>
      <c r="X97" s="142"/>
    </row>
    <row r="98" spans="1:24" s="19" customFormat="1">
      <c r="A98" s="27" t="s">
        <v>140</v>
      </c>
      <c r="B98" s="26" t="s">
        <v>153</v>
      </c>
      <c r="C98" s="69" t="s">
        <v>154</v>
      </c>
      <c r="D98" s="26"/>
      <c r="E98" s="55"/>
      <c r="F98" s="55">
        <v>20</v>
      </c>
      <c r="G98" s="55">
        <v>1501</v>
      </c>
      <c r="H98" s="70">
        <f t="shared" si="44"/>
        <v>30.02</v>
      </c>
      <c r="I98" s="33">
        <v>0</v>
      </c>
      <c r="J98" s="33">
        <f>G98*18</f>
        <v>27018</v>
      </c>
      <c r="K98" s="33">
        <f>G98*2</f>
        <v>3002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f t="shared" si="52"/>
        <v>30020</v>
      </c>
      <c r="V98" s="142"/>
      <c r="W98" s="142"/>
      <c r="X98" s="142"/>
    </row>
    <row r="99" spans="1:24" s="19" customFormat="1">
      <c r="A99" s="132" t="s">
        <v>243</v>
      </c>
      <c r="B99" s="133" t="s">
        <v>155</v>
      </c>
      <c r="C99" s="132" t="s">
        <v>144</v>
      </c>
      <c r="D99" s="26"/>
      <c r="E99" s="55"/>
      <c r="F99" s="55">
        <v>1</v>
      </c>
      <c r="G99" s="55">
        <v>332.87</v>
      </c>
      <c r="H99" s="70">
        <f t="shared" si="44"/>
        <v>0.33287</v>
      </c>
      <c r="I99" s="33">
        <v>0</v>
      </c>
      <c r="J99" s="33">
        <f>G99</f>
        <v>332.87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f t="shared" ref="U99:U103" si="53">SUM(I99:T99)</f>
        <v>332.87</v>
      </c>
      <c r="V99" s="142"/>
      <c r="W99" s="142"/>
      <c r="X99" s="142"/>
    </row>
    <row r="100" spans="1:24" s="19" customFormat="1" ht="25.5">
      <c r="A100" s="144" t="s">
        <v>140</v>
      </c>
      <c r="B100" s="145" t="s">
        <v>157</v>
      </c>
      <c r="C100" s="146" t="s">
        <v>142</v>
      </c>
      <c r="D100" s="26"/>
      <c r="E100" s="55"/>
      <c r="F100" s="55">
        <v>1</v>
      </c>
      <c r="G100" s="55">
        <v>383.01</v>
      </c>
      <c r="H100" s="70">
        <f t="shared" si="44"/>
        <v>0.38301000000000002</v>
      </c>
      <c r="I100" s="33">
        <v>0</v>
      </c>
      <c r="J100" s="33">
        <v>0</v>
      </c>
      <c r="K100" s="33">
        <f>G100</f>
        <v>383.01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f t="shared" si="53"/>
        <v>383.01</v>
      </c>
      <c r="V100" s="142"/>
      <c r="W100" s="142"/>
      <c r="X100" s="142"/>
    </row>
    <row r="101" spans="1:24" s="19" customFormat="1" ht="25.5">
      <c r="A101" s="134" t="s">
        <v>244</v>
      </c>
      <c r="B101" s="133" t="s">
        <v>158</v>
      </c>
      <c r="C101" s="132" t="s">
        <v>62</v>
      </c>
      <c r="D101" s="26"/>
      <c r="E101" s="55"/>
      <c r="F101" s="55">
        <v>2</v>
      </c>
      <c r="G101" s="55">
        <v>2179.33</v>
      </c>
      <c r="H101" s="70">
        <f t="shared" si="44"/>
        <v>4.3586599999999995</v>
      </c>
      <c r="I101" s="33">
        <v>0</v>
      </c>
      <c r="J101" s="33">
        <v>0</v>
      </c>
      <c r="K101" s="33">
        <f>G101</f>
        <v>2179.33</v>
      </c>
      <c r="L101" s="33">
        <v>0</v>
      </c>
      <c r="M101" s="33">
        <v>0</v>
      </c>
      <c r="N101" s="33">
        <f>G101</f>
        <v>2179.33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f t="shared" si="53"/>
        <v>4358.66</v>
      </c>
      <c r="V101" s="142"/>
      <c r="W101" s="142"/>
      <c r="X101" s="142"/>
    </row>
    <row r="102" spans="1:24" s="19" customFormat="1">
      <c r="A102" s="132" t="s">
        <v>234</v>
      </c>
      <c r="B102" s="133" t="s">
        <v>159</v>
      </c>
      <c r="C102" s="132" t="s">
        <v>62</v>
      </c>
      <c r="D102" s="26"/>
      <c r="E102" s="55"/>
      <c r="F102" s="55">
        <v>3</v>
      </c>
      <c r="G102" s="55">
        <v>1189.8499999999999</v>
      </c>
      <c r="H102" s="70">
        <f t="shared" si="44"/>
        <v>3.5695499999999996</v>
      </c>
      <c r="I102" s="33">
        <v>0</v>
      </c>
      <c r="J102" s="33">
        <v>0</v>
      </c>
      <c r="K102" s="33">
        <f>G102*3</f>
        <v>3569.5499999999997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f t="shared" si="53"/>
        <v>3569.5499999999997</v>
      </c>
      <c r="V102" s="142"/>
      <c r="W102" s="142"/>
      <c r="X102" s="142"/>
    </row>
    <row r="103" spans="1:24" s="19" customFormat="1">
      <c r="A103" s="132" t="s">
        <v>245</v>
      </c>
      <c r="B103" s="147" t="s">
        <v>160</v>
      </c>
      <c r="C103" s="134" t="s">
        <v>161</v>
      </c>
      <c r="D103" s="26"/>
      <c r="E103" s="55"/>
      <c r="F103" s="55">
        <f>2/10</f>
        <v>0.2</v>
      </c>
      <c r="G103" s="55">
        <v>16494.61</v>
      </c>
      <c r="H103" s="70">
        <f t="shared" si="44"/>
        <v>3.2989220000000006</v>
      </c>
      <c r="I103" s="33">
        <v>0</v>
      </c>
      <c r="J103" s="33">
        <v>0</v>
      </c>
      <c r="K103" s="33">
        <v>0</v>
      </c>
      <c r="L103" s="33">
        <f>G103*0.1</f>
        <v>1649.4610000000002</v>
      </c>
      <c r="M103" s="33">
        <v>0</v>
      </c>
      <c r="N103" s="33">
        <v>0</v>
      </c>
      <c r="O103" s="33">
        <v>0</v>
      </c>
      <c r="P103" s="33">
        <v>0</v>
      </c>
      <c r="Q103" s="33">
        <f>G103*0.1</f>
        <v>1649.4610000000002</v>
      </c>
      <c r="R103" s="33">
        <v>0</v>
      </c>
      <c r="S103" s="33">
        <v>0</v>
      </c>
      <c r="T103" s="33">
        <v>0</v>
      </c>
      <c r="U103" s="33">
        <f t="shared" si="53"/>
        <v>3298.9220000000005</v>
      </c>
      <c r="V103" s="142"/>
      <c r="W103" s="142"/>
      <c r="X103" s="142"/>
    </row>
    <row r="104" spans="1:24" s="19" customFormat="1" ht="25.5">
      <c r="A104" s="139" t="s">
        <v>236</v>
      </c>
      <c r="B104" s="140" t="s">
        <v>172</v>
      </c>
      <c r="C104" s="141" t="s">
        <v>144</v>
      </c>
      <c r="D104" s="135"/>
      <c r="E104" s="55"/>
      <c r="F104" s="55">
        <v>2</v>
      </c>
      <c r="G104" s="55">
        <v>476.76</v>
      </c>
      <c r="H104" s="70">
        <f t="shared" ref="H104:H121" si="54">G104*F104/1000</f>
        <v>0.95352000000000003</v>
      </c>
      <c r="I104" s="33">
        <v>0</v>
      </c>
      <c r="J104" s="33">
        <v>0</v>
      </c>
      <c r="K104" s="33">
        <v>0</v>
      </c>
      <c r="L104" s="33">
        <v>0</v>
      </c>
      <c r="M104" s="33">
        <f>G104</f>
        <v>476.76</v>
      </c>
      <c r="N104" s="33">
        <v>0</v>
      </c>
      <c r="O104" s="33">
        <f>G104</f>
        <v>476.76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3">
        <f t="shared" ref="U104:U109" si="55">SUM(I104:T104)</f>
        <v>953.52</v>
      </c>
      <c r="V104" s="142"/>
      <c r="W104" s="142"/>
      <c r="X104" s="142"/>
    </row>
    <row r="105" spans="1:24" s="19" customFormat="1">
      <c r="A105" s="139" t="s">
        <v>174</v>
      </c>
      <c r="B105" s="140" t="s">
        <v>175</v>
      </c>
      <c r="C105" s="141" t="s">
        <v>176</v>
      </c>
      <c r="D105" s="135"/>
      <c r="E105" s="55"/>
      <c r="F105" s="55">
        <v>0.5</v>
      </c>
      <c r="G105" s="55">
        <v>164</v>
      </c>
      <c r="H105" s="70">
        <f t="shared" si="54"/>
        <v>8.2000000000000003E-2</v>
      </c>
      <c r="I105" s="33">
        <v>0</v>
      </c>
      <c r="J105" s="33">
        <v>0</v>
      </c>
      <c r="K105" s="33">
        <v>0</v>
      </c>
      <c r="L105" s="33">
        <v>0</v>
      </c>
      <c r="M105" s="33">
        <f>G105*0.5</f>
        <v>82</v>
      </c>
      <c r="N105" s="33">
        <v>0</v>
      </c>
      <c r="O105" s="33">
        <v>0</v>
      </c>
      <c r="P105" s="33">
        <v>0</v>
      </c>
      <c r="Q105" s="33">
        <v>0</v>
      </c>
      <c r="R105" s="33">
        <v>0</v>
      </c>
      <c r="S105" s="33">
        <v>0</v>
      </c>
      <c r="T105" s="33">
        <v>0</v>
      </c>
      <c r="U105" s="33">
        <f t="shared" si="55"/>
        <v>82</v>
      </c>
      <c r="V105" s="142"/>
      <c r="W105" s="142"/>
      <c r="X105" s="142"/>
    </row>
    <row r="106" spans="1:24" s="19" customFormat="1" ht="25.5">
      <c r="A106" s="148" t="s">
        <v>248</v>
      </c>
      <c r="B106" s="149" t="s">
        <v>173</v>
      </c>
      <c r="C106" s="148" t="s">
        <v>62</v>
      </c>
      <c r="D106" s="135"/>
      <c r="E106" s="55"/>
      <c r="F106" s="55">
        <v>3</v>
      </c>
      <c r="G106" s="55">
        <v>180.15</v>
      </c>
      <c r="H106" s="70">
        <f>G106*F106/1000</f>
        <v>0.5404500000000001</v>
      </c>
      <c r="I106" s="33">
        <v>0</v>
      </c>
      <c r="J106" s="33">
        <v>0</v>
      </c>
      <c r="K106" s="33">
        <v>0</v>
      </c>
      <c r="L106" s="33">
        <v>0</v>
      </c>
      <c r="M106" s="33">
        <f>G106</f>
        <v>180.15</v>
      </c>
      <c r="N106" s="33">
        <f>G106*2</f>
        <v>360.3</v>
      </c>
      <c r="O106" s="33">
        <v>0</v>
      </c>
      <c r="P106" s="33">
        <v>0</v>
      </c>
      <c r="Q106" s="33">
        <v>0</v>
      </c>
      <c r="R106" s="33">
        <v>0</v>
      </c>
      <c r="S106" s="33">
        <v>0</v>
      </c>
      <c r="T106" s="33">
        <v>0</v>
      </c>
      <c r="U106" s="33">
        <f>SUM(I106:T106)</f>
        <v>540.45000000000005</v>
      </c>
      <c r="V106" s="142"/>
      <c r="W106" s="142"/>
      <c r="X106" s="142"/>
    </row>
    <row r="107" spans="1:24" s="19" customFormat="1">
      <c r="A107" s="132" t="s">
        <v>246</v>
      </c>
      <c r="B107" s="133" t="s">
        <v>183</v>
      </c>
      <c r="C107" s="132" t="s">
        <v>144</v>
      </c>
      <c r="D107" s="135"/>
      <c r="E107" s="55"/>
      <c r="F107" s="55">
        <v>1</v>
      </c>
      <c r="G107" s="55">
        <v>174.63</v>
      </c>
      <c r="H107" s="70">
        <f t="shared" si="54"/>
        <v>0.17463000000000001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f>G107</f>
        <v>174.63</v>
      </c>
      <c r="O107" s="33">
        <v>0</v>
      </c>
      <c r="P107" s="33">
        <v>0</v>
      </c>
      <c r="Q107" s="33">
        <v>0</v>
      </c>
      <c r="R107" s="33">
        <v>0</v>
      </c>
      <c r="S107" s="33">
        <v>0</v>
      </c>
      <c r="T107" s="33">
        <v>0</v>
      </c>
      <c r="U107" s="33">
        <f t="shared" ref="U107:U108" si="56">SUM(I107:T107)</f>
        <v>174.63</v>
      </c>
      <c r="V107" s="142"/>
      <c r="W107" s="142"/>
      <c r="X107" s="142"/>
    </row>
    <row r="108" spans="1:24" s="19" customFormat="1">
      <c r="A108" s="132" t="s">
        <v>247</v>
      </c>
      <c r="B108" s="133" t="s">
        <v>184</v>
      </c>
      <c r="C108" s="132" t="s">
        <v>144</v>
      </c>
      <c r="D108" s="135"/>
      <c r="E108" s="55"/>
      <c r="F108" s="55">
        <v>3</v>
      </c>
      <c r="G108" s="55">
        <v>267.58</v>
      </c>
      <c r="H108" s="70">
        <f t="shared" si="54"/>
        <v>0.80274000000000001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f>G108*3</f>
        <v>802.74</v>
      </c>
      <c r="O108" s="33">
        <v>0</v>
      </c>
      <c r="P108" s="33">
        <v>0</v>
      </c>
      <c r="Q108" s="33">
        <v>0</v>
      </c>
      <c r="R108" s="33">
        <v>0</v>
      </c>
      <c r="S108" s="33">
        <v>0</v>
      </c>
      <c r="T108" s="33">
        <v>0</v>
      </c>
      <c r="U108" s="33">
        <f t="shared" si="56"/>
        <v>802.74</v>
      </c>
      <c r="V108" s="142"/>
      <c r="W108" s="142"/>
      <c r="X108" s="142"/>
    </row>
    <row r="109" spans="1:24" s="19" customFormat="1" ht="25.5">
      <c r="A109" s="139" t="s">
        <v>249</v>
      </c>
      <c r="B109" s="140" t="s">
        <v>177</v>
      </c>
      <c r="C109" s="141" t="s">
        <v>62</v>
      </c>
      <c r="D109" s="135"/>
      <c r="E109" s="55"/>
      <c r="F109" s="55">
        <v>7</v>
      </c>
      <c r="G109" s="55">
        <v>79.09</v>
      </c>
      <c r="H109" s="70">
        <f t="shared" si="54"/>
        <v>0.55362999999999996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f>G109*5</f>
        <v>395.45000000000005</v>
      </c>
      <c r="O109" s="33">
        <v>0</v>
      </c>
      <c r="P109" s="33">
        <v>0</v>
      </c>
      <c r="Q109" s="33">
        <v>0</v>
      </c>
      <c r="R109" s="33">
        <v>0</v>
      </c>
      <c r="S109" s="33">
        <v>0</v>
      </c>
      <c r="T109" s="33">
        <f>G109*2</f>
        <v>158.18</v>
      </c>
      <c r="U109" s="33">
        <f t="shared" si="55"/>
        <v>553.63000000000011</v>
      </c>
      <c r="V109" s="142"/>
      <c r="W109" s="142"/>
      <c r="X109" s="142"/>
    </row>
    <row r="110" spans="1:24" s="19" customFormat="1" ht="25.5" customHeight="1">
      <c r="A110" s="148" t="s">
        <v>219</v>
      </c>
      <c r="B110" s="149" t="s">
        <v>179</v>
      </c>
      <c r="C110" s="148" t="s">
        <v>47</v>
      </c>
      <c r="D110" s="135"/>
      <c r="E110" s="55"/>
      <c r="F110" s="150">
        <f>4/1000</f>
        <v>4.0000000000000001E-3</v>
      </c>
      <c r="G110" s="55">
        <v>1510.06</v>
      </c>
      <c r="H110" s="70">
        <f t="shared" si="54"/>
        <v>6.0402399999999997E-3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f>G110*0.004</f>
        <v>6.0402399999999998</v>
      </c>
      <c r="O110" s="33">
        <v>0</v>
      </c>
      <c r="P110" s="33">
        <v>0</v>
      </c>
      <c r="Q110" s="33">
        <v>0</v>
      </c>
      <c r="R110" s="33">
        <v>0</v>
      </c>
      <c r="S110" s="33">
        <v>0</v>
      </c>
      <c r="T110" s="33">
        <v>0</v>
      </c>
      <c r="U110" s="33">
        <f t="shared" ref="U110:U121" si="57">SUM(I110:T110)</f>
        <v>6.0402399999999998</v>
      </c>
      <c r="V110" s="142"/>
      <c r="W110" s="142"/>
      <c r="X110" s="142"/>
    </row>
    <row r="111" spans="1:24" s="19" customFormat="1" ht="25.5">
      <c r="A111" s="148" t="s">
        <v>221</v>
      </c>
      <c r="B111" s="149" t="s">
        <v>180</v>
      </c>
      <c r="C111" s="148" t="s">
        <v>178</v>
      </c>
      <c r="D111" s="135"/>
      <c r="E111" s="55"/>
      <c r="F111" s="55">
        <f>1/100</f>
        <v>0.01</v>
      </c>
      <c r="G111" s="55">
        <v>7033.13</v>
      </c>
      <c r="H111" s="70">
        <f t="shared" si="54"/>
        <v>7.0331299999999999E-2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f>G111*0.01</f>
        <v>70.331299999999999</v>
      </c>
      <c r="O111" s="33">
        <v>0</v>
      </c>
      <c r="P111" s="33">
        <v>0</v>
      </c>
      <c r="Q111" s="33">
        <v>0</v>
      </c>
      <c r="R111" s="33">
        <v>0</v>
      </c>
      <c r="S111" s="33">
        <v>0</v>
      </c>
      <c r="T111" s="33">
        <v>0</v>
      </c>
      <c r="U111" s="33">
        <f t="shared" si="57"/>
        <v>70.331299999999999</v>
      </c>
      <c r="V111" s="142"/>
      <c r="W111" s="142"/>
      <c r="X111" s="142"/>
    </row>
    <row r="112" spans="1:24" s="19" customFormat="1" ht="25.5">
      <c r="A112" s="132" t="s">
        <v>220</v>
      </c>
      <c r="B112" s="133" t="s">
        <v>181</v>
      </c>
      <c r="C112" s="132" t="s">
        <v>59</v>
      </c>
      <c r="D112" s="135"/>
      <c r="E112" s="55"/>
      <c r="F112" s="55">
        <f>4/100</f>
        <v>0.04</v>
      </c>
      <c r="G112" s="55">
        <v>3397.65</v>
      </c>
      <c r="H112" s="70">
        <f t="shared" si="54"/>
        <v>0.135906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f>G112*0.03</f>
        <v>101.9295</v>
      </c>
      <c r="O112" s="33">
        <v>0</v>
      </c>
      <c r="P112" s="33">
        <f>G112*0.01</f>
        <v>33.976500000000001</v>
      </c>
      <c r="Q112" s="33">
        <v>0</v>
      </c>
      <c r="R112" s="33">
        <v>0</v>
      </c>
      <c r="S112" s="33">
        <v>0</v>
      </c>
      <c r="T112" s="33">
        <v>0</v>
      </c>
      <c r="U112" s="33">
        <f t="shared" si="57"/>
        <v>135.90600000000001</v>
      </c>
      <c r="V112" s="142"/>
      <c r="W112" s="142"/>
      <c r="X112" s="142"/>
    </row>
    <row r="113" spans="1:24" s="19" customFormat="1">
      <c r="A113" s="132" t="s">
        <v>145</v>
      </c>
      <c r="B113" s="133" t="s">
        <v>185</v>
      </c>
      <c r="C113" s="132" t="s">
        <v>186</v>
      </c>
      <c r="D113" s="135"/>
      <c r="E113" s="55"/>
      <c r="F113" s="55">
        <v>1</v>
      </c>
      <c r="G113" s="55">
        <v>29624</v>
      </c>
      <c r="H113" s="70">
        <f t="shared" si="54"/>
        <v>29.623999999999999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f>G113</f>
        <v>29624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3">
        <f t="shared" si="57"/>
        <v>29624</v>
      </c>
      <c r="V113" s="142"/>
      <c r="W113" s="142"/>
      <c r="X113" s="142"/>
    </row>
    <row r="114" spans="1:24" s="19" customFormat="1">
      <c r="A114" s="132" t="s">
        <v>145</v>
      </c>
      <c r="B114" s="133" t="s">
        <v>192</v>
      </c>
      <c r="C114" s="132" t="s">
        <v>186</v>
      </c>
      <c r="D114" s="135"/>
      <c r="E114" s="55"/>
      <c r="F114" s="55">
        <v>1</v>
      </c>
      <c r="G114" s="55">
        <v>59761</v>
      </c>
      <c r="H114" s="70">
        <f t="shared" si="54"/>
        <v>59.761000000000003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f>G114</f>
        <v>59761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3">
        <f t="shared" si="57"/>
        <v>59761</v>
      </c>
      <c r="V114" s="142"/>
      <c r="W114" s="142"/>
      <c r="X114" s="142"/>
    </row>
    <row r="115" spans="1:24" s="19" customFormat="1" ht="25.5" customHeight="1">
      <c r="A115" s="148" t="s">
        <v>250</v>
      </c>
      <c r="B115" s="149" t="s">
        <v>190</v>
      </c>
      <c r="C115" s="148" t="s">
        <v>191</v>
      </c>
      <c r="D115" s="135"/>
      <c r="E115" s="55"/>
      <c r="F115" s="55">
        <f>75/10</f>
        <v>7.5</v>
      </c>
      <c r="G115" s="55">
        <v>5641.28</v>
      </c>
      <c r="H115" s="70">
        <f t="shared" si="54"/>
        <v>42.309599999999996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f>G115*F115</f>
        <v>42309.599999999999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  <c r="T115" s="33">
        <v>0</v>
      </c>
      <c r="U115" s="33">
        <f t="shared" si="57"/>
        <v>42309.599999999999</v>
      </c>
      <c r="V115" s="142"/>
      <c r="W115" s="142"/>
      <c r="X115" s="142"/>
    </row>
    <row r="116" spans="1:24" s="19" customFormat="1" ht="12.75" customHeight="1">
      <c r="A116" s="164" t="s">
        <v>253</v>
      </c>
      <c r="B116" s="165" t="s">
        <v>251</v>
      </c>
      <c r="C116" s="164" t="s">
        <v>252</v>
      </c>
      <c r="D116" s="135"/>
      <c r="E116" s="55"/>
      <c r="F116" s="55">
        <v>4</v>
      </c>
      <c r="G116" s="55">
        <v>1063.47</v>
      </c>
      <c r="H116" s="70">
        <f t="shared" si="54"/>
        <v>4.2538800000000005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  <c r="O116" s="33">
        <v>0</v>
      </c>
      <c r="P116" s="33">
        <f>G116</f>
        <v>1063.47</v>
      </c>
      <c r="Q116" s="33">
        <v>0</v>
      </c>
      <c r="R116" s="33">
        <f>G116*2</f>
        <v>2126.94</v>
      </c>
      <c r="S116" s="33">
        <f>G116</f>
        <v>1063.47</v>
      </c>
      <c r="T116" s="33">
        <v>0</v>
      </c>
      <c r="U116" s="33">
        <f t="shared" si="57"/>
        <v>4253.88</v>
      </c>
      <c r="V116" s="142"/>
      <c r="W116" s="142"/>
      <c r="X116" s="142"/>
    </row>
    <row r="117" spans="1:24" ht="25.5">
      <c r="A117" s="139" t="s">
        <v>145</v>
      </c>
      <c r="B117" s="140" t="s">
        <v>257</v>
      </c>
      <c r="C117" s="141" t="s">
        <v>146</v>
      </c>
      <c r="D117" s="135"/>
      <c r="E117" s="55"/>
      <c r="F117" s="55">
        <v>4</v>
      </c>
      <c r="G117" s="55">
        <v>1639</v>
      </c>
      <c r="H117" s="70">
        <f t="shared" si="54"/>
        <v>6.556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f>G117*4</f>
        <v>6556</v>
      </c>
      <c r="T117" s="33">
        <v>0</v>
      </c>
      <c r="U117" s="33">
        <f t="shared" si="57"/>
        <v>6556</v>
      </c>
    </row>
    <row r="118" spans="1:24" s="19" customFormat="1" ht="25.5" customHeight="1">
      <c r="A118" s="148" t="s">
        <v>240</v>
      </c>
      <c r="B118" s="149" t="s">
        <v>254</v>
      </c>
      <c r="C118" s="148" t="s">
        <v>144</v>
      </c>
      <c r="D118" s="135"/>
      <c r="E118" s="55"/>
      <c r="F118" s="55">
        <v>2</v>
      </c>
      <c r="G118" s="55">
        <v>195.95</v>
      </c>
      <c r="H118" s="70">
        <f t="shared" si="54"/>
        <v>0.39189999999999997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0</v>
      </c>
      <c r="S118" s="33">
        <f>G118*2</f>
        <v>391.9</v>
      </c>
      <c r="T118" s="33">
        <v>0</v>
      </c>
      <c r="U118" s="33">
        <f t="shared" si="57"/>
        <v>391.9</v>
      </c>
      <c r="V118" s="142"/>
      <c r="W118" s="142"/>
      <c r="X118" s="142"/>
    </row>
    <row r="119" spans="1:24" s="19" customFormat="1" ht="38.25" customHeight="1">
      <c r="A119" s="148" t="s">
        <v>262</v>
      </c>
      <c r="B119" s="149" t="s">
        <v>263</v>
      </c>
      <c r="C119" s="148" t="s">
        <v>146</v>
      </c>
      <c r="D119" s="135"/>
      <c r="E119" s="55"/>
      <c r="F119" s="55">
        <v>1</v>
      </c>
      <c r="G119" s="55">
        <v>513.99</v>
      </c>
      <c r="H119" s="70">
        <f t="shared" si="54"/>
        <v>0.51399000000000006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3">
        <v>0</v>
      </c>
      <c r="T119" s="33">
        <f>G119*F119</f>
        <v>513.99</v>
      </c>
      <c r="U119" s="33">
        <f t="shared" si="57"/>
        <v>513.99</v>
      </c>
      <c r="V119" s="142"/>
      <c r="W119" s="142"/>
      <c r="X119" s="142"/>
    </row>
    <row r="120" spans="1:24" s="19" customFormat="1" ht="12.75" customHeight="1">
      <c r="A120" s="164" t="s">
        <v>260</v>
      </c>
      <c r="B120" s="165" t="s">
        <v>261</v>
      </c>
      <c r="C120" s="164" t="s">
        <v>252</v>
      </c>
      <c r="D120" s="135"/>
      <c r="E120" s="55"/>
      <c r="F120" s="55">
        <v>3</v>
      </c>
      <c r="G120" s="55">
        <v>1063.47</v>
      </c>
      <c r="H120" s="70">
        <f t="shared" ref="H120" si="58">G120*F120/1000</f>
        <v>3.19041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33">
        <f>G120*3</f>
        <v>3190.41</v>
      </c>
      <c r="U120" s="33">
        <f t="shared" ref="U120" si="59">SUM(I120:T120)</f>
        <v>3190.41</v>
      </c>
      <c r="V120" s="142"/>
      <c r="W120" s="142"/>
      <c r="X120" s="142"/>
    </row>
    <row r="121" spans="1:24" s="19" customFormat="1" ht="25.5" customHeight="1">
      <c r="A121" s="166" t="s">
        <v>258</v>
      </c>
      <c r="B121" s="149" t="s">
        <v>259</v>
      </c>
      <c r="C121" s="148" t="s">
        <v>144</v>
      </c>
      <c r="D121" s="135"/>
      <c r="E121" s="55"/>
      <c r="F121" s="55">
        <v>1</v>
      </c>
      <c r="G121" s="55">
        <v>625.07000000000005</v>
      </c>
      <c r="H121" s="70">
        <f t="shared" si="54"/>
        <v>0.62507000000000001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f>G121</f>
        <v>625.07000000000005</v>
      </c>
      <c r="U121" s="33">
        <f t="shared" si="57"/>
        <v>625.07000000000005</v>
      </c>
      <c r="V121" s="142"/>
      <c r="W121" s="142"/>
      <c r="X121" s="142"/>
    </row>
    <row r="122" spans="1:24">
      <c r="A122" s="101"/>
      <c r="B122" s="102" t="s">
        <v>94</v>
      </c>
      <c r="C122" s="101"/>
      <c r="D122" s="101"/>
      <c r="E122" s="97"/>
      <c r="F122" s="97"/>
      <c r="G122" s="97"/>
      <c r="H122" s="92">
        <f>SUM(H87:H121)</f>
        <v>218.08438454000003</v>
      </c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47">
        <f>SUM(U87:U121)</f>
        <v>218084.38454000003</v>
      </c>
    </row>
    <row r="123" spans="1:24" ht="12" customHeight="1">
      <c r="A123" s="103"/>
      <c r="B123" s="104"/>
      <c r="C123" s="103"/>
      <c r="D123" s="103"/>
      <c r="E123" s="55"/>
      <c r="F123" s="55"/>
      <c r="G123" s="55"/>
      <c r="H123" s="105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130"/>
    </row>
    <row r="124" spans="1:24" s="19" customFormat="1" ht="25.5">
      <c r="A124" s="27"/>
      <c r="B124" s="18" t="s">
        <v>95</v>
      </c>
      <c r="C124" s="69"/>
      <c r="D124" s="26"/>
      <c r="E124" s="55"/>
      <c r="F124" s="55"/>
      <c r="G124" s="55"/>
      <c r="H124" s="106">
        <f>H122/E125/12*1000</f>
        <v>3.9583766143201489</v>
      </c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130"/>
      <c r="V124" s="142"/>
      <c r="W124" s="142"/>
      <c r="X124" s="142"/>
    </row>
    <row r="125" spans="1:24">
      <c r="A125" s="107"/>
      <c r="B125" s="108" t="s">
        <v>96</v>
      </c>
      <c r="C125" s="109"/>
      <c r="D125" s="108"/>
      <c r="E125" s="161">
        <v>4591.2</v>
      </c>
      <c r="F125" s="110">
        <f>SUM(E125*12)</f>
        <v>55094.399999999994</v>
      </c>
      <c r="G125" s="111">
        <f>H84+H124</f>
        <v>220.12785661636397</v>
      </c>
      <c r="H125" s="112">
        <f>SUM(F125*G125/1000)</f>
        <v>12127.812183564602</v>
      </c>
      <c r="I125" s="97">
        <f>SUM(I11:I124)</f>
        <v>100663.91130825</v>
      </c>
      <c r="J125" s="97">
        <f t="shared" ref="J125:T125" si="60">SUM(J11:J124)</f>
        <v>139848.22378425</v>
      </c>
      <c r="K125" s="97">
        <f t="shared" si="60"/>
        <v>94706.13423625</v>
      </c>
      <c r="L125" s="97">
        <f t="shared" si="60"/>
        <v>98434.327712249986</v>
      </c>
      <c r="M125" s="97">
        <f t="shared" si="60"/>
        <v>216019.63858889998</v>
      </c>
      <c r="N125" s="97">
        <f t="shared" si="60"/>
        <v>213012.30617620001</v>
      </c>
      <c r="O125" s="97">
        <f t="shared" si="60"/>
        <v>94175.715660199974</v>
      </c>
      <c r="P125" s="97">
        <f t="shared" si="60"/>
        <v>85561.704636199996</v>
      </c>
      <c r="Q125" s="97">
        <f t="shared" si="60"/>
        <v>83825.044133399977</v>
      </c>
      <c r="R125" s="97">
        <f t="shared" si="60"/>
        <v>80311.882408199977</v>
      </c>
      <c r="S125" s="97">
        <f t="shared" si="60"/>
        <v>93779.564236249993</v>
      </c>
      <c r="T125" s="97">
        <f t="shared" si="60"/>
        <v>94127.410581125019</v>
      </c>
      <c r="U125" s="47">
        <f>U82+U122</f>
        <v>1394465.8634614749</v>
      </c>
    </row>
    <row r="126" spans="1:24">
      <c r="A126" s="34"/>
      <c r="B126" s="34"/>
      <c r="C126" s="34"/>
      <c r="D126" s="34"/>
      <c r="E126" s="113"/>
      <c r="F126" s="113"/>
      <c r="G126" s="113"/>
      <c r="H126" s="113"/>
      <c r="I126" s="113"/>
      <c r="J126" s="113"/>
      <c r="K126" s="113"/>
      <c r="L126" s="113"/>
      <c r="M126" s="34"/>
      <c r="N126" s="113"/>
      <c r="O126" s="34"/>
      <c r="P126" s="34"/>
      <c r="Q126" s="34"/>
      <c r="R126" s="34"/>
      <c r="S126" s="34"/>
      <c r="T126" s="34"/>
      <c r="U126" s="34"/>
    </row>
    <row r="127" spans="1:24">
      <c r="A127" s="34"/>
      <c r="B127" s="34"/>
      <c r="C127" s="34"/>
      <c r="D127" s="34"/>
      <c r="E127" s="113"/>
      <c r="F127" s="113"/>
      <c r="G127" s="113"/>
      <c r="H127" s="113"/>
      <c r="I127" s="113"/>
      <c r="J127" s="114"/>
      <c r="K127" s="115"/>
      <c r="L127" s="114"/>
      <c r="M127" s="113"/>
      <c r="N127" s="34"/>
      <c r="O127" s="34"/>
      <c r="P127" s="34"/>
      <c r="Q127" s="34"/>
      <c r="R127" s="34"/>
      <c r="S127" s="34"/>
      <c r="T127" s="34"/>
      <c r="U127" s="34"/>
    </row>
    <row r="128" spans="1:24" ht="45">
      <c r="A128" s="34"/>
      <c r="B128" s="116" t="s">
        <v>136</v>
      </c>
      <c r="C128" s="173">
        <v>578012.37</v>
      </c>
      <c r="D128" s="168"/>
      <c r="E128" s="168"/>
      <c r="F128" s="169"/>
      <c r="G128" s="113"/>
      <c r="H128" s="113"/>
      <c r="I128" s="113"/>
      <c r="J128" s="114"/>
      <c r="K128" s="115"/>
      <c r="L128" s="114"/>
      <c r="M128" s="113"/>
      <c r="N128" s="34"/>
      <c r="O128" s="34"/>
      <c r="P128" s="34"/>
      <c r="Q128" s="34"/>
      <c r="R128" s="34"/>
      <c r="S128" s="34"/>
      <c r="T128" s="34"/>
      <c r="U128" s="34"/>
    </row>
    <row r="129" spans="1:21" ht="30">
      <c r="A129" s="34"/>
      <c r="B129" s="22" t="s">
        <v>182</v>
      </c>
      <c r="C129" s="170">
        <f>111571.02*12</f>
        <v>1338852.24</v>
      </c>
      <c r="D129" s="171"/>
      <c r="E129" s="171"/>
      <c r="F129" s="172"/>
      <c r="G129" s="113"/>
      <c r="H129" s="113"/>
      <c r="I129" s="113"/>
      <c r="J129" s="114"/>
      <c r="K129" s="115"/>
      <c r="L129" s="114"/>
      <c r="M129" s="113"/>
      <c r="N129" s="34"/>
      <c r="O129" s="34"/>
      <c r="P129" s="34"/>
      <c r="Q129" s="34"/>
      <c r="R129" s="34"/>
      <c r="S129" s="34"/>
      <c r="T129" s="34"/>
      <c r="U129" s="34"/>
    </row>
    <row r="130" spans="1:21" ht="30">
      <c r="A130" s="34"/>
      <c r="B130" s="22" t="s">
        <v>162</v>
      </c>
      <c r="C130" s="170">
        <f>SUM(U125-U122)</f>
        <v>1176381.4789214749</v>
      </c>
      <c r="D130" s="171"/>
      <c r="E130" s="171"/>
      <c r="F130" s="172"/>
      <c r="G130" s="113"/>
      <c r="H130" s="113"/>
      <c r="I130" s="113"/>
      <c r="J130" s="114"/>
      <c r="K130" s="115"/>
      <c r="L130" s="114"/>
      <c r="M130" s="113"/>
      <c r="N130" s="34"/>
      <c r="O130" s="34"/>
      <c r="P130" s="34"/>
      <c r="Q130" s="34"/>
      <c r="R130" s="34"/>
      <c r="S130" s="34"/>
      <c r="T130" s="34"/>
      <c r="U130" s="34"/>
    </row>
    <row r="131" spans="1:21" ht="30">
      <c r="A131" s="34"/>
      <c r="B131" s="22" t="s">
        <v>137</v>
      </c>
      <c r="C131" s="170">
        <f>SUM(U122)</f>
        <v>218084.38454000003</v>
      </c>
      <c r="D131" s="171"/>
      <c r="E131" s="171"/>
      <c r="F131" s="172"/>
      <c r="G131" s="113"/>
      <c r="H131" s="113"/>
      <c r="I131" s="113"/>
      <c r="J131" s="114"/>
      <c r="K131" s="115"/>
      <c r="L131" s="114"/>
      <c r="M131" s="113"/>
      <c r="N131" s="34"/>
      <c r="O131" s="34"/>
      <c r="P131" s="34"/>
      <c r="Q131" s="34"/>
      <c r="R131" s="34"/>
      <c r="S131" s="34"/>
      <c r="T131" s="34"/>
      <c r="U131" s="34"/>
    </row>
    <row r="132" spans="1:21" ht="18">
      <c r="A132" s="34"/>
      <c r="B132" s="125" t="s">
        <v>138</v>
      </c>
      <c r="C132" s="173">
        <f>84886.16+114177.06+103166.43+100478.83+107693.68+113860.63+103490.02+121755.84+112055.71+114507.27+104819.38+97368.65</f>
        <v>1278259.6599999997</v>
      </c>
      <c r="D132" s="168"/>
      <c r="E132" s="168"/>
      <c r="F132" s="169"/>
      <c r="G132" s="34"/>
      <c r="I132" s="117" t="s">
        <v>103</v>
      </c>
      <c r="J132" s="118"/>
      <c r="K132" s="119"/>
      <c r="L132" s="120"/>
      <c r="M132" s="117"/>
      <c r="N132" s="117"/>
      <c r="O132" s="34"/>
      <c r="P132" s="34"/>
      <c r="Q132" s="34"/>
      <c r="R132" s="34"/>
      <c r="S132" s="34"/>
      <c r="T132" s="34"/>
      <c r="U132" s="34"/>
    </row>
    <row r="133" spans="1:21" ht="78.75">
      <c r="A133" s="34"/>
      <c r="B133" s="23" t="s">
        <v>255</v>
      </c>
      <c r="C133" s="174">
        <v>249113.29</v>
      </c>
      <c r="D133" s="175"/>
      <c r="E133" s="175"/>
      <c r="F133" s="176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spans="1:21" ht="45">
      <c r="A134" s="34"/>
      <c r="B134" s="121" t="s">
        <v>256</v>
      </c>
      <c r="C134" s="167">
        <f>SUM(U125-C129)+C128</f>
        <v>633625.99346147489</v>
      </c>
      <c r="D134" s="168"/>
      <c r="E134" s="168"/>
      <c r="F134" s="169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6" spans="1:21">
      <c r="J136" s="4"/>
      <c r="K136" s="5"/>
      <c r="L136" s="5"/>
      <c r="M136" s="3"/>
    </row>
    <row r="137" spans="1:21">
      <c r="G137" s="6"/>
      <c r="H137" s="6"/>
    </row>
    <row r="138" spans="1:21">
      <c r="G138" s="7"/>
    </row>
  </sheetData>
  <mergeCells count="11">
    <mergeCell ref="B3:L3"/>
    <mergeCell ref="B4:L4"/>
    <mergeCell ref="B5:L5"/>
    <mergeCell ref="B6:L6"/>
    <mergeCell ref="C128:F128"/>
    <mergeCell ref="C134:F134"/>
    <mergeCell ref="C129:F129"/>
    <mergeCell ref="C130:F130"/>
    <mergeCell ref="C131:F131"/>
    <mergeCell ref="C132:F132"/>
    <mergeCell ref="C133:F133"/>
  </mergeCells>
  <pageMargins left="0.31496062992125984" right="0.31496062992125984" top="0.15748031496062992" bottom="0.19685039370078741" header="0.15748031496062992" footer="0.15748031496062992"/>
  <pageSetup paperSize="9" scale="3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Нефт.,13</vt:lpstr>
      <vt:lpstr>'Нефт.,13'!Область_печати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2017-05-23T07:53:32Z</dcterms:modified>
</cp:coreProperties>
</file>