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7"/>
  </bookViews>
  <sheets>
    <sheet name="01.18" sheetId="8" r:id="rId1"/>
    <sheet name="02.18" sheetId="17" r:id="rId2"/>
    <sheet name="03.18" sheetId="18" r:id="rId3"/>
    <sheet name="04.18" sheetId="19" r:id="rId4"/>
    <sheet name="05.18" sheetId="20" r:id="rId5"/>
    <sheet name="06.18" sheetId="21" r:id="rId6"/>
    <sheet name="07.18" sheetId="22" r:id="rId7"/>
    <sheet name="08.18" sheetId="23" r:id="rId8"/>
    <sheet name="09.18" sheetId="24" r:id="rId9"/>
    <sheet name="10.18" sheetId="25" r:id="rId10"/>
    <sheet name="11.18" sheetId="26" r:id="rId11"/>
    <sheet name="12.18" sheetId="27" r:id="rId12"/>
  </sheets>
  <definedNames>
    <definedName name="_xlnm._FilterDatabase" localSheetId="0" hidden="1">'01.18'!$I$12:$I$67</definedName>
    <definedName name="_xlnm._FilterDatabase" localSheetId="1" hidden="1">'02.18'!$I$12:$I$67</definedName>
    <definedName name="_xlnm._FilterDatabase" localSheetId="2" hidden="1">'03.18'!$I$12:$I$69</definedName>
    <definedName name="_xlnm._FilterDatabase" localSheetId="3" hidden="1">'04.18'!$I$12:$I$68</definedName>
    <definedName name="_xlnm._FilterDatabase" localSheetId="4" hidden="1">'05.18'!$I$12:$I$67</definedName>
    <definedName name="_xlnm._FilterDatabase" localSheetId="5" hidden="1">'06.18'!$I$12:$I$67</definedName>
    <definedName name="_xlnm._FilterDatabase" localSheetId="6" hidden="1">'07.18'!$I$12:$I$67</definedName>
    <definedName name="_xlnm._FilterDatabase" localSheetId="7" hidden="1">'08.18'!$I$12:$I$67</definedName>
    <definedName name="_xlnm._FilterDatabase" localSheetId="8" hidden="1">'09.18'!$I$12:$I$67</definedName>
    <definedName name="_xlnm._FilterDatabase" localSheetId="9" hidden="1">'10.18'!$I$12:$I$67</definedName>
    <definedName name="_xlnm._FilterDatabase" localSheetId="10" hidden="1">'11.18'!$I$12:$I$67</definedName>
    <definedName name="_xlnm._FilterDatabase" localSheetId="11" hidden="1">'12.18'!$I$12:$I$67</definedName>
    <definedName name="_xlnm.Print_Titles" localSheetId="4">'05.18'!$12:$13</definedName>
    <definedName name="_xlnm.Print_Area" localSheetId="0">'01.18'!$A$1:$I$115</definedName>
    <definedName name="_xlnm.Print_Area" localSheetId="1">'02.18'!$A$1:$I$112</definedName>
    <definedName name="_xlnm.Print_Area" localSheetId="2">'03.18'!$A$1:$I$122</definedName>
    <definedName name="_xlnm.Print_Area" localSheetId="3">'04.18'!$A$1:$I$138</definedName>
    <definedName name="_xlnm.Print_Area" localSheetId="4">'05.18'!$A$1:$I$113</definedName>
    <definedName name="_xlnm.Print_Area" localSheetId="5">'06.18'!$A$1:$I$119</definedName>
    <definedName name="_xlnm.Print_Area" localSheetId="6">'07.18'!$A$1:$I$119</definedName>
    <definedName name="_xlnm.Print_Area" localSheetId="7">'08.18'!$A$1:$I$129</definedName>
    <definedName name="_xlnm.Print_Area" localSheetId="8">'09.18'!$A$1:$I$122</definedName>
    <definedName name="_xlnm.Print_Area" localSheetId="9">'10.18'!$A$1:$I$121</definedName>
    <definedName name="_xlnm.Print_Area" localSheetId="10">'11.18'!$A$1:$I$121</definedName>
    <definedName name="_xlnm.Print_Area" localSheetId="11">'12.18'!$A$1:$I$119</definedName>
  </definedNames>
  <calcPr calcId="124519"/>
</workbook>
</file>

<file path=xl/calcChain.xml><?xml version="1.0" encoding="utf-8"?>
<calcChain xmlns="http://schemas.openxmlformats.org/spreadsheetml/2006/main">
  <c r="I106" i="23"/>
  <c r="I105"/>
  <c r="I86"/>
  <c r="I86" i="27"/>
  <c r="I21"/>
  <c r="I20"/>
  <c r="I96"/>
  <c r="I95"/>
  <c r="I94"/>
  <c r="I93"/>
  <c r="I92"/>
  <c r="I91"/>
  <c r="I90"/>
  <c r="I89"/>
  <c r="I88"/>
  <c r="I65"/>
  <c r="I45"/>
  <c r="I86" i="26"/>
  <c r="I65"/>
  <c r="I98"/>
  <c r="I97"/>
  <c r="I20"/>
  <c r="H20"/>
  <c r="I19"/>
  <c r="H19"/>
  <c r="I96"/>
  <c r="I95"/>
  <c r="I94"/>
  <c r="I93"/>
  <c r="I92"/>
  <c r="I91"/>
  <c r="I90"/>
  <c r="I89"/>
  <c r="I88"/>
  <c r="I45"/>
  <c r="I98" i="25"/>
  <c r="I86"/>
  <c r="I65"/>
  <c r="I97"/>
  <c r="I96"/>
  <c r="I95" l="1"/>
  <c r="I94"/>
  <c r="I93"/>
  <c r="I92"/>
  <c r="I91"/>
  <c r="I90"/>
  <c r="I89"/>
  <c r="I88"/>
  <c r="I62"/>
  <c r="H62"/>
  <c r="I104" i="23"/>
  <c r="I103"/>
  <c r="I102"/>
  <c r="I101"/>
  <c r="I98"/>
  <c r="I99"/>
  <c r="I97"/>
  <c r="I96"/>
  <c r="I95"/>
  <c r="I94"/>
  <c r="I93"/>
  <c r="I92"/>
  <c r="I91"/>
  <c r="I88"/>
  <c r="I89"/>
  <c r="I90"/>
  <c r="H96"/>
  <c r="F97"/>
  <c r="H97"/>
  <c r="I62"/>
  <c r="H62"/>
  <c r="I21" i="25"/>
  <c r="H21"/>
  <c r="I20"/>
  <c r="H20"/>
  <c r="I99" i="24"/>
  <c r="I93"/>
  <c r="I98"/>
  <c r="I97"/>
  <c r="I65"/>
  <c r="I21"/>
  <c r="F16"/>
  <c r="F17"/>
  <c r="E18"/>
  <c r="F18" s="1"/>
  <c r="F19"/>
  <c r="F22"/>
  <c r="F23"/>
  <c r="F24"/>
  <c r="F25"/>
  <c r="F26"/>
  <c r="F27"/>
  <c r="F28"/>
  <c r="F31"/>
  <c r="F32"/>
  <c r="F33"/>
  <c r="F40"/>
  <c r="F42"/>
  <c r="F43"/>
  <c r="F44"/>
  <c r="F47"/>
  <c r="F48"/>
  <c r="F49"/>
  <c r="F50"/>
  <c r="F51"/>
  <c r="F52"/>
  <c r="F53"/>
  <c r="F55"/>
  <c r="F58"/>
  <c r="F59"/>
  <c r="F63"/>
  <c r="F67"/>
  <c r="F68"/>
  <c r="F69"/>
  <c r="F70"/>
  <c r="F71"/>
  <c r="F72"/>
  <c r="F77"/>
  <c r="F84"/>
  <c r="F85"/>
  <c r="F88"/>
  <c r="I20"/>
  <c r="I96"/>
  <c r="I95"/>
  <c r="I94"/>
  <c r="I92"/>
  <c r="I91"/>
  <c r="I90"/>
  <c r="I89"/>
  <c r="I88"/>
  <c r="I65" i="23"/>
  <c r="I21" l="1"/>
  <c r="H21"/>
  <c r="I20"/>
  <c r="H20"/>
  <c r="I89" i="19" l="1"/>
  <c r="I60" i="18"/>
  <c r="I86" i="17"/>
  <c r="I21"/>
  <c r="H21"/>
  <c r="I20"/>
  <c r="H20"/>
  <c r="I58"/>
  <c r="I86" i="8"/>
  <c r="I21"/>
  <c r="I20"/>
  <c r="I58"/>
  <c r="I86" i="22" l="1"/>
  <c r="I96"/>
  <c r="I21"/>
  <c r="I20"/>
  <c r="I95"/>
  <c r="I94"/>
  <c r="I93"/>
  <c r="I92"/>
  <c r="I91"/>
  <c r="I90"/>
  <c r="I89"/>
  <c r="I88"/>
  <c r="I88" i="18" l="1"/>
  <c r="F21" i="21" l="1"/>
  <c r="I96"/>
  <c r="F20"/>
  <c r="I95"/>
  <c r="I94"/>
  <c r="I93"/>
  <c r="I92"/>
  <c r="I91"/>
  <c r="I90"/>
  <c r="I89"/>
  <c r="I88"/>
  <c r="I21" i="20"/>
  <c r="I19"/>
  <c r="I20"/>
  <c r="F26"/>
  <c r="F25"/>
  <c r="F24"/>
  <c r="F23"/>
  <c r="F22"/>
  <c r="F19"/>
  <c r="F18"/>
  <c r="F17"/>
  <c r="F16"/>
  <c r="I62"/>
  <c r="I90"/>
  <c r="I89"/>
  <c r="I88"/>
  <c r="I111" i="19"/>
  <c r="I115"/>
  <c r="I109"/>
  <c r="I55"/>
  <c r="I54"/>
  <c r="I94" i="18" l="1"/>
  <c r="I93"/>
  <c r="I112" i="19" l="1"/>
  <c r="I85"/>
  <c r="I87"/>
  <c r="I63"/>
  <c r="I114"/>
  <c r="I113"/>
  <c r="I110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47"/>
  <c r="I28"/>
  <c r="I27"/>
  <c r="I29" i="18"/>
  <c r="I28"/>
  <c r="I98" l="1"/>
  <c r="I96"/>
  <c r="I95"/>
  <c r="I97"/>
  <c r="I92"/>
  <c r="H98"/>
  <c r="F98"/>
  <c r="H97"/>
  <c r="F96"/>
  <c r="H96" s="1"/>
  <c r="H95"/>
  <c r="H93"/>
  <c r="H92"/>
  <c r="I90"/>
  <c r="I91"/>
  <c r="H91"/>
  <c r="H90"/>
  <c r="I84"/>
  <c r="I67"/>
  <c r="I46"/>
  <c r="F64"/>
  <c r="H64" s="1"/>
  <c r="I47"/>
  <c r="I99" l="1"/>
  <c r="I65" i="17"/>
  <c r="I45"/>
  <c r="I44"/>
  <c r="I45" i="8"/>
  <c r="I44"/>
  <c r="I88" i="17" l="1"/>
  <c r="H88"/>
  <c r="F62"/>
  <c r="I91" i="8"/>
  <c r="H91"/>
  <c r="I90"/>
  <c r="F90"/>
  <c r="H90" s="1"/>
  <c r="I89"/>
  <c r="H89"/>
  <c r="I88"/>
  <c r="H88"/>
  <c r="I74"/>
  <c r="I65"/>
  <c r="F62"/>
  <c r="H62" s="1"/>
  <c r="H95" i="27" l="1"/>
  <c r="H89"/>
  <c r="F88"/>
  <c r="H88" s="1"/>
  <c r="F85"/>
  <c r="I85" s="1"/>
  <c r="F84"/>
  <c r="H84" s="1"/>
  <c r="I82"/>
  <c r="H82"/>
  <c r="H80"/>
  <c r="I78"/>
  <c r="H78"/>
  <c r="F77"/>
  <c r="H77" s="1"/>
  <c r="H76"/>
  <c r="I75"/>
  <c r="H75"/>
  <c r="I74"/>
  <c r="H74"/>
  <c r="F72"/>
  <c r="I72" s="1"/>
  <c r="F71"/>
  <c r="H71" s="1"/>
  <c r="F70"/>
  <c r="I70" s="1"/>
  <c r="F69"/>
  <c r="H69" s="1"/>
  <c r="F68"/>
  <c r="I68" s="1"/>
  <c r="F67"/>
  <c r="H67" s="1"/>
  <c r="H66"/>
  <c r="H65"/>
  <c r="F63"/>
  <c r="H63" s="1"/>
  <c r="H62"/>
  <c r="I60"/>
  <c r="H60"/>
  <c r="F59"/>
  <c r="I59" s="1"/>
  <c r="F58"/>
  <c r="H58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H45"/>
  <c r="F44"/>
  <c r="I44" s="1"/>
  <c r="F43"/>
  <c r="H43" s="1"/>
  <c r="F42"/>
  <c r="I42" s="1"/>
  <c r="H41"/>
  <c r="F40"/>
  <c r="I40" s="1"/>
  <c r="I39"/>
  <c r="H39"/>
  <c r="H37"/>
  <c r="H36"/>
  <c r="I35"/>
  <c r="H35"/>
  <c r="I34"/>
  <c r="H33"/>
  <c r="F33"/>
  <c r="I33" s="1"/>
  <c r="F32"/>
  <c r="H32" s="1"/>
  <c r="F31"/>
  <c r="I31" s="1"/>
  <c r="F28"/>
  <c r="H28" s="1"/>
  <c r="F27"/>
  <c r="I27" s="1"/>
  <c r="F26"/>
  <c r="H26" s="1"/>
  <c r="F25"/>
  <c r="I25" s="1"/>
  <c r="F24"/>
  <c r="H24" s="1"/>
  <c r="F23"/>
  <c r="I23" s="1"/>
  <c r="F22"/>
  <c r="H22" s="1"/>
  <c r="H20"/>
  <c r="F19"/>
  <c r="I19" s="1"/>
  <c r="E18"/>
  <c r="F18" s="1"/>
  <c r="F17"/>
  <c r="H17" s="1"/>
  <c r="F16"/>
  <c r="I16" s="1"/>
  <c r="H25" l="1"/>
  <c r="H18"/>
  <c r="I18"/>
  <c r="H16"/>
  <c r="I17"/>
  <c r="H19"/>
  <c r="H21"/>
  <c r="I22"/>
  <c r="H23"/>
  <c r="I24"/>
  <c r="I26"/>
  <c r="H27"/>
  <c r="I28"/>
  <c r="H31"/>
  <c r="I32"/>
  <c r="H40"/>
  <c r="H42"/>
  <c r="I43"/>
  <c r="H44"/>
  <c r="I47"/>
  <c r="H48"/>
  <c r="I49"/>
  <c r="H50"/>
  <c r="I51"/>
  <c r="H52"/>
  <c r="I53"/>
  <c r="I58"/>
  <c r="H59"/>
  <c r="I62"/>
  <c r="I67"/>
  <c r="H68"/>
  <c r="I69"/>
  <c r="H70"/>
  <c r="I71"/>
  <c r="H72"/>
  <c r="I84"/>
  <c r="H85"/>
  <c r="I98" l="1"/>
  <c r="F90" i="26" l="1"/>
  <c r="H90" s="1"/>
  <c r="H89"/>
  <c r="H88"/>
  <c r="F88"/>
  <c r="F85"/>
  <c r="I85" s="1"/>
  <c r="F84"/>
  <c r="H84" s="1"/>
  <c r="I82"/>
  <c r="H82"/>
  <c r="H80"/>
  <c r="I78"/>
  <c r="H78"/>
  <c r="F77"/>
  <c r="H77" s="1"/>
  <c r="H76"/>
  <c r="I75"/>
  <c r="H75"/>
  <c r="I74"/>
  <c r="H74"/>
  <c r="F72"/>
  <c r="I72" s="1"/>
  <c r="F71"/>
  <c r="H71" s="1"/>
  <c r="F70"/>
  <c r="I70" s="1"/>
  <c r="F69"/>
  <c r="H69" s="1"/>
  <c r="F68"/>
  <c r="I68" s="1"/>
  <c r="F67"/>
  <c r="H67" s="1"/>
  <c r="H66"/>
  <c r="H65"/>
  <c r="F63"/>
  <c r="H63" s="1"/>
  <c r="H62"/>
  <c r="I60"/>
  <c r="H60"/>
  <c r="F59"/>
  <c r="I59" s="1"/>
  <c r="F58"/>
  <c r="H58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H45"/>
  <c r="F44"/>
  <c r="I44" s="1"/>
  <c r="F43"/>
  <c r="H43" s="1"/>
  <c r="F42"/>
  <c r="I42" s="1"/>
  <c r="H41"/>
  <c r="F40"/>
  <c r="I40" s="1"/>
  <c r="I39"/>
  <c r="H39"/>
  <c r="H37"/>
  <c r="H36"/>
  <c r="I35"/>
  <c r="H35"/>
  <c r="I34"/>
  <c r="F33"/>
  <c r="I33" s="1"/>
  <c r="F32"/>
  <c r="H32" s="1"/>
  <c r="F31"/>
  <c r="I31" s="1"/>
  <c r="F28"/>
  <c r="H28" s="1"/>
  <c r="F27"/>
  <c r="I27" s="1"/>
  <c r="F26"/>
  <c r="H26" s="1"/>
  <c r="F25"/>
  <c r="I25" s="1"/>
  <c r="F24"/>
  <c r="H24" s="1"/>
  <c r="F23"/>
  <c r="I23" s="1"/>
  <c r="F22"/>
  <c r="H22" s="1"/>
  <c r="F21"/>
  <c r="I21" s="1"/>
  <c r="E18"/>
  <c r="F18" s="1"/>
  <c r="F17"/>
  <c r="H17" s="1"/>
  <c r="F16"/>
  <c r="I16" s="1"/>
  <c r="H93" i="19"/>
  <c r="H68" i="26" l="1"/>
  <c r="H18"/>
  <c r="I18"/>
  <c r="H16"/>
  <c r="I17"/>
  <c r="H21"/>
  <c r="I22"/>
  <c r="H23"/>
  <c r="I24"/>
  <c r="H25"/>
  <c r="I26"/>
  <c r="H27"/>
  <c r="I28"/>
  <c r="H31"/>
  <c r="I32"/>
  <c r="H33"/>
  <c r="H40"/>
  <c r="H42"/>
  <c r="I43"/>
  <c r="H44"/>
  <c r="I47"/>
  <c r="H48"/>
  <c r="I49"/>
  <c r="H50"/>
  <c r="I51"/>
  <c r="H52"/>
  <c r="I53"/>
  <c r="I58"/>
  <c r="H59"/>
  <c r="I62"/>
  <c r="I67"/>
  <c r="I69"/>
  <c r="H70"/>
  <c r="I71"/>
  <c r="H72"/>
  <c r="I84"/>
  <c r="H85"/>
  <c r="I100" l="1"/>
  <c r="F85" i="25" l="1"/>
  <c r="H85" s="1"/>
  <c r="F84"/>
  <c r="I84" s="1"/>
  <c r="I82"/>
  <c r="H82"/>
  <c r="H80"/>
  <c r="I78"/>
  <c r="H78"/>
  <c r="F77"/>
  <c r="H77" s="1"/>
  <c r="H76"/>
  <c r="I75"/>
  <c r="H75"/>
  <c r="I74"/>
  <c r="H74"/>
  <c r="F72"/>
  <c r="H72" s="1"/>
  <c r="F71"/>
  <c r="I71" s="1"/>
  <c r="F70"/>
  <c r="H70" s="1"/>
  <c r="F69"/>
  <c r="I69" s="1"/>
  <c r="F68"/>
  <c r="H68" s="1"/>
  <c r="F67"/>
  <c r="I67" s="1"/>
  <c r="H66"/>
  <c r="F63"/>
  <c r="H63" s="1"/>
  <c r="I60"/>
  <c r="H60"/>
  <c r="F59"/>
  <c r="H59" s="1"/>
  <c r="F58"/>
  <c r="I58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I45"/>
  <c r="H45"/>
  <c r="F44"/>
  <c r="H44" s="1"/>
  <c r="F43"/>
  <c r="I43" s="1"/>
  <c r="F42"/>
  <c r="H42" s="1"/>
  <c r="H41"/>
  <c r="F40"/>
  <c r="H40" s="1"/>
  <c r="I39"/>
  <c r="H39"/>
  <c r="H37"/>
  <c r="H36"/>
  <c r="I35"/>
  <c r="H35"/>
  <c r="I34"/>
  <c r="F33"/>
  <c r="H33" s="1"/>
  <c r="F32"/>
  <c r="I32" s="1"/>
  <c r="F31"/>
  <c r="H31" s="1"/>
  <c r="F28"/>
  <c r="I28" s="1"/>
  <c r="F27"/>
  <c r="H27" s="1"/>
  <c r="F26"/>
  <c r="I26" s="1"/>
  <c r="F25"/>
  <c r="I25" s="1"/>
  <c r="F24"/>
  <c r="I24" s="1"/>
  <c r="F23"/>
  <c r="H23" s="1"/>
  <c r="F22"/>
  <c r="I22" s="1"/>
  <c r="F19"/>
  <c r="H19" s="1"/>
  <c r="E18"/>
  <c r="F18" s="1"/>
  <c r="F17"/>
  <c r="I17" s="1"/>
  <c r="F16"/>
  <c r="H16" s="1"/>
  <c r="H25" l="1"/>
  <c r="I18"/>
  <c r="H18"/>
  <c r="I16"/>
  <c r="H17"/>
  <c r="I19"/>
  <c r="H22"/>
  <c r="I23"/>
  <c r="H24"/>
  <c r="H26"/>
  <c r="I27"/>
  <c r="H28"/>
  <c r="I31"/>
  <c r="H32"/>
  <c r="I33"/>
  <c r="I40"/>
  <c r="I42"/>
  <c r="H43"/>
  <c r="I44"/>
  <c r="H47"/>
  <c r="I48"/>
  <c r="H49"/>
  <c r="I50"/>
  <c r="H51"/>
  <c r="I52"/>
  <c r="H53"/>
  <c r="H58"/>
  <c r="I59"/>
  <c r="H67"/>
  <c r="I68"/>
  <c r="H69"/>
  <c r="I70"/>
  <c r="H71"/>
  <c r="I72"/>
  <c r="H84"/>
  <c r="I85"/>
  <c r="H96" i="24"/>
  <c r="H93"/>
  <c r="H92"/>
  <c r="H89"/>
  <c r="I75"/>
  <c r="I74"/>
  <c r="H95"/>
  <c r="H94"/>
  <c r="H91"/>
  <c r="H90"/>
  <c r="H88"/>
  <c r="I85"/>
  <c r="H84"/>
  <c r="I82"/>
  <c r="H82"/>
  <c r="H80"/>
  <c r="I78"/>
  <c r="H78"/>
  <c r="H77"/>
  <c r="H76"/>
  <c r="H75"/>
  <c r="H74"/>
  <c r="H72"/>
  <c r="H71"/>
  <c r="I70"/>
  <c r="H69"/>
  <c r="I68"/>
  <c r="H67"/>
  <c r="H66"/>
  <c r="H65"/>
  <c r="H63"/>
  <c r="H62"/>
  <c r="I60"/>
  <c r="H60"/>
  <c r="I59"/>
  <c r="H58"/>
  <c r="I55"/>
  <c r="H55"/>
  <c r="I54"/>
  <c r="H54"/>
  <c r="H53"/>
  <c r="I52"/>
  <c r="H51"/>
  <c r="I50"/>
  <c r="H49"/>
  <c r="I48"/>
  <c r="H47"/>
  <c r="I45"/>
  <c r="H45"/>
  <c r="I44"/>
  <c r="H43"/>
  <c r="I42"/>
  <c r="H41"/>
  <c r="I40"/>
  <c r="I39"/>
  <c r="H39"/>
  <c r="H37"/>
  <c r="H36"/>
  <c r="I35"/>
  <c r="H35"/>
  <c r="I34"/>
  <c r="I33"/>
  <c r="H32"/>
  <c r="I31"/>
  <c r="H28"/>
  <c r="I27"/>
  <c r="H26"/>
  <c r="I25"/>
  <c r="I24"/>
  <c r="I23"/>
  <c r="H22"/>
  <c r="H20"/>
  <c r="I19"/>
  <c r="H17"/>
  <c r="I16"/>
  <c r="I100" i="25" l="1"/>
  <c r="I72" i="24"/>
  <c r="H24"/>
  <c r="H18"/>
  <c r="I18"/>
  <c r="H16"/>
  <c r="I17"/>
  <c r="H19"/>
  <c r="H21"/>
  <c r="I22"/>
  <c r="H23"/>
  <c r="H25"/>
  <c r="I26"/>
  <c r="H27"/>
  <c r="I28"/>
  <c r="H31"/>
  <c r="I32"/>
  <c r="H33"/>
  <c r="H40"/>
  <c r="H42"/>
  <c r="I43"/>
  <c r="H44"/>
  <c r="I47"/>
  <c r="H48"/>
  <c r="I49"/>
  <c r="H50"/>
  <c r="I51"/>
  <c r="H52"/>
  <c r="I53"/>
  <c r="I58"/>
  <c r="H59"/>
  <c r="I62"/>
  <c r="I67"/>
  <c r="H68"/>
  <c r="I69"/>
  <c r="H70"/>
  <c r="I71"/>
  <c r="I84"/>
  <c r="I86" s="1"/>
  <c r="H85"/>
  <c r="I101" l="1"/>
  <c r="H100" i="23" l="1"/>
  <c r="H95"/>
  <c r="H94"/>
  <c r="H93"/>
  <c r="H92"/>
  <c r="H91"/>
  <c r="H90"/>
  <c r="H89"/>
  <c r="F88"/>
  <c r="H88" s="1"/>
  <c r="I82"/>
  <c r="F85"/>
  <c r="I85" s="1"/>
  <c r="F84"/>
  <c r="H84" s="1"/>
  <c r="H82"/>
  <c r="H80"/>
  <c r="I78"/>
  <c r="H78"/>
  <c r="F77"/>
  <c r="H77" s="1"/>
  <c r="H76"/>
  <c r="H75"/>
  <c r="I74"/>
  <c r="H74"/>
  <c r="F72"/>
  <c r="H72" s="1"/>
  <c r="F71"/>
  <c r="I71" s="1"/>
  <c r="F70"/>
  <c r="H70" s="1"/>
  <c r="F69"/>
  <c r="I69" s="1"/>
  <c r="F68"/>
  <c r="H68" s="1"/>
  <c r="F67"/>
  <c r="I67" s="1"/>
  <c r="H66"/>
  <c r="H65"/>
  <c r="F63"/>
  <c r="H63" s="1"/>
  <c r="I60"/>
  <c r="H60"/>
  <c r="F59"/>
  <c r="H59" s="1"/>
  <c r="F58"/>
  <c r="I58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I45"/>
  <c r="H45"/>
  <c r="F44"/>
  <c r="H44" s="1"/>
  <c r="F43"/>
  <c r="I43" s="1"/>
  <c r="F42"/>
  <c r="H42" s="1"/>
  <c r="H41"/>
  <c r="F40"/>
  <c r="H40" s="1"/>
  <c r="I39"/>
  <c r="H39"/>
  <c r="H37"/>
  <c r="H36"/>
  <c r="I35"/>
  <c r="H35"/>
  <c r="I34"/>
  <c r="F33"/>
  <c r="H33" s="1"/>
  <c r="F32"/>
  <c r="I32" s="1"/>
  <c r="F31"/>
  <c r="H31" s="1"/>
  <c r="F28"/>
  <c r="I28" s="1"/>
  <c r="F27"/>
  <c r="H27" s="1"/>
  <c r="F26"/>
  <c r="I26" s="1"/>
  <c r="F25"/>
  <c r="H25" s="1"/>
  <c r="F24"/>
  <c r="I24" s="1"/>
  <c r="F23"/>
  <c r="H23" s="1"/>
  <c r="F22"/>
  <c r="I22" s="1"/>
  <c r="F19"/>
  <c r="H19" s="1"/>
  <c r="E18"/>
  <c r="F18" s="1"/>
  <c r="F17"/>
  <c r="I17" s="1"/>
  <c r="F16"/>
  <c r="H16" s="1"/>
  <c r="H95" i="22"/>
  <c r="H94"/>
  <c r="H93"/>
  <c r="H17" i="23" l="1"/>
  <c r="H28"/>
  <c r="H24"/>
  <c r="H51"/>
  <c r="H22"/>
  <c r="H26"/>
  <c r="H32"/>
  <c r="H47"/>
  <c r="H69"/>
  <c r="H43"/>
  <c r="H49"/>
  <c r="H53"/>
  <c r="H58"/>
  <c r="H67"/>
  <c r="H71"/>
  <c r="I18"/>
  <c r="H18"/>
  <c r="I16"/>
  <c r="I19"/>
  <c r="I23"/>
  <c r="I25"/>
  <c r="I27"/>
  <c r="I31"/>
  <c r="I33"/>
  <c r="I40"/>
  <c r="I42"/>
  <c r="I44"/>
  <c r="I48"/>
  <c r="I50"/>
  <c r="I52"/>
  <c r="I59"/>
  <c r="I68"/>
  <c r="I70"/>
  <c r="I84"/>
  <c r="H85"/>
  <c r="I108" l="1"/>
  <c r="H92" i="22" l="1"/>
  <c r="H91"/>
  <c r="H90"/>
  <c r="H89"/>
  <c r="H88"/>
  <c r="I74"/>
  <c r="I65"/>
  <c r="F85"/>
  <c r="H85" s="1"/>
  <c r="F84"/>
  <c r="I84" s="1"/>
  <c r="H82"/>
  <c r="H80"/>
  <c r="I78"/>
  <c r="H78"/>
  <c r="F77"/>
  <c r="H77" s="1"/>
  <c r="H76"/>
  <c r="H75"/>
  <c r="H74"/>
  <c r="F72"/>
  <c r="H72" s="1"/>
  <c r="F71"/>
  <c r="H71" s="1"/>
  <c r="F70"/>
  <c r="I70" s="1"/>
  <c r="F69"/>
  <c r="H69" s="1"/>
  <c r="F68"/>
  <c r="I68" s="1"/>
  <c r="F67"/>
  <c r="H67" s="1"/>
  <c r="H66"/>
  <c r="H65"/>
  <c r="F63"/>
  <c r="H63" s="1"/>
  <c r="H62"/>
  <c r="I60"/>
  <c r="H60"/>
  <c r="F59"/>
  <c r="I59" s="1"/>
  <c r="F58"/>
  <c r="H58" s="1"/>
  <c r="I55"/>
  <c r="F55"/>
  <c r="H55" s="1"/>
  <c r="I54"/>
  <c r="H54"/>
  <c r="F53"/>
  <c r="H53" s="1"/>
  <c r="F52"/>
  <c r="I52" s="1"/>
  <c r="F51"/>
  <c r="I51" s="1"/>
  <c r="F50"/>
  <c r="I50" s="1"/>
  <c r="F49"/>
  <c r="I49" s="1"/>
  <c r="F48"/>
  <c r="I48" s="1"/>
  <c r="F47"/>
  <c r="H47" s="1"/>
  <c r="I45"/>
  <c r="H45"/>
  <c r="F44"/>
  <c r="I44" s="1"/>
  <c r="F43"/>
  <c r="H43" s="1"/>
  <c r="F42"/>
  <c r="I42" s="1"/>
  <c r="H41"/>
  <c r="F40"/>
  <c r="I40" s="1"/>
  <c r="I39"/>
  <c r="H39"/>
  <c r="H37"/>
  <c r="H36"/>
  <c r="I35"/>
  <c r="H35"/>
  <c r="I34"/>
  <c r="F33"/>
  <c r="I33" s="1"/>
  <c r="F32"/>
  <c r="H32" s="1"/>
  <c r="F31"/>
  <c r="I31" s="1"/>
  <c r="F28"/>
  <c r="H28" s="1"/>
  <c r="F27"/>
  <c r="I27" s="1"/>
  <c r="F26"/>
  <c r="H26" s="1"/>
  <c r="F25"/>
  <c r="I25" s="1"/>
  <c r="F24"/>
  <c r="H24" s="1"/>
  <c r="F23"/>
  <c r="I23" s="1"/>
  <c r="F22"/>
  <c r="H22" s="1"/>
  <c r="H20"/>
  <c r="F19"/>
  <c r="I19" s="1"/>
  <c r="E18"/>
  <c r="F18" s="1"/>
  <c r="F17"/>
  <c r="I17" s="1"/>
  <c r="F16"/>
  <c r="I16" s="1"/>
  <c r="F94" i="21"/>
  <c r="H94" s="1"/>
  <c r="H93"/>
  <c r="H92"/>
  <c r="F89"/>
  <c r="H89" s="1"/>
  <c r="I74"/>
  <c r="I65"/>
  <c r="H17" i="22" l="1"/>
  <c r="H84"/>
  <c r="H49"/>
  <c r="H51"/>
  <c r="H18"/>
  <c r="I18"/>
  <c r="H16"/>
  <c r="H19"/>
  <c r="H21"/>
  <c r="I22"/>
  <c r="H23"/>
  <c r="I24"/>
  <c r="H25"/>
  <c r="I26"/>
  <c r="H27"/>
  <c r="I28"/>
  <c r="H31"/>
  <c r="I32"/>
  <c r="H33"/>
  <c r="H40"/>
  <c r="H42"/>
  <c r="I43"/>
  <c r="H44"/>
  <c r="I47"/>
  <c r="H48"/>
  <c r="H50"/>
  <c r="H52"/>
  <c r="I53"/>
  <c r="I58"/>
  <c r="H59"/>
  <c r="I62"/>
  <c r="I67"/>
  <c r="H68"/>
  <c r="I69"/>
  <c r="H70"/>
  <c r="I71"/>
  <c r="I85"/>
  <c r="I98" l="1"/>
  <c r="H91" i="21"/>
  <c r="H90"/>
  <c r="F88"/>
  <c r="H88" s="1"/>
  <c r="F85"/>
  <c r="H85" s="1"/>
  <c r="F84"/>
  <c r="I84" s="1"/>
  <c r="H82"/>
  <c r="H80"/>
  <c r="I78"/>
  <c r="H78"/>
  <c r="F77"/>
  <c r="H77" s="1"/>
  <c r="H76"/>
  <c r="H75"/>
  <c r="H74"/>
  <c r="F72"/>
  <c r="H72" s="1"/>
  <c r="F71"/>
  <c r="I71" s="1"/>
  <c r="F70"/>
  <c r="H70" s="1"/>
  <c r="F69"/>
  <c r="I69" s="1"/>
  <c r="F68"/>
  <c r="H68" s="1"/>
  <c r="F67"/>
  <c r="I67" s="1"/>
  <c r="H66"/>
  <c r="H65"/>
  <c r="F63"/>
  <c r="H63" s="1"/>
  <c r="I62"/>
  <c r="I60"/>
  <c r="H60"/>
  <c r="F59"/>
  <c r="H59" s="1"/>
  <c r="F58"/>
  <c r="I58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I45"/>
  <c r="H45"/>
  <c r="F44"/>
  <c r="H44" s="1"/>
  <c r="F43"/>
  <c r="I43" s="1"/>
  <c r="F42"/>
  <c r="H42" s="1"/>
  <c r="H41"/>
  <c r="F40"/>
  <c r="H40" s="1"/>
  <c r="I39"/>
  <c r="H39"/>
  <c r="H37"/>
  <c r="H36"/>
  <c r="I35"/>
  <c r="H35"/>
  <c r="I34"/>
  <c r="F33"/>
  <c r="H33" s="1"/>
  <c r="F32"/>
  <c r="I32" s="1"/>
  <c r="F31"/>
  <c r="H31" s="1"/>
  <c r="F28"/>
  <c r="I28" s="1"/>
  <c r="F27"/>
  <c r="H27" s="1"/>
  <c r="F26"/>
  <c r="I26" s="1"/>
  <c r="F25"/>
  <c r="I25" s="1"/>
  <c r="F24"/>
  <c r="I24" s="1"/>
  <c r="F23"/>
  <c r="H23" s="1"/>
  <c r="F22"/>
  <c r="I22" s="1"/>
  <c r="H21"/>
  <c r="I20"/>
  <c r="F19"/>
  <c r="H19" s="1"/>
  <c r="E18"/>
  <c r="F18" s="1"/>
  <c r="F17"/>
  <c r="I17" s="1"/>
  <c r="F16"/>
  <c r="H16" s="1"/>
  <c r="I65" i="20"/>
  <c r="H89"/>
  <c r="F88"/>
  <c r="H88" s="1"/>
  <c r="F85"/>
  <c r="I85" s="1"/>
  <c r="F84"/>
  <c r="H84" s="1"/>
  <c r="H82"/>
  <c r="H80"/>
  <c r="I78"/>
  <c r="H78"/>
  <c r="F77"/>
  <c r="H77" s="1"/>
  <c r="H76"/>
  <c r="H75"/>
  <c r="H74"/>
  <c r="F72"/>
  <c r="H72" s="1"/>
  <c r="F71"/>
  <c r="I71" s="1"/>
  <c r="F70"/>
  <c r="H70" s="1"/>
  <c r="F69"/>
  <c r="I69" s="1"/>
  <c r="F68"/>
  <c r="H68" s="1"/>
  <c r="F67"/>
  <c r="H67" s="1"/>
  <c r="H66"/>
  <c r="H65"/>
  <c r="F63"/>
  <c r="H63" s="1"/>
  <c r="F62"/>
  <c r="I60"/>
  <c r="H60"/>
  <c r="F59"/>
  <c r="H59" s="1"/>
  <c r="F58"/>
  <c r="I58" s="1"/>
  <c r="I55"/>
  <c r="F55"/>
  <c r="H55" s="1"/>
  <c r="I54"/>
  <c r="H54"/>
  <c r="F53"/>
  <c r="I53" s="1"/>
  <c r="F52"/>
  <c r="H52" s="1"/>
  <c r="F51"/>
  <c r="I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H41"/>
  <c r="F40"/>
  <c r="H40" s="1"/>
  <c r="I39"/>
  <c r="H39"/>
  <c r="H37"/>
  <c r="H36"/>
  <c r="I35"/>
  <c r="H35"/>
  <c r="I34"/>
  <c r="F33"/>
  <c r="H33" s="1"/>
  <c r="F32"/>
  <c r="I32" s="1"/>
  <c r="F31"/>
  <c r="H31" s="1"/>
  <c r="F28"/>
  <c r="I28" s="1"/>
  <c r="F27"/>
  <c r="H27" s="1"/>
  <c r="H26"/>
  <c r="H25"/>
  <c r="H24"/>
  <c r="H23"/>
  <c r="H22"/>
  <c r="H21"/>
  <c r="E18"/>
  <c r="I18" s="1"/>
  <c r="I17"/>
  <c r="I16"/>
  <c r="H94" i="19"/>
  <c r="H92"/>
  <c r="F91"/>
  <c r="H91" s="1"/>
  <c r="F88"/>
  <c r="I88" s="1"/>
  <c r="F87"/>
  <c r="H87" s="1"/>
  <c r="H83"/>
  <c r="H81"/>
  <c r="I79"/>
  <c r="H79"/>
  <c r="F78"/>
  <c r="H78" s="1"/>
  <c r="H77"/>
  <c r="H76"/>
  <c r="H75"/>
  <c r="F73"/>
  <c r="H73" s="1"/>
  <c r="F72"/>
  <c r="H72" s="1"/>
  <c r="F71"/>
  <c r="H71" s="1"/>
  <c r="F70"/>
  <c r="H70" s="1"/>
  <c r="F69"/>
  <c r="H69" s="1"/>
  <c r="F68"/>
  <c r="H68" s="1"/>
  <c r="H67"/>
  <c r="I66"/>
  <c r="H66"/>
  <c r="F64"/>
  <c r="H64" s="1"/>
  <c r="F63"/>
  <c r="I61"/>
  <c r="H61"/>
  <c r="F60"/>
  <c r="H60" s="1"/>
  <c r="F59"/>
  <c r="I59" s="1"/>
  <c r="I57"/>
  <c r="F57"/>
  <c r="H57" s="1"/>
  <c r="I56"/>
  <c r="H56"/>
  <c r="F53"/>
  <c r="I53" s="1"/>
  <c r="F52"/>
  <c r="H52" s="1"/>
  <c r="F51"/>
  <c r="H51" s="1"/>
  <c r="F50"/>
  <c r="H50" s="1"/>
  <c r="F49"/>
  <c r="H49" s="1"/>
  <c r="H47"/>
  <c r="F46"/>
  <c r="F45"/>
  <c r="I45" s="1"/>
  <c r="F44"/>
  <c r="H44" s="1"/>
  <c r="H43"/>
  <c r="F42"/>
  <c r="H42" s="1"/>
  <c r="I41"/>
  <c r="H41"/>
  <c r="H39"/>
  <c r="H38"/>
  <c r="I37"/>
  <c r="H37"/>
  <c r="I36"/>
  <c r="F35"/>
  <c r="H35" s="1"/>
  <c r="F34"/>
  <c r="I34" s="1"/>
  <c r="F33"/>
  <c r="H33" s="1"/>
  <c r="F30"/>
  <c r="I30" s="1"/>
  <c r="F29"/>
  <c r="H29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0" i="18"/>
  <c r="I62"/>
  <c r="I56"/>
  <c r="F87"/>
  <c r="I87" s="1"/>
  <c r="F86"/>
  <c r="H86" s="1"/>
  <c r="H84"/>
  <c r="H82"/>
  <c r="H80"/>
  <c r="F79"/>
  <c r="H79" s="1"/>
  <c r="H78"/>
  <c r="H77"/>
  <c r="H76"/>
  <c r="F74"/>
  <c r="H74" s="1"/>
  <c r="F73"/>
  <c r="H73" s="1"/>
  <c r="F72"/>
  <c r="H72" s="1"/>
  <c r="F71"/>
  <c r="H71" s="1"/>
  <c r="F70"/>
  <c r="H70" s="1"/>
  <c r="F69"/>
  <c r="H69" s="1"/>
  <c r="H68"/>
  <c r="H67"/>
  <c r="F65"/>
  <c r="H65" s="1"/>
  <c r="H62"/>
  <c r="F61"/>
  <c r="H61" s="1"/>
  <c r="F60"/>
  <c r="I57"/>
  <c r="F57"/>
  <c r="H57" s="1"/>
  <c r="H56"/>
  <c r="F55"/>
  <c r="H55" s="1"/>
  <c r="F54"/>
  <c r="H54" s="1"/>
  <c r="F53"/>
  <c r="H53" s="1"/>
  <c r="F52"/>
  <c r="H52" s="1"/>
  <c r="F51"/>
  <c r="H51" s="1"/>
  <c r="F50"/>
  <c r="H50" s="1"/>
  <c r="F49"/>
  <c r="H49" s="1"/>
  <c r="H47"/>
  <c r="F46"/>
  <c r="F45"/>
  <c r="H45" s="1"/>
  <c r="F44"/>
  <c r="I44" s="1"/>
  <c r="H43"/>
  <c r="F42"/>
  <c r="I42" s="1"/>
  <c r="I41"/>
  <c r="H41"/>
  <c r="H39"/>
  <c r="H38"/>
  <c r="I37"/>
  <c r="H37"/>
  <c r="I36"/>
  <c r="F35"/>
  <c r="I35" s="1"/>
  <c r="F34"/>
  <c r="H34" s="1"/>
  <c r="F33"/>
  <c r="I33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I74" i="17"/>
  <c r="I89"/>
  <c r="F85"/>
  <c r="I85" s="1"/>
  <c r="F84"/>
  <c r="H84" s="1"/>
  <c r="H82"/>
  <c r="H80"/>
  <c r="H78"/>
  <c r="F77"/>
  <c r="H77" s="1"/>
  <c r="H76"/>
  <c r="H75"/>
  <c r="H74"/>
  <c r="F72"/>
  <c r="H72" s="1"/>
  <c r="F71"/>
  <c r="H71" s="1"/>
  <c r="F70"/>
  <c r="H70" s="1"/>
  <c r="F69"/>
  <c r="H69" s="1"/>
  <c r="F68"/>
  <c r="H68" s="1"/>
  <c r="F67"/>
  <c r="H67" s="1"/>
  <c r="H66"/>
  <c r="H65"/>
  <c r="F63"/>
  <c r="H63" s="1"/>
  <c r="H62"/>
  <c r="H60"/>
  <c r="F59"/>
  <c r="H59" s="1"/>
  <c r="H58"/>
  <c r="F58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H45"/>
  <c r="F44"/>
  <c r="F43"/>
  <c r="H43" s="1"/>
  <c r="F42"/>
  <c r="I42" s="1"/>
  <c r="H41"/>
  <c r="F40"/>
  <c r="I40" s="1"/>
  <c r="I39"/>
  <c r="H39"/>
  <c r="H37"/>
  <c r="H36"/>
  <c r="I35"/>
  <c r="H35"/>
  <c r="I34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19"/>
  <c r="H19" s="1"/>
  <c r="E18"/>
  <c r="F18" s="1"/>
  <c r="F17"/>
  <c r="H17" s="1"/>
  <c r="F16"/>
  <c r="I16" s="1"/>
  <c r="I92" i="8"/>
  <c r="F85"/>
  <c r="H85" s="1"/>
  <c r="F84"/>
  <c r="H84" s="1"/>
  <c r="H82"/>
  <c r="H80"/>
  <c r="H78"/>
  <c r="F77"/>
  <c r="H77" s="1"/>
  <c r="H76"/>
  <c r="H75"/>
  <c r="H74"/>
  <c r="F72"/>
  <c r="H72" s="1"/>
  <c r="F71"/>
  <c r="H71" s="1"/>
  <c r="F70"/>
  <c r="H70" s="1"/>
  <c r="F69"/>
  <c r="H69" s="1"/>
  <c r="F68"/>
  <c r="H68" s="1"/>
  <c r="F67"/>
  <c r="H67" s="1"/>
  <c r="H66"/>
  <c r="H65"/>
  <c r="F63"/>
  <c r="H63" s="1"/>
  <c r="I62"/>
  <c r="H60"/>
  <c r="F59"/>
  <c r="I59" s="1"/>
  <c r="F58"/>
  <c r="H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H45"/>
  <c r="F44"/>
  <c r="H44" s="1"/>
  <c r="F43"/>
  <c r="I43" s="1"/>
  <c r="F42"/>
  <c r="H42" s="1"/>
  <c r="H41"/>
  <c r="F40"/>
  <c r="H40" s="1"/>
  <c r="I39"/>
  <c r="H39"/>
  <c r="I34"/>
  <c r="I35"/>
  <c r="H37"/>
  <c r="H36"/>
  <c r="H35"/>
  <c r="F33"/>
  <c r="H33" s="1"/>
  <c r="F32"/>
  <c r="H32" s="1"/>
  <c r="F31"/>
  <c r="H31" s="1"/>
  <c r="F28"/>
  <c r="H28" s="1"/>
  <c r="F27"/>
  <c r="H27" s="1"/>
  <c r="F26"/>
  <c r="H26" s="1"/>
  <c r="F25"/>
  <c r="H25" s="1"/>
  <c r="F24"/>
  <c r="H24" s="1"/>
  <c r="F23"/>
  <c r="H23" s="1"/>
  <c r="F22"/>
  <c r="H22" s="1"/>
  <c r="H21"/>
  <c r="H20"/>
  <c r="F19"/>
  <c r="H19" s="1"/>
  <c r="E18"/>
  <c r="F18" s="1"/>
  <c r="F17"/>
  <c r="I17" s="1"/>
  <c r="F16"/>
  <c r="H16" s="1"/>
  <c r="H16" i="20" l="1"/>
  <c r="H46" i="19"/>
  <c r="I46"/>
  <c r="H33" i="17"/>
  <c r="H42"/>
  <c r="H31"/>
  <c r="H40"/>
  <c r="H44"/>
  <c r="H85"/>
  <c r="H25" i="21"/>
  <c r="I18"/>
  <c r="H18"/>
  <c r="I16"/>
  <c r="H17"/>
  <c r="I19"/>
  <c r="H20"/>
  <c r="I21"/>
  <c r="I86" s="1"/>
  <c r="I98" s="1"/>
  <c r="H22"/>
  <c r="I23"/>
  <c r="H24"/>
  <c r="H26"/>
  <c r="I27"/>
  <c r="H28"/>
  <c r="I31"/>
  <c r="H32"/>
  <c r="I33"/>
  <c r="I40"/>
  <c r="I42"/>
  <c r="H43"/>
  <c r="I44"/>
  <c r="H47"/>
  <c r="I48"/>
  <c r="H49"/>
  <c r="I50"/>
  <c r="H51"/>
  <c r="I52"/>
  <c r="H53"/>
  <c r="H58"/>
  <c r="I59"/>
  <c r="H62"/>
  <c r="H67"/>
  <c r="I68"/>
  <c r="H69"/>
  <c r="I70"/>
  <c r="H71"/>
  <c r="H84"/>
  <c r="I85"/>
  <c r="H19" i="20"/>
  <c r="H20"/>
  <c r="I26"/>
  <c r="I24"/>
  <c r="I22"/>
  <c r="I50"/>
  <c r="I48"/>
  <c r="I67"/>
  <c r="I70"/>
  <c r="I68"/>
  <c r="H69"/>
  <c r="H71"/>
  <c r="H85"/>
  <c r="I25"/>
  <c r="I23"/>
  <c r="I49"/>
  <c r="I47"/>
  <c r="H17"/>
  <c r="H18"/>
  <c r="I27"/>
  <c r="H28"/>
  <c r="I31"/>
  <c r="H32"/>
  <c r="I33"/>
  <c r="I40"/>
  <c r="I42"/>
  <c r="H43"/>
  <c r="I44"/>
  <c r="H51"/>
  <c r="I52"/>
  <c r="H53"/>
  <c r="H58"/>
  <c r="I59"/>
  <c r="H62"/>
  <c r="I84"/>
  <c r="I18" i="19"/>
  <c r="H18"/>
  <c r="I16"/>
  <c r="H17"/>
  <c r="I29"/>
  <c r="H30"/>
  <c r="I33"/>
  <c r="H34"/>
  <c r="I35"/>
  <c r="I42"/>
  <c r="I44"/>
  <c r="H45"/>
  <c r="H53"/>
  <c r="H59"/>
  <c r="I60"/>
  <c r="H63"/>
  <c r="H88"/>
  <c r="I64" i="18"/>
  <c r="H18"/>
  <c r="I18"/>
  <c r="H16"/>
  <c r="I17"/>
  <c r="H27"/>
  <c r="I30"/>
  <c r="H33"/>
  <c r="I34"/>
  <c r="H35"/>
  <c r="H42"/>
  <c r="H44"/>
  <c r="I45"/>
  <c r="H46"/>
  <c r="I53"/>
  <c r="H60"/>
  <c r="I61"/>
  <c r="I86"/>
  <c r="H87"/>
  <c r="H18" i="17"/>
  <c r="I18"/>
  <c r="H16"/>
  <c r="I17"/>
  <c r="H27"/>
  <c r="I28"/>
  <c r="I32"/>
  <c r="I43"/>
  <c r="I51"/>
  <c r="I59"/>
  <c r="I62"/>
  <c r="I84"/>
  <c r="I85" i="8"/>
  <c r="I84"/>
  <c r="H17"/>
  <c r="H59"/>
  <c r="I51"/>
  <c r="I40"/>
  <c r="I42"/>
  <c r="H43"/>
  <c r="I31"/>
  <c r="I33"/>
  <c r="I32"/>
  <c r="I28"/>
  <c r="I27"/>
  <c r="I18"/>
  <c r="H18"/>
  <c r="I16"/>
  <c r="I86" i="20" l="1"/>
  <c r="I92" s="1"/>
  <c r="I91" i="17"/>
  <c r="I117" i="19"/>
  <c r="I101" i="18"/>
  <c r="I94" i="8" l="1"/>
</calcChain>
</file>

<file path=xl/sharedStrings.xml><?xml version="1.0" encoding="utf-8"?>
<sst xmlns="http://schemas.openxmlformats.org/spreadsheetml/2006/main" count="2771" uniqueCount="283">
  <si>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</si>
  <si>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</si>
  <si>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</si>
  <si>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</si>
  <si>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</si>
  <si>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</si>
  <si>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</si>
  <si>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</si>
  <si>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</si>
  <si>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</si>
  <si>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</si>
  <si>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</si>
  <si>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</si>
  <si>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</si>
  <si>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</si>
  <si>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</si>
  <si>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</si>
  <si>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</si>
  <si>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</si>
  <si>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</si>
  <si>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</si>
  <si>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</si>
  <si>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</si>
  <si>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</si>
  <si>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</si>
  <si>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</si>
  <si>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</si>
  <si>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</si>
  <si>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</si>
  <si>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</si>
  <si>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</si>
  <si>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</si>
  <si>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</si>
  <si>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</si>
  <si>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</si>
  <si>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</si>
  <si>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</si>
  <si>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</si>
  <si>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</si>
  <si>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</si>
  <si>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</si>
  <si>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</si>
  <si>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</si>
  <si>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</si>
  <si>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</si>
  <si>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</si>
  <si>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</si>
  <si>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</si>
  <si>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</si>
  <si>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</si>
  <si>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</si>
  <si>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</si>
  <si>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</si>
  <si>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</si>
  <si>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</si>
  <si>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</si>
  <si>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</si>
  <si>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</si>
  <si>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</si>
  <si>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</si>
  <si>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</si>
  <si>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</si>
  <si>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</si>
  <si>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</si>
  <si>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</si>
  <si>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</si>
  <si>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</si>
  <si>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</si>
  <si>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</si>
  <si>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</si>
  <si>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</si>
  <si>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</si>
  <si>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</si>
  <si>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</si>
  <si>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</si>
  <si>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</si>
  <si>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</si>
  <si>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</si>
  <si>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</si>
  <si>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</si>
  <si>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</si>
  <si>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</si>
  <si>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</si>
  <si>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</si>
  <si>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</si>
  <si>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</si>
  <si>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ООО «Жилсервис»</t>
  </si>
  <si>
    <t>Влажное подметание лестничных клеток 1 этажа</t>
  </si>
  <si>
    <t>Замена ламп ДРЛ</t>
  </si>
  <si>
    <t>Смена арматуры - вентилей и клапанов обратных муфтовых диаметром до 20 мм</t>
  </si>
  <si>
    <t>генеральный директор Куканов Ю.Л.</t>
  </si>
  <si>
    <t>3м</t>
  </si>
  <si>
    <t>1 шт</t>
  </si>
  <si>
    <t>Влажное подметание лестничных клеток 2-5 этажа</t>
  </si>
  <si>
    <t>Мытье лестничных  площадок и маршей 1-5 этаж.</t>
  </si>
  <si>
    <t>Вывоз снега с придомовой территории</t>
  </si>
  <si>
    <t>Очистка водостоков от наледи</t>
  </si>
  <si>
    <t>Дератизация</t>
  </si>
  <si>
    <t>Влажная протирка перил</t>
  </si>
  <si>
    <t>Влажная протирка почтовых ящиков</t>
  </si>
  <si>
    <t>Очистка внутреннего водостока</t>
  </si>
  <si>
    <t>водосток</t>
  </si>
  <si>
    <t>Влажная протирка подоконников</t>
  </si>
  <si>
    <t>Влажная протирка отопительных приборов</t>
  </si>
  <si>
    <t>100м2</t>
  </si>
  <si>
    <t>156 раз в год</t>
  </si>
  <si>
    <t>104 раза в год</t>
  </si>
  <si>
    <t xml:space="preserve">24 раза в год 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</si>
  <si>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</si>
  <si>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</si>
  <si>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</si>
  <si>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</si>
  <si>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</si>
  <si>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</si>
  <si>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</si>
  <si>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</si>
  <si>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</si>
  <si>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</si>
  <si>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155 раз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</si>
  <si>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</si>
  <si>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</si>
  <si>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</si>
  <si>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</si>
  <si>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</si>
  <si>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 xml:space="preserve">6 раз за сезон </t>
  </si>
  <si>
    <t>100м3</t>
  </si>
  <si>
    <t>1000м3</t>
  </si>
  <si>
    <t>Вода для промывки СО</t>
  </si>
  <si>
    <t>Техническое обслуживание наружных газопроводов</t>
  </si>
  <si>
    <t>ТО внутридомового газ.оборудования</t>
  </si>
  <si>
    <t>Смена выключателей</t>
  </si>
  <si>
    <t>Смена патронов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</si>
  <si>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</si>
  <si>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</si>
  <si>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№6 по ул.Нефтяников пгт.Ярега
</t>
  </si>
  <si>
    <t>Влажная протирка шкафов для щитов и слаботочн.устройств</t>
  </si>
  <si>
    <t>Очистка урн от мусора</t>
  </si>
  <si>
    <t>50 раз за сезон</t>
  </si>
  <si>
    <t>20 раз за сезон</t>
  </si>
  <si>
    <t>Очистка края кровли от слежавшегося снега со сбрасыванием сосулек (козырьки)</t>
  </si>
  <si>
    <t>6 раз в год</t>
  </si>
  <si>
    <t>АКТ №1</t>
  </si>
  <si>
    <r>
      <t xml:space="preserve">    Собственники помещений в многоквартирном доме, расположенном по адресу: пгт.Ярега, ул.Нефтяников, д.6,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23.08.2013г. стороны, и ООО «Жилсервис», именуемое в дальнейшем "Исполнитель", в лице генерального директора Куканова 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</si>
  <si>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д.6</t>
    </r>
  </si>
  <si>
    <t>III. Содержание общего имущества МКД</t>
  </si>
  <si>
    <t>IV. Прочие услуги</t>
  </si>
  <si>
    <t>V. Прочие услуги</t>
  </si>
  <si>
    <t>Итого затраты за месяц</t>
  </si>
  <si>
    <t>155 раз в год</t>
  </si>
  <si>
    <t>Подметание территории с усовершенствованным покрытием асф.: крыльца, контейнерн пл., проезд, тротуар</t>
  </si>
  <si>
    <t>1м3</t>
  </si>
  <si>
    <t>5 раз в год</t>
  </si>
  <si>
    <t>12 раз в год</t>
  </si>
  <si>
    <t>Спуск воды после промывки СО в канализацию</t>
  </si>
  <si>
    <t>АКТ №2</t>
  </si>
  <si>
    <t>АКТ №3</t>
  </si>
  <si>
    <t>АКТ №4</t>
  </si>
  <si>
    <t>АКТ №5</t>
  </si>
  <si>
    <t>Внеплановый осмотр электросетей, армазуры и электрооборудования на лестничных клетках</t>
  </si>
  <si>
    <t>АКТ №6</t>
  </si>
  <si>
    <t>АКТ №7</t>
  </si>
  <si>
    <t>III. Прочие услуги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</si>
  <si>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</si>
  <si>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</si>
  <si>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АКТ №8</t>
  </si>
  <si>
    <t>АКТ №9</t>
  </si>
  <si>
    <t>место</t>
  </si>
  <si>
    <t>АКТ №10</t>
  </si>
  <si>
    <t>АКТ №11</t>
  </si>
  <si>
    <t>АКТ №12</t>
  </si>
  <si>
    <t>за период с 01.01.2018 г. по 31.01.2018 г.</t>
  </si>
  <si>
    <t>Очистка канализационной сети внутренней</t>
  </si>
  <si>
    <t>1м</t>
  </si>
  <si>
    <t>Закладка стены в распред.узле</t>
  </si>
  <si>
    <t>Водосчетчик ВСКМ Ду40 в комплекте с присоед.узлом</t>
  </si>
  <si>
    <t>за период с 01.02.2018 г. по 28.02.2018 г.</t>
  </si>
  <si>
    <t>за период с 01.03.2018 г. по 31.03.2018 г.</t>
  </si>
  <si>
    <t>Устройство пандуса (VI под.)</t>
  </si>
  <si>
    <t>Внеплановая проверка вентканалов</t>
  </si>
  <si>
    <t>Прочистка ливнёвки</t>
  </si>
  <si>
    <t xml:space="preserve">1 раз в месяц </t>
  </si>
  <si>
    <t>1 раз в месяц</t>
  </si>
  <si>
    <t>за период с 01.04.2018 г. по 30.04.2018 г.</t>
  </si>
  <si>
    <t>Прочистка приборов канализации</t>
  </si>
  <si>
    <t>1шт</t>
  </si>
  <si>
    <t>Смена внутренник трубопроводов на полипропиленовые PN20 Dу 25</t>
  </si>
  <si>
    <t>Колено 25-45º</t>
  </si>
  <si>
    <t>Колено 25-90º</t>
  </si>
  <si>
    <t>Муфта 25</t>
  </si>
  <si>
    <t>Муфта 25-20</t>
  </si>
  <si>
    <t>Муфта разъемная 25*3/4 ВР</t>
  </si>
  <si>
    <t>Муфта разъемная 25*3/4 НР</t>
  </si>
  <si>
    <t>Ниппель 1/2 НР</t>
  </si>
  <si>
    <t>Смена внутренник трубопроводов на полипропиленовые PN25 Dу 20</t>
  </si>
  <si>
    <t>Муфта 20</t>
  </si>
  <si>
    <t>Колено 20-45º</t>
  </si>
  <si>
    <t>Колено 20-90º</t>
  </si>
  <si>
    <t>Муфта разъемная 20*1/2 ВР</t>
  </si>
  <si>
    <t>Муфта разъемная 20*1/2 НР</t>
  </si>
  <si>
    <t>Муфта с гайкой</t>
  </si>
  <si>
    <t>Смена внутренник трубопроводов на полипропиленовые PN25 Dу 25</t>
  </si>
  <si>
    <t>Ремонт внутренних трубопроводов и стояков д=до 50 мм</t>
  </si>
  <si>
    <t>Смена мелких покрытий из листовой стали в кровляхметаллических-настенных желобов</t>
  </si>
  <si>
    <t>10м</t>
  </si>
  <si>
    <t>Ремонт силового предохранительного шкафа(со стоимостью материалов)</t>
  </si>
  <si>
    <t>Смена дверных приборов /замки навесные)</t>
  </si>
  <si>
    <t>по  необходимости</t>
  </si>
  <si>
    <t>Ремонт и регулировка доводчика (без стоимости доводчика)</t>
  </si>
  <si>
    <t>III. Проведение технических осмотров</t>
  </si>
  <si>
    <t>Смена арматуры - вентилей и клапанов обратных муфтовых диаметром до 20 мм( без материала)</t>
  </si>
  <si>
    <t>Смена досок в полах до 3 шт.в одном месте ( 7 подъезд)</t>
  </si>
  <si>
    <t>за период с 01.05.2018 г. по 31.05.2018 г.</t>
  </si>
  <si>
    <t>2. Всего за период с 01.05.2018 по 31.05.2018 выполнено работ (оказано услуг) на общую сумму: 207 899,30 руб.</t>
  </si>
  <si>
    <t>(двести семь тысяч восемьсот девяносто девять рублей 30 копеек)</t>
  </si>
  <si>
    <t>за период с 01.06.2018 г. по 30.06.2018 г.</t>
  </si>
  <si>
    <t>Перекрыть стояк ХВС</t>
  </si>
  <si>
    <t>2. Всего за период с 01.06.2018 по 30.06.2018 выполнено работ (оказано услуг) на общую сумму: 87134,50 руб.</t>
  </si>
  <si>
    <t>(восемьдесят семь тысяч сто тридцать четыре рубля 50 копеек)</t>
  </si>
  <si>
    <t>ООО «Движение»</t>
  </si>
  <si>
    <t>за период с 01.07.2018 г. по 31.07.2018 г.</t>
  </si>
  <si>
    <r>
      <t xml:space="preserve">    Собственники помещений в многоквартирном доме, расположенном по адресу: пгт.Ярега, ул.Нефтяников, д.6,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23.08.2013г. стороны, и ООО «Движение», именуемое в дальнейшем "Исполнитель", в лице генерального директора Куканова 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</si>
  <si>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Установка хомута диаметром до 50 мм</t>
  </si>
  <si>
    <t>Водоотлив из подвала электрическими (механическими) насосами (100 м3 воды)</t>
  </si>
  <si>
    <t>10 м3</t>
  </si>
  <si>
    <t>сорбент</t>
  </si>
  <si>
    <t>кг</t>
  </si>
  <si>
    <t>2. Всего за период с 01.07.2018 по 31.07.2018 выполнено работ (оказано услуг) на общую сумму: 73882,58 руб.</t>
  </si>
  <si>
    <t>(семьдесят три тысячи восемьсот восемьдесят два рубля 58 копеек)</t>
  </si>
  <si>
    <t>105м2</t>
  </si>
  <si>
    <t>2. Всего за период с 01.01.2018 по 31.01.2018 выполнено работ (оказано услуг) на общую сумму: 116358,69 руб.</t>
  </si>
  <si>
    <t>(сто шестьнадцать тысяч триста пятьдесят восемь рублей 69 копеек)</t>
  </si>
  <si>
    <t>70м2</t>
  </si>
  <si>
    <t>2. Всего за период с 01.02.2018 по 28.02.2018 выполнено работ (оказано услуг) на общую сумму: 87351,84 руб.</t>
  </si>
  <si>
    <t>(восемьдесят семь тысяч триста пятьдесят один рубль 84 копейки)</t>
  </si>
  <si>
    <t>60м2</t>
  </si>
  <si>
    <t>2. Всего за период с 01.03.2018 по 31.03.2018 выполнено работ (оказано услуг) на общую сумму: 92634,82 руб.</t>
  </si>
  <si>
    <t>(девяносто две тысячи шестьсот тридцать четыре рубля 82 копейки)</t>
  </si>
  <si>
    <t>2. Всего за период с 01.04.2018 по 30.04.2018 выполнено работ (оказано услуг) на общую сумму: 113467,25руб.</t>
  </si>
  <si>
    <t>(сто тринадцать тысяч четыреста шестьдесят семь рублей 25 копеек)</t>
  </si>
  <si>
    <t>за период с 01.08.2018 г. по 31.08.2018 г.</t>
  </si>
  <si>
    <t>Муфта 32*25</t>
  </si>
  <si>
    <t>Муфта 32*20</t>
  </si>
  <si>
    <t xml:space="preserve"> Труба АРМИР. 32х5,4 PREMIUM белая VALTEC</t>
  </si>
  <si>
    <t>м</t>
  </si>
  <si>
    <t>за период с 01.09.2018 г. по 30.09.2018 г.</t>
  </si>
  <si>
    <t>Переход чугун-пластик 110</t>
  </si>
  <si>
    <t>Манжета 110</t>
  </si>
  <si>
    <t>Патрубок компенсационный 110</t>
  </si>
  <si>
    <t>Ревизия 110</t>
  </si>
  <si>
    <t>Белизна</t>
  </si>
  <si>
    <t>Осмотр водопроводов, канализации, отопления в квартирах</t>
  </si>
  <si>
    <t>100 кв.</t>
  </si>
  <si>
    <t>2. Всего за период с 01.09.2018 по 30.09.2018 выполнено работ (оказано услуг) на общую сумму: 86888,66 руб.</t>
  </si>
  <si>
    <t>(восемьдесят шесть тысяч восемьсот восемьдесят восемь рублей 66 копеек)</t>
  </si>
  <si>
    <t>за период с 01.10.2018 г. по 31.10.2018 г.</t>
  </si>
  <si>
    <t>Смена тубопроводов ( без материалов) кв 16</t>
  </si>
  <si>
    <t>Осмотр входной площадки</t>
  </si>
  <si>
    <t>Вставили стеклопакет</t>
  </si>
  <si>
    <t>Смена полиэтиленовых канализационных труб ПП Dу 50*1000 (подвал)</t>
  </si>
  <si>
    <t>Патрубок компенсационный 50</t>
  </si>
  <si>
    <t>Переход чугун-пластик100* 50</t>
  </si>
  <si>
    <t>Отвод 50-90</t>
  </si>
  <si>
    <t>2. Всего за период с 01.10.2018 по 31.10.2018 выполнено работ (оказано услуг) на общую сумму: 93226,16 руб.</t>
  </si>
  <si>
    <t>(девяносто три тысячи двести двадцать шесть рублей 16 копеек)</t>
  </si>
  <si>
    <t>за период с 01.11.2018 г. по 30.11.2018 г.</t>
  </si>
  <si>
    <t>Внеплановый осмотр элекгросетей, арматуры и электрооборудования на чердаках и подвалах</t>
  </si>
  <si>
    <t>100шт</t>
  </si>
  <si>
    <t>Очистка вручную от снега и наледи люков каналиационных и водопроводных колодцев</t>
  </si>
  <si>
    <t>Работа ротенбергера</t>
  </si>
  <si>
    <t>час</t>
  </si>
  <si>
    <t>Внеплановый осмотр внутренней и наружной отделки здания</t>
  </si>
  <si>
    <t>Устройство стяжек цементных толщиной 20 мм</t>
  </si>
  <si>
    <t>2. Всего за период с 01.11.2018 по 30.11.2018 выполнено работ (оказано услуг) на общую сумму: 70087,15 руб.</t>
  </si>
  <si>
    <t>(семьдесят тысяч восемьдесят семь рублей 15 копеек)</t>
  </si>
  <si>
    <t>за период с 01.12.2018 г. по 31.12.2018 г.</t>
  </si>
  <si>
    <t>Монтаж светодиодного светильника наружного освещения ( под. №8)</t>
  </si>
  <si>
    <t>Внеплановый осмотр канализации в чердачных и подвальных помещениях</t>
  </si>
  <si>
    <t>2. Всего за период с 01.12.2018 по 31.12.2018 выполнено работ (оказано услуг) на общую сумму: 74949,90 руб.</t>
  </si>
  <si>
    <t>(семьдесят четыре тысячи девятьсот сорок девять рублей 90 копеек)</t>
  </si>
  <si>
    <t>ВДГО</t>
  </si>
  <si>
    <t>руб</t>
  </si>
  <si>
    <t>2. Всего за период с 01.08.2018 по 31.08.2018 выполнено работ (оказано услуг) на общую сумму: 175474,30 руб.</t>
  </si>
  <si>
    <t>(сто семьдесят пять тысяч четыреста семьдесят четыре рубля 30 копеек)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</si>
</sst>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8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17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horizontal="center" vertical="center"/>
    </xf>
    <xf numFmtId="0" fontId="14" fillId="0" borderId="0" xfId="0" applyFont="1"/>
    <xf numFmtId="4" fontId="11" fillId="4" borderId="3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/>
    </xf>
    <xf numFmtId="4" fontId="19" fillId="2" borderId="7" xfId="0" applyNumberFormat="1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19" xfId="0" applyNumberFormat="1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 wrapText="1"/>
    </xf>
    <xf numFmtId="4" fontId="11" fillId="0" borderId="20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5"/>
  <sheetViews>
    <sheetView view="pageBreakPreview" topLeftCell="A58" zoomScale="60" workbookViewId="0">
      <selection activeCell="B20" sqref="B20:I2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2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86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76" t="s">
        <v>141</v>
      </c>
      <c r="B3" s="176"/>
      <c r="C3" s="176"/>
      <c r="D3" s="176"/>
      <c r="E3" s="176"/>
      <c r="F3" s="176"/>
      <c r="G3" s="176"/>
      <c r="H3" s="176"/>
      <c r="I3" s="176"/>
      <c r="J3" s="3"/>
      <c r="K3" s="3"/>
      <c r="L3" s="3"/>
    </row>
    <row r="4" spans="1:13" ht="31.5" customHeight="1">
      <c r="A4" s="177" t="s">
        <v>134</v>
      </c>
      <c r="B4" s="177"/>
      <c r="C4" s="177"/>
      <c r="D4" s="177"/>
      <c r="E4" s="177"/>
      <c r="F4" s="177"/>
      <c r="G4" s="177"/>
      <c r="H4" s="177"/>
      <c r="I4" s="177"/>
    </row>
    <row r="5" spans="1:13" ht="15.75" customHeight="1">
      <c r="A5" s="176" t="s">
        <v>170</v>
      </c>
      <c r="B5" s="180"/>
      <c r="C5" s="180"/>
      <c r="D5" s="180"/>
      <c r="E5" s="180"/>
      <c r="F5" s="180"/>
      <c r="G5" s="180"/>
      <c r="H5" s="180"/>
      <c r="I5" s="180"/>
      <c r="J5" s="2"/>
      <c r="K5" s="2"/>
      <c r="L5" s="2"/>
      <c r="M5" s="2"/>
    </row>
    <row r="6" spans="1:13" ht="15.75" customHeight="1">
      <c r="A6" s="2"/>
      <c r="B6" s="57"/>
      <c r="C6" s="57"/>
      <c r="D6" s="57"/>
      <c r="E6" s="68"/>
      <c r="F6" s="57"/>
      <c r="G6" s="57"/>
      <c r="H6" s="68"/>
      <c r="I6" s="31">
        <v>43131</v>
      </c>
      <c r="J6" s="2"/>
      <c r="K6" s="2"/>
      <c r="L6" s="2"/>
      <c r="M6" s="2"/>
    </row>
    <row r="7" spans="1:13" ht="15.75" customHeight="1">
      <c r="B7" s="59"/>
      <c r="C7" s="59"/>
      <c r="D7" s="59"/>
      <c r="E7" s="64"/>
      <c r="F7" s="3"/>
      <c r="G7" s="3"/>
      <c r="H7" s="3"/>
      <c r="J7" s="3"/>
      <c r="K7" s="3"/>
      <c r="L7" s="3"/>
      <c r="M7" s="3"/>
    </row>
    <row r="8" spans="1:13" ht="78.75" customHeight="1">
      <c r="A8" s="178" t="s">
        <v>142</v>
      </c>
      <c r="B8" s="178"/>
      <c r="C8" s="178"/>
      <c r="D8" s="178"/>
      <c r="E8" s="178"/>
      <c r="F8" s="178"/>
      <c r="G8" s="178"/>
      <c r="H8" s="178"/>
      <c r="I8" s="17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9" t="s">
        <v>143</v>
      </c>
      <c r="B10" s="179"/>
      <c r="C10" s="179"/>
      <c r="D10" s="179"/>
      <c r="E10" s="179"/>
      <c r="F10" s="179"/>
      <c r="G10" s="179"/>
      <c r="H10" s="179"/>
      <c r="I10" s="17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81" t="s">
        <v>59</v>
      </c>
      <c r="B14" s="181"/>
      <c r="C14" s="181"/>
      <c r="D14" s="181"/>
      <c r="E14" s="181"/>
      <c r="F14" s="181"/>
      <c r="G14" s="181"/>
      <c r="H14" s="181"/>
      <c r="I14" s="181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0">
        <v>1</v>
      </c>
      <c r="B16" s="79" t="s">
        <v>87</v>
      </c>
      <c r="C16" s="80" t="s">
        <v>104</v>
      </c>
      <c r="D16" s="79" t="s">
        <v>105</v>
      </c>
      <c r="E16" s="81">
        <v>164.38</v>
      </c>
      <c r="F16" s="82">
        <f>SUM(E16*156/100)</f>
        <v>256.43279999999999</v>
      </c>
      <c r="G16" s="82">
        <v>175.38</v>
      </c>
      <c r="H16" s="83">
        <f t="shared" ref="H16:H28" si="0">SUM(F16*G16/1000)</f>
        <v>44.973184463999999</v>
      </c>
      <c r="I16" s="13">
        <f>F16/12*G16</f>
        <v>3747.7653719999998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93</v>
      </c>
      <c r="C17" s="80" t="s">
        <v>104</v>
      </c>
      <c r="D17" s="79" t="s">
        <v>106</v>
      </c>
      <c r="E17" s="81">
        <v>657.52</v>
      </c>
      <c r="F17" s="82">
        <f>SUM(E17*104/100)</f>
        <v>683.82079999999996</v>
      </c>
      <c r="G17" s="82">
        <v>175.38</v>
      </c>
      <c r="H17" s="83">
        <f t="shared" si="0"/>
        <v>119.928491904</v>
      </c>
      <c r="I17" s="13">
        <f>F17/12*G17</f>
        <v>9994.0409919999984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94</v>
      </c>
      <c r="C18" s="80" t="s">
        <v>104</v>
      </c>
      <c r="D18" s="79" t="s">
        <v>107</v>
      </c>
      <c r="E18" s="81">
        <f>SUM(E16+E17)</f>
        <v>821.9</v>
      </c>
      <c r="F18" s="82">
        <f>SUM(E18*24/100)</f>
        <v>197.25599999999997</v>
      </c>
      <c r="G18" s="82">
        <v>504.5</v>
      </c>
      <c r="H18" s="83">
        <f t="shared" si="0"/>
        <v>99.515651999999989</v>
      </c>
      <c r="I18" s="13">
        <f>F18/12*G18</f>
        <v>8292.9709999999995</v>
      </c>
      <c r="J18" s="23"/>
      <c r="K18" s="8"/>
      <c r="L18" s="8"/>
      <c r="M18" s="8"/>
    </row>
    <row r="19" spans="1:13" ht="18.75" hidden="1" customHeight="1">
      <c r="A19" s="30"/>
      <c r="B19" s="79" t="s">
        <v>108</v>
      </c>
      <c r="C19" s="80" t="s">
        <v>109</v>
      </c>
      <c r="D19" s="79" t="s">
        <v>110</v>
      </c>
      <c r="E19" s="81">
        <v>51.2</v>
      </c>
      <c r="F19" s="82">
        <f>SUM(E19/10)</f>
        <v>5.12</v>
      </c>
      <c r="G19" s="82">
        <v>170.16</v>
      </c>
      <c r="H19" s="83">
        <f t="shared" si="0"/>
        <v>0.87121919999999997</v>
      </c>
      <c r="I19" s="13">
        <v>0</v>
      </c>
      <c r="J19" s="23"/>
      <c r="K19" s="8"/>
      <c r="L19" s="8"/>
      <c r="M19" s="8"/>
    </row>
    <row r="20" spans="1:13" ht="18.75" customHeight="1">
      <c r="A20" s="30">
        <v>4</v>
      </c>
      <c r="B20" s="79" t="s">
        <v>98</v>
      </c>
      <c r="C20" s="80" t="s">
        <v>104</v>
      </c>
      <c r="D20" s="79" t="s">
        <v>53</v>
      </c>
      <c r="E20" s="81">
        <v>58.4</v>
      </c>
      <c r="F20" s="82">
        <v>6.9</v>
      </c>
      <c r="G20" s="136">
        <v>193.55</v>
      </c>
      <c r="H20" s="83">
        <f t="shared" si="0"/>
        <v>1.3354950000000001</v>
      </c>
      <c r="I20" s="13">
        <f>G20*F20/12</f>
        <v>111.29125000000001</v>
      </c>
      <c r="J20" s="23"/>
      <c r="K20" s="8"/>
      <c r="L20" s="8"/>
      <c r="M20" s="8"/>
    </row>
    <row r="21" spans="1:13" ht="21" customHeight="1">
      <c r="A21" s="30">
        <v>5</v>
      </c>
      <c r="B21" s="79" t="s">
        <v>99</v>
      </c>
      <c r="C21" s="80" t="s">
        <v>104</v>
      </c>
      <c r="D21" s="79" t="s">
        <v>53</v>
      </c>
      <c r="E21" s="81">
        <v>13.41</v>
      </c>
      <c r="F21" s="82">
        <v>1.61</v>
      </c>
      <c r="G21" s="136">
        <v>191.98</v>
      </c>
      <c r="H21" s="83">
        <f t="shared" si="0"/>
        <v>0.30908780000000002</v>
      </c>
      <c r="I21" s="13">
        <f>G21*F21/12</f>
        <v>25.757316666666668</v>
      </c>
      <c r="J21" s="23"/>
      <c r="K21" s="8"/>
      <c r="L21" s="8"/>
      <c r="M21" s="8"/>
    </row>
    <row r="22" spans="1:13" ht="18.75" hidden="1" customHeight="1">
      <c r="A22" s="30"/>
      <c r="B22" s="79" t="s">
        <v>111</v>
      </c>
      <c r="C22" s="80" t="s">
        <v>52</v>
      </c>
      <c r="D22" s="79" t="s">
        <v>110</v>
      </c>
      <c r="E22" s="81">
        <v>1025.5999999999999</v>
      </c>
      <c r="F22" s="82">
        <f>SUM(E22/100)</f>
        <v>10.255999999999998</v>
      </c>
      <c r="G22" s="82">
        <v>269.26</v>
      </c>
      <c r="H22" s="83">
        <f t="shared" si="0"/>
        <v>2.7615305599999997</v>
      </c>
      <c r="I22" s="13">
        <v>0</v>
      </c>
      <c r="J22" s="23"/>
      <c r="K22" s="8"/>
      <c r="L22" s="8"/>
      <c r="M22" s="8"/>
    </row>
    <row r="23" spans="1:13" ht="17.25" hidden="1" customHeight="1">
      <c r="A23" s="30"/>
      <c r="B23" s="79" t="s">
        <v>112</v>
      </c>
      <c r="C23" s="80" t="s">
        <v>52</v>
      </c>
      <c r="D23" s="79" t="s">
        <v>110</v>
      </c>
      <c r="E23" s="84">
        <v>60.5</v>
      </c>
      <c r="F23" s="82">
        <f>SUM(E23/100)</f>
        <v>0.60499999999999998</v>
      </c>
      <c r="G23" s="82">
        <v>44.29</v>
      </c>
      <c r="H23" s="83">
        <f t="shared" si="0"/>
        <v>2.6795449999999998E-2</v>
      </c>
      <c r="I23" s="13">
        <v>0</v>
      </c>
      <c r="J23" s="23"/>
      <c r="K23" s="8"/>
      <c r="L23" s="8"/>
      <c r="M23" s="8"/>
    </row>
    <row r="24" spans="1:13" ht="20.25" hidden="1" customHeight="1">
      <c r="A24" s="30"/>
      <c r="B24" s="79" t="s">
        <v>102</v>
      </c>
      <c r="C24" s="80" t="s">
        <v>52</v>
      </c>
      <c r="D24" s="79" t="s">
        <v>53</v>
      </c>
      <c r="E24" s="85">
        <v>19.149999999999999</v>
      </c>
      <c r="F24" s="82">
        <f>E24/100</f>
        <v>0.19149999999999998</v>
      </c>
      <c r="G24" s="82">
        <v>389.42</v>
      </c>
      <c r="H24" s="83">
        <f>G24*F24/100</f>
        <v>0.74573929999999988</v>
      </c>
      <c r="I24" s="13">
        <v>0</v>
      </c>
      <c r="J24" s="23"/>
      <c r="K24" s="8"/>
      <c r="L24" s="8"/>
      <c r="M24" s="8"/>
    </row>
    <row r="25" spans="1:13" ht="19.5" hidden="1" customHeight="1">
      <c r="A25" s="40">
        <v>6</v>
      </c>
      <c r="B25" s="79" t="s">
        <v>135</v>
      </c>
      <c r="C25" s="80" t="s">
        <v>52</v>
      </c>
      <c r="D25" s="79" t="s">
        <v>53</v>
      </c>
      <c r="E25" s="86">
        <v>31.5</v>
      </c>
      <c r="F25" s="82">
        <f>E25/100</f>
        <v>0.315</v>
      </c>
      <c r="G25" s="82">
        <v>216.12</v>
      </c>
      <c r="H25" s="83">
        <f>G25*F25/1000</f>
        <v>6.8077799999999994E-2</v>
      </c>
      <c r="I25" s="13">
        <v>0</v>
      </c>
      <c r="J25" s="23"/>
      <c r="K25" s="8"/>
      <c r="L25" s="8"/>
      <c r="M25" s="8"/>
    </row>
    <row r="26" spans="1:13" ht="18" hidden="1" customHeight="1">
      <c r="A26" s="40"/>
      <c r="B26" s="79" t="s">
        <v>103</v>
      </c>
      <c r="C26" s="80" t="s">
        <v>52</v>
      </c>
      <c r="D26" s="79" t="s">
        <v>53</v>
      </c>
      <c r="E26" s="81">
        <v>37.5</v>
      </c>
      <c r="F26" s="82">
        <f>SUM(E26/100)</f>
        <v>0.375</v>
      </c>
      <c r="G26" s="82">
        <v>520.79999999999995</v>
      </c>
      <c r="H26" s="83">
        <f t="shared" si="0"/>
        <v>0.19529999999999997</v>
      </c>
      <c r="I26" s="13">
        <v>0</v>
      </c>
      <c r="J26" s="23"/>
      <c r="K26" s="8"/>
      <c r="L26" s="8"/>
      <c r="M26" s="8"/>
    </row>
    <row r="27" spans="1:13" ht="15.75" customHeight="1">
      <c r="A27" s="40">
        <v>6</v>
      </c>
      <c r="B27" s="79" t="s">
        <v>64</v>
      </c>
      <c r="C27" s="80" t="s">
        <v>33</v>
      </c>
      <c r="D27" s="79"/>
      <c r="E27" s="81">
        <v>0.1</v>
      </c>
      <c r="F27" s="82">
        <f>SUM(E27*365)</f>
        <v>36.5</v>
      </c>
      <c r="G27" s="82">
        <v>147.03</v>
      </c>
      <c r="H27" s="83">
        <f t="shared" si="0"/>
        <v>5.3665950000000002</v>
      </c>
      <c r="I27" s="13">
        <f>F27/12*G27</f>
        <v>447.21625</v>
      </c>
      <c r="J27" s="23"/>
      <c r="K27" s="8"/>
      <c r="L27" s="8"/>
      <c r="M27" s="8"/>
    </row>
    <row r="28" spans="1:13" ht="15.75" customHeight="1">
      <c r="A28" s="40">
        <v>7</v>
      </c>
      <c r="B28" s="87" t="s">
        <v>23</v>
      </c>
      <c r="C28" s="80" t="s">
        <v>24</v>
      </c>
      <c r="D28" s="79"/>
      <c r="E28" s="81">
        <v>5836.1</v>
      </c>
      <c r="F28" s="82">
        <f>SUM(E28*12)</f>
        <v>70033.200000000012</v>
      </c>
      <c r="G28" s="82">
        <v>3.33</v>
      </c>
      <c r="H28" s="83">
        <f t="shared" si="0"/>
        <v>233.21055600000005</v>
      </c>
      <c r="I28" s="13">
        <f>F28/12*G28</f>
        <v>19434.213000000003</v>
      </c>
      <c r="J28" s="23"/>
      <c r="K28" s="8"/>
      <c r="L28" s="8"/>
      <c r="M28" s="8"/>
    </row>
    <row r="29" spans="1:13" ht="15.75" customHeight="1">
      <c r="A29" s="182" t="s">
        <v>85</v>
      </c>
      <c r="B29" s="182"/>
      <c r="C29" s="182"/>
      <c r="D29" s="182"/>
      <c r="E29" s="182"/>
      <c r="F29" s="182"/>
      <c r="G29" s="182"/>
      <c r="H29" s="182"/>
      <c r="I29" s="182"/>
      <c r="J29" s="23"/>
      <c r="K29" s="8"/>
      <c r="L29" s="8"/>
      <c r="M29" s="8"/>
    </row>
    <row r="30" spans="1:13" ht="15.75" hidden="1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9"/>
      <c r="J30" s="23"/>
      <c r="K30" s="8"/>
      <c r="L30" s="8"/>
      <c r="M30" s="8"/>
    </row>
    <row r="31" spans="1:13" ht="15.75" hidden="1" customHeight="1">
      <c r="A31" s="40">
        <v>2</v>
      </c>
      <c r="B31" s="79" t="s">
        <v>113</v>
      </c>
      <c r="C31" s="80" t="s">
        <v>114</v>
      </c>
      <c r="D31" s="79" t="s">
        <v>115</v>
      </c>
      <c r="E31" s="82">
        <v>659.5</v>
      </c>
      <c r="F31" s="82">
        <f>SUM(E31*52/1000)</f>
        <v>34.293999999999997</v>
      </c>
      <c r="G31" s="82">
        <v>155.88999999999999</v>
      </c>
      <c r="H31" s="83">
        <f t="shared" ref="H31:H33" si="1">SUM(F31*G31/1000)</f>
        <v>5.346091659999999</v>
      </c>
      <c r="I31" s="13">
        <f>F31/6*G31</f>
        <v>891.01527666666652</v>
      </c>
      <c r="J31" s="23"/>
      <c r="K31" s="8"/>
      <c r="L31" s="8"/>
      <c r="M31" s="8"/>
    </row>
    <row r="32" spans="1:13" ht="31.5" hidden="1" customHeight="1">
      <c r="A32" s="40">
        <v>3</v>
      </c>
      <c r="B32" s="79" t="s">
        <v>149</v>
      </c>
      <c r="C32" s="80" t="s">
        <v>114</v>
      </c>
      <c r="D32" s="79" t="s">
        <v>116</v>
      </c>
      <c r="E32" s="82">
        <v>567.9</v>
      </c>
      <c r="F32" s="82">
        <f>SUM(E32*78/1000)</f>
        <v>44.296199999999999</v>
      </c>
      <c r="G32" s="82">
        <v>258.63</v>
      </c>
      <c r="H32" s="83">
        <f t="shared" si="1"/>
        <v>11.456326206</v>
      </c>
      <c r="I32" s="13">
        <f t="shared" ref="I32:I35" si="2">F32/6*G32</f>
        <v>1909.3877009999999</v>
      </c>
      <c r="J32" s="23"/>
      <c r="K32" s="8"/>
      <c r="L32" s="8"/>
      <c r="M32" s="8"/>
    </row>
    <row r="33" spans="1:14" ht="15.75" hidden="1" customHeight="1">
      <c r="A33" s="40">
        <v>4</v>
      </c>
      <c r="B33" s="79" t="s">
        <v>27</v>
      </c>
      <c r="C33" s="80" t="s">
        <v>114</v>
      </c>
      <c r="D33" s="79" t="s">
        <v>53</v>
      </c>
      <c r="E33" s="82">
        <v>659.5</v>
      </c>
      <c r="F33" s="82">
        <f>SUM(E33/1000)</f>
        <v>0.65949999999999998</v>
      </c>
      <c r="G33" s="82">
        <v>3020.33</v>
      </c>
      <c r="H33" s="83">
        <f t="shared" si="1"/>
        <v>1.9919076349999998</v>
      </c>
      <c r="I33" s="13">
        <f>F33*G33</f>
        <v>1991.9076349999998</v>
      </c>
      <c r="J33" s="23"/>
      <c r="K33" s="8"/>
      <c r="L33" s="8"/>
      <c r="M33" s="8"/>
    </row>
    <row r="34" spans="1:14" ht="15.75" hidden="1" customHeight="1">
      <c r="A34" s="40"/>
      <c r="B34" s="79" t="s">
        <v>136</v>
      </c>
      <c r="C34" s="80" t="s">
        <v>39</v>
      </c>
      <c r="D34" s="79" t="s">
        <v>148</v>
      </c>
      <c r="E34" s="82">
        <v>8</v>
      </c>
      <c r="F34" s="82">
        <v>12.4</v>
      </c>
      <c r="G34" s="82">
        <v>1302.02</v>
      </c>
      <c r="H34" s="83">
        <v>16.145</v>
      </c>
      <c r="I34" s="13">
        <f t="shared" si="2"/>
        <v>2690.8413333333338</v>
      </c>
      <c r="J34" s="23"/>
      <c r="K34" s="8"/>
      <c r="L34" s="8"/>
      <c r="M34" s="8"/>
    </row>
    <row r="35" spans="1:14" ht="15.75" hidden="1" customHeight="1">
      <c r="A35" s="40">
        <v>5</v>
      </c>
      <c r="B35" s="79" t="s">
        <v>117</v>
      </c>
      <c r="C35" s="80" t="s">
        <v>30</v>
      </c>
      <c r="D35" s="79" t="s">
        <v>63</v>
      </c>
      <c r="E35" s="88">
        <v>0.33</v>
      </c>
      <c r="F35" s="82">
        <v>51.666666666666664</v>
      </c>
      <c r="G35" s="82">
        <v>56.69</v>
      </c>
      <c r="H35" s="83">
        <f>SUM(G35*155/3/1000)</f>
        <v>2.9289833333333331</v>
      </c>
      <c r="I35" s="13">
        <f t="shared" si="2"/>
        <v>488.16388888888883</v>
      </c>
      <c r="J35" s="23"/>
      <c r="K35" s="8"/>
    </row>
    <row r="36" spans="1:14" ht="15.75" hidden="1" customHeight="1">
      <c r="A36" s="40">
        <v>4</v>
      </c>
      <c r="B36" s="79" t="s">
        <v>65</v>
      </c>
      <c r="C36" s="80" t="s">
        <v>33</v>
      </c>
      <c r="D36" s="79" t="s">
        <v>67</v>
      </c>
      <c r="E36" s="81"/>
      <c r="F36" s="82">
        <v>4</v>
      </c>
      <c r="G36" s="82">
        <v>191.32</v>
      </c>
      <c r="H36" s="83">
        <f t="shared" ref="H36:H37" si="3">SUM(F36*G36/1000)</f>
        <v>0.76527999999999996</v>
      </c>
      <c r="I36" s="13">
        <v>0</v>
      </c>
      <c r="J36" s="24"/>
    </row>
    <row r="37" spans="1:14" ht="15.75" hidden="1" customHeight="1">
      <c r="A37" s="30">
        <v>8</v>
      </c>
      <c r="B37" s="79" t="s">
        <v>66</v>
      </c>
      <c r="C37" s="80" t="s">
        <v>32</v>
      </c>
      <c r="D37" s="79" t="s">
        <v>67</v>
      </c>
      <c r="E37" s="81"/>
      <c r="F37" s="82">
        <v>3</v>
      </c>
      <c r="G37" s="82">
        <v>1136.32</v>
      </c>
      <c r="H37" s="83">
        <f t="shared" si="3"/>
        <v>3.40896</v>
      </c>
      <c r="I37" s="13">
        <v>0</v>
      </c>
      <c r="J37" s="24"/>
    </row>
    <row r="38" spans="1:14" ht="15.75" customHeight="1">
      <c r="A38" s="40"/>
      <c r="B38" s="48" t="s">
        <v>5</v>
      </c>
      <c r="C38" s="48"/>
      <c r="D38" s="48"/>
      <c r="E38" s="48"/>
      <c r="F38" s="13"/>
      <c r="G38" s="14"/>
      <c r="H38" s="14"/>
      <c r="I38" s="19"/>
      <c r="J38" s="24"/>
    </row>
    <row r="39" spans="1:14" ht="15.75" customHeight="1">
      <c r="A39" s="33">
        <v>8</v>
      </c>
      <c r="B39" s="79" t="s">
        <v>26</v>
      </c>
      <c r="C39" s="80" t="s">
        <v>32</v>
      </c>
      <c r="D39" s="79"/>
      <c r="E39" s="81"/>
      <c r="F39" s="82">
        <v>10</v>
      </c>
      <c r="G39" s="82">
        <v>1527.22</v>
      </c>
      <c r="H39" s="83">
        <f t="shared" ref="H39:H45" si="4">SUM(F39*G39/1000)</f>
        <v>15.272200000000002</v>
      </c>
      <c r="I39" s="13">
        <f>F39/6*G39</f>
        <v>2545.3666666666668</v>
      </c>
      <c r="J39" s="24"/>
    </row>
    <row r="40" spans="1:14" ht="15.75" customHeight="1">
      <c r="A40" s="33">
        <v>9</v>
      </c>
      <c r="B40" s="79" t="s">
        <v>68</v>
      </c>
      <c r="C40" s="80" t="s">
        <v>29</v>
      </c>
      <c r="D40" s="79" t="s">
        <v>137</v>
      </c>
      <c r="E40" s="82">
        <v>567.9</v>
      </c>
      <c r="F40" s="82">
        <f>SUM(E40*50/1000)</f>
        <v>28.395</v>
      </c>
      <c r="G40" s="82">
        <v>2102.71</v>
      </c>
      <c r="H40" s="83">
        <f t="shared" si="4"/>
        <v>59.706450449999998</v>
      </c>
      <c r="I40" s="13">
        <f>F40/6*G40</f>
        <v>9951.0750750000007</v>
      </c>
      <c r="J40" s="24"/>
    </row>
    <row r="41" spans="1:14" ht="15.75" hidden="1" customHeight="1">
      <c r="A41" s="33">
        <v>8</v>
      </c>
      <c r="B41" s="79" t="s">
        <v>95</v>
      </c>
      <c r="C41" s="80" t="s">
        <v>150</v>
      </c>
      <c r="D41" s="79" t="s">
        <v>67</v>
      </c>
      <c r="E41" s="81"/>
      <c r="F41" s="82">
        <v>66</v>
      </c>
      <c r="G41" s="82">
        <v>213.2</v>
      </c>
      <c r="H41" s="83">
        <f t="shared" si="4"/>
        <v>14.071199999999999</v>
      </c>
      <c r="I41" s="13">
        <v>0</v>
      </c>
      <c r="J41" s="24"/>
    </row>
    <row r="42" spans="1:14" ht="15.75" customHeight="1">
      <c r="A42" s="33">
        <v>10</v>
      </c>
      <c r="B42" s="79" t="s">
        <v>69</v>
      </c>
      <c r="C42" s="80" t="s">
        <v>29</v>
      </c>
      <c r="D42" s="79" t="s">
        <v>118</v>
      </c>
      <c r="E42" s="82">
        <v>108</v>
      </c>
      <c r="F42" s="82">
        <f>SUM(E42*155/1000)</f>
        <v>16.739999999999998</v>
      </c>
      <c r="G42" s="82">
        <v>350.75</v>
      </c>
      <c r="H42" s="83">
        <f t="shared" si="4"/>
        <v>5.871554999999999</v>
      </c>
      <c r="I42" s="13">
        <f>F42/6*G42</f>
        <v>978.59249999999986</v>
      </c>
      <c r="J42" s="24"/>
    </row>
    <row r="43" spans="1:14" ht="47.25" customHeight="1">
      <c r="A43" s="33">
        <v>11</v>
      </c>
      <c r="B43" s="79" t="s">
        <v>84</v>
      </c>
      <c r="C43" s="80" t="s">
        <v>114</v>
      </c>
      <c r="D43" s="79" t="s">
        <v>138</v>
      </c>
      <c r="E43" s="82">
        <v>108</v>
      </c>
      <c r="F43" s="82">
        <f>SUM(E43*20/1000)</f>
        <v>2.16</v>
      </c>
      <c r="G43" s="82">
        <v>5803.28</v>
      </c>
      <c r="H43" s="83">
        <f t="shared" si="4"/>
        <v>12.5350848</v>
      </c>
      <c r="I43" s="13">
        <f>F43/6*G43</f>
        <v>2089.1808000000001</v>
      </c>
      <c r="J43" s="24"/>
    </row>
    <row r="44" spans="1:14" ht="15.75" customHeight="1">
      <c r="A44" s="33">
        <v>12</v>
      </c>
      <c r="B44" s="79" t="s">
        <v>119</v>
      </c>
      <c r="C44" s="80" t="s">
        <v>114</v>
      </c>
      <c r="D44" s="79" t="s">
        <v>70</v>
      </c>
      <c r="E44" s="82">
        <v>108</v>
      </c>
      <c r="F44" s="82">
        <f>SUM(E44*45/1000)</f>
        <v>4.8600000000000003</v>
      </c>
      <c r="G44" s="82">
        <v>428.7</v>
      </c>
      <c r="H44" s="83">
        <f t="shared" si="4"/>
        <v>2.0834820000000001</v>
      </c>
      <c r="I44" s="13">
        <f>F44/7.5*G44</f>
        <v>277.79759999999999</v>
      </c>
      <c r="J44" s="24"/>
      <c r="L44" s="20"/>
      <c r="M44" s="21"/>
      <c r="N44" s="22"/>
    </row>
    <row r="45" spans="1:14" ht="15.75" customHeight="1">
      <c r="A45" s="33">
        <v>13</v>
      </c>
      <c r="B45" s="79" t="s">
        <v>71</v>
      </c>
      <c r="C45" s="80" t="s">
        <v>33</v>
      </c>
      <c r="D45" s="79"/>
      <c r="E45" s="81"/>
      <c r="F45" s="82">
        <v>0.9</v>
      </c>
      <c r="G45" s="82">
        <v>798</v>
      </c>
      <c r="H45" s="83">
        <f t="shared" si="4"/>
        <v>0.71820000000000006</v>
      </c>
      <c r="I45" s="13">
        <f>F45/7.5*G45</f>
        <v>95.76</v>
      </c>
      <c r="J45" s="24"/>
      <c r="L45" s="20"/>
      <c r="M45" s="21"/>
      <c r="N45" s="22"/>
    </row>
    <row r="46" spans="1:14" ht="15.75" customHeight="1">
      <c r="A46" s="183" t="s">
        <v>144</v>
      </c>
      <c r="B46" s="184"/>
      <c r="C46" s="184"/>
      <c r="D46" s="184"/>
      <c r="E46" s="184"/>
      <c r="F46" s="184"/>
      <c r="G46" s="184"/>
      <c r="H46" s="184"/>
      <c r="I46" s="185"/>
      <c r="J46" s="24"/>
      <c r="L46" s="20"/>
      <c r="M46" s="21"/>
      <c r="N46" s="22"/>
    </row>
    <row r="47" spans="1:14" ht="15.75" hidden="1" customHeight="1">
      <c r="A47" s="40">
        <v>15</v>
      </c>
      <c r="B47" s="79" t="s">
        <v>120</v>
      </c>
      <c r="C47" s="80" t="s">
        <v>114</v>
      </c>
      <c r="D47" s="79" t="s">
        <v>41</v>
      </c>
      <c r="E47" s="81">
        <v>1571.3</v>
      </c>
      <c r="F47" s="82">
        <f>SUM(E47*2/1000)</f>
        <v>3.1425999999999998</v>
      </c>
      <c r="G47" s="13">
        <v>849.49</v>
      </c>
      <c r="H47" s="83">
        <f t="shared" ref="H47:H55" si="5">SUM(F47*G47/1000)</f>
        <v>2.6696072740000001</v>
      </c>
      <c r="I47" s="13">
        <v>0</v>
      </c>
      <c r="J47" s="24"/>
      <c r="L47" s="20"/>
      <c r="M47" s="21"/>
      <c r="N47" s="22"/>
    </row>
    <row r="48" spans="1:14" ht="15.75" hidden="1" customHeight="1">
      <c r="A48" s="40"/>
      <c r="B48" s="79" t="s">
        <v>34</v>
      </c>
      <c r="C48" s="80" t="s">
        <v>114</v>
      </c>
      <c r="D48" s="79" t="s">
        <v>41</v>
      </c>
      <c r="E48" s="81">
        <v>92.8</v>
      </c>
      <c r="F48" s="82">
        <f>SUM(E48*2/1000)</f>
        <v>0.18559999999999999</v>
      </c>
      <c r="G48" s="13">
        <v>579.48</v>
      </c>
      <c r="H48" s="83">
        <f t="shared" si="5"/>
        <v>0.10755148799999999</v>
      </c>
      <c r="I48" s="13">
        <v>0</v>
      </c>
      <c r="J48" s="24"/>
      <c r="L48" s="20"/>
      <c r="M48" s="21"/>
      <c r="N48" s="22"/>
    </row>
    <row r="49" spans="1:14" ht="15.75" hidden="1" customHeight="1">
      <c r="A49" s="40">
        <v>16</v>
      </c>
      <c r="B49" s="79" t="s">
        <v>35</v>
      </c>
      <c r="C49" s="80" t="s">
        <v>114</v>
      </c>
      <c r="D49" s="79" t="s">
        <v>41</v>
      </c>
      <c r="E49" s="81">
        <v>4737.7</v>
      </c>
      <c r="F49" s="82">
        <f>SUM(E49*2/1000)</f>
        <v>9.4754000000000005</v>
      </c>
      <c r="G49" s="13">
        <v>579.48</v>
      </c>
      <c r="H49" s="83">
        <f t="shared" si="5"/>
        <v>5.4908047920000005</v>
      </c>
      <c r="I49" s="13">
        <v>0</v>
      </c>
      <c r="J49" s="24"/>
      <c r="L49" s="20"/>
      <c r="M49" s="21"/>
      <c r="N49" s="22"/>
    </row>
    <row r="50" spans="1:14" ht="15.75" hidden="1" customHeight="1">
      <c r="A50" s="40">
        <v>17</v>
      </c>
      <c r="B50" s="79" t="s">
        <v>36</v>
      </c>
      <c r="C50" s="80" t="s">
        <v>114</v>
      </c>
      <c r="D50" s="79" t="s">
        <v>41</v>
      </c>
      <c r="E50" s="81">
        <v>2811.99</v>
      </c>
      <c r="F50" s="82">
        <f>SUM(E50*2/1000)</f>
        <v>5.6239799999999995</v>
      </c>
      <c r="G50" s="13">
        <v>606.77</v>
      </c>
      <c r="H50" s="83">
        <f t="shared" si="5"/>
        <v>3.4124623445999998</v>
      </c>
      <c r="I50" s="13">
        <v>0</v>
      </c>
      <c r="J50" s="24"/>
      <c r="L50" s="20"/>
      <c r="M50" s="21"/>
      <c r="N50" s="22"/>
    </row>
    <row r="51" spans="1:14" ht="15.75" customHeight="1">
      <c r="A51" s="40">
        <v>14</v>
      </c>
      <c r="B51" s="79" t="s">
        <v>56</v>
      </c>
      <c r="C51" s="80" t="s">
        <v>114</v>
      </c>
      <c r="D51" s="79" t="s">
        <v>151</v>
      </c>
      <c r="E51" s="81">
        <v>1571.3</v>
      </c>
      <c r="F51" s="82">
        <f>SUM(E51*5/1000)</f>
        <v>7.8564999999999996</v>
      </c>
      <c r="G51" s="13">
        <v>1213.55</v>
      </c>
      <c r="H51" s="83">
        <f t="shared" si="5"/>
        <v>9.5342555749999995</v>
      </c>
      <c r="I51" s="13">
        <f>F51/5*G51</f>
        <v>1906.8511149999999</v>
      </c>
      <c r="J51" s="24"/>
      <c r="L51" s="20"/>
      <c r="M51" s="21"/>
      <c r="N51" s="22"/>
    </row>
    <row r="52" spans="1:14" ht="31.5" hidden="1" customHeight="1">
      <c r="A52" s="40">
        <v>13</v>
      </c>
      <c r="B52" s="79" t="s">
        <v>121</v>
      </c>
      <c r="C52" s="80" t="s">
        <v>114</v>
      </c>
      <c r="D52" s="79" t="s">
        <v>41</v>
      </c>
      <c r="E52" s="81">
        <v>1571.3</v>
      </c>
      <c r="F52" s="82">
        <f>SUM(E52*2/1000)</f>
        <v>3.1425999999999998</v>
      </c>
      <c r="G52" s="13">
        <v>1213.55</v>
      </c>
      <c r="H52" s="83">
        <f t="shared" si="5"/>
        <v>3.8137022300000001</v>
      </c>
      <c r="I52" s="13">
        <v>0</v>
      </c>
      <c r="J52" s="24"/>
      <c r="L52" s="20"/>
      <c r="M52" s="21"/>
      <c r="N52" s="22"/>
    </row>
    <row r="53" spans="1:14" ht="31.5" hidden="1" customHeight="1">
      <c r="A53" s="40">
        <v>14</v>
      </c>
      <c r="B53" s="79" t="s">
        <v>122</v>
      </c>
      <c r="C53" s="80" t="s">
        <v>37</v>
      </c>
      <c r="D53" s="79" t="s">
        <v>41</v>
      </c>
      <c r="E53" s="81">
        <v>40</v>
      </c>
      <c r="F53" s="82">
        <f>SUM(E53*2/100)</f>
        <v>0.8</v>
      </c>
      <c r="G53" s="13">
        <v>2730.49</v>
      </c>
      <c r="H53" s="83">
        <f t="shared" si="5"/>
        <v>2.1843919999999999</v>
      </c>
      <c r="I53" s="13">
        <v>0</v>
      </c>
      <c r="J53" s="24"/>
      <c r="L53" s="20"/>
      <c r="M53" s="21"/>
      <c r="N53" s="22"/>
    </row>
    <row r="54" spans="1:14" ht="15.75" hidden="1" customHeight="1">
      <c r="A54" s="40">
        <v>15</v>
      </c>
      <c r="B54" s="79" t="s">
        <v>38</v>
      </c>
      <c r="C54" s="80" t="s">
        <v>39</v>
      </c>
      <c r="D54" s="79" t="s">
        <v>41</v>
      </c>
      <c r="E54" s="81">
        <v>1</v>
      </c>
      <c r="F54" s="82">
        <v>0.02</v>
      </c>
      <c r="G54" s="13">
        <v>5652.13</v>
      </c>
      <c r="H54" s="83">
        <f t="shared" si="5"/>
        <v>0.11304260000000001</v>
      </c>
      <c r="I54" s="13">
        <v>0</v>
      </c>
      <c r="J54" s="24"/>
      <c r="L54" s="20"/>
      <c r="M54" s="21"/>
      <c r="N54" s="22"/>
    </row>
    <row r="55" spans="1:14" ht="15.75" customHeight="1">
      <c r="A55" s="40">
        <v>15</v>
      </c>
      <c r="B55" s="79" t="s">
        <v>40</v>
      </c>
      <c r="C55" s="80" t="s">
        <v>123</v>
      </c>
      <c r="D55" s="79" t="s">
        <v>72</v>
      </c>
      <c r="E55" s="81">
        <v>238</v>
      </c>
      <c r="F55" s="82">
        <f>SUM(E55)*3</f>
        <v>714</v>
      </c>
      <c r="G55" s="13">
        <v>65.67</v>
      </c>
      <c r="H55" s="83">
        <f t="shared" si="5"/>
        <v>46.888380000000005</v>
      </c>
      <c r="I55" s="13">
        <f>E55*G55</f>
        <v>15629.460000000001</v>
      </c>
      <c r="J55" s="24"/>
      <c r="L55" s="20"/>
      <c r="M55" s="21"/>
      <c r="N55" s="22"/>
    </row>
    <row r="56" spans="1:14" ht="15.75" customHeight="1">
      <c r="A56" s="170" t="s">
        <v>145</v>
      </c>
      <c r="B56" s="171"/>
      <c r="C56" s="171"/>
      <c r="D56" s="171"/>
      <c r="E56" s="171"/>
      <c r="F56" s="171"/>
      <c r="G56" s="171"/>
      <c r="H56" s="171"/>
      <c r="I56" s="172"/>
      <c r="J56" s="24"/>
      <c r="L56" s="20"/>
      <c r="M56" s="21"/>
      <c r="N56" s="22"/>
    </row>
    <row r="57" spans="1:14" ht="15.75" customHeight="1">
      <c r="A57" s="52"/>
      <c r="B57" s="47" t="s">
        <v>42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customHeight="1">
      <c r="A58" s="40">
        <v>16</v>
      </c>
      <c r="B58" s="79" t="s">
        <v>139</v>
      </c>
      <c r="C58" s="80" t="s">
        <v>104</v>
      </c>
      <c r="D58" s="79" t="s">
        <v>228</v>
      </c>
      <c r="E58" s="81">
        <v>48</v>
      </c>
      <c r="F58" s="82">
        <f>E58*6/100</f>
        <v>2.88</v>
      </c>
      <c r="G58" s="89">
        <v>1547.28</v>
      </c>
      <c r="H58" s="83">
        <f>F58*G58/1000</f>
        <v>4.4561663999999999</v>
      </c>
      <c r="I58" s="13">
        <f>G58*1.05</f>
        <v>1624.644</v>
      </c>
      <c r="J58" s="24"/>
      <c r="L58" s="20"/>
      <c r="M58" s="21"/>
      <c r="N58" s="22"/>
    </row>
    <row r="59" spans="1:14" ht="15.75" customHeight="1">
      <c r="A59" s="40">
        <v>17</v>
      </c>
      <c r="B59" s="90" t="s">
        <v>96</v>
      </c>
      <c r="C59" s="91" t="s">
        <v>104</v>
      </c>
      <c r="D59" s="90" t="s">
        <v>140</v>
      </c>
      <c r="E59" s="92">
        <v>56</v>
      </c>
      <c r="F59" s="93">
        <f>E59*4/100</f>
        <v>2.2400000000000002</v>
      </c>
      <c r="G59" s="89">
        <v>1547.28</v>
      </c>
      <c r="H59" s="94">
        <f>F59*G59/1000</f>
        <v>3.4659072000000002</v>
      </c>
      <c r="I59" s="13">
        <f>F59/6*G59</f>
        <v>577.65120000000002</v>
      </c>
      <c r="J59" s="24"/>
      <c r="L59" s="20"/>
      <c r="M59" s="21"/>
      <c r="N59" s="22"/>
    </row>
    <row r="60" spans="1:14" ht="15.75" hidden="1" customHeight="1">
      <c r="A60" s="40"/>
      <c r="B60" s="90" t="s">
        <v>100</v>
      </c>
      <c r="C60" s="91" t="s">
        <v>101</v>
      </c>
      <c r="D60" s="90" t="s">
        <v>41</v>
      </c>
      <c r="E60" s="92">
        <v>8</v>
      </c>
      <c r="F60" s="93">
        <v>16</v>
      </c>
      <c r="G60" s="95">
        <v>180.78</v>
      </c>
      <c r="H60" s="94">
        <f>F60*G60/1000</f>
        <v>2.8924799999999999</v>
      </c>
      <c r="I60" s="13">
        <v>0</v>
      </c>
      <c r="J60" s="24"/>
      <c r="L60" s="20"/>
      <c r="M60" s="21"/>
      <c r="N60" s="22"/>
    </row>
    <row r="61" spans="1:14" ht="15.75" customHeight="1">
      <c r="A61" s="40"/>
      <c r="B61" s="62" t="s">
        <v>43</v>
      </c>
      <c r="C61" s="62"/>
      <c r="D61" s="62"/>
      <c r="E61" s="69"/>
      <c r="F61" s="62"/>
      <c r="G61" s="62"/>
      <c r="H61" s="69"/>
      <c r="I61" s="35"/>
      <c r="J61" s="24"/>
      <c r="L61" s="20"/>
      <c r="M61" s="21"/>
      <c r="N61" s="22"/>
    </row>
    <row r="62" spans="1:14" ht="15.75" customHeight="1">
      <c r="A62" s="40">
        <v>18</v>
      </c>
      <c r="B62" s="120" t="s">
        <v>97</v>
      </c>
      <c r="C62" s="121" t="s">
        <v>25</v>
      </c>
      <c r="D62" s="120" t="s">
        <v>152</v>
      </c>
      <c r="E62" s="122">
        <v>200</v>
      </c>
      <c r="F62" s="123">
        <f>E62*12</f>
        <v>2400</v>
      </c>
      <c r="G62" s="124">
        <v>1.2</v>
      </c>
      <c r="H62" s="125">
        <f>G62*F62/1000</f>
        <v>2.88</v>
      </c>
      <c r="I62" s="13">
        <f>F62/12*G62</f>
        <v>240</v>
      </c>
      <c r="J62" s="24"/>
      <c r="L62" s="20"/>
      <c r="M62" s="21"/>
      <c r="N62" s="22"/>
    </row>
    <row r="63" spans="1:14" ht="15.75" hidden="1" customHeight="1">
      <c r="A63" s="40">
        <v>14</v>
      </c>
      <c r="B63" s="90" t="s">
        <v>44</v>
      </c>
      <c r="C63" s="91" t="s">
        <v>25</v>
      </c>
      <c r="D63" s="90" t="s">
        <v>53</v>
      </c>
      <c r="E63" s="92">
        <v>1571.3</v>
      </c>
      <c r="F63" s="93">
        <f>E63/100</f>
        <v>15.712999999999999</v>
      </c>
      <c r="G63" s="97">
        <v>793.61</v>
      </c>
      <c r="H63" s="94">
        <f>G63*F63/1000</f>
        <v>12.469993929999999</v>
      </c>
      <c r="I63" s="13">
        <v>0</v>
      </c>
      <c r="J63" s="24"/>
      <c r="L63" s="20"/>
      <c r="M63" s="21"/>
      <c r="N63" s="22"/>
    </row>
    <row r="64" spans="1:14" ht="15.75" customHeight="1">
      <c r="A64" s="40"/>
      <c r="B64" s="62" t="s">
        <v>45</v>
      </c>
      <c r="C64" s="17"/>
      <c r="D64" s="37"/>
      <c r="E64" s="37"/>
      <c r="F64" s="16"/>
      <c r="G64" s="30"/>
      <c r="H64" s="30"/>
      <c r="I64" s="19"/>
      <c r="J64" s="24"/>
      <c r="L64" s="20"/>
      <c r="M64" s="21"/>
      <c r="N64" s="22"/>
    </row>
    <row r="65" spans="1:22" ht="15.75" customHeight="1">
      <c r="A65" s="40">
        <v>19</v>
      </c>
      <c r="B65" s="15" t="s">
        <v>46</v>
      </c>
      <c r="C65" s="17" t="s">
        <v>123</v>
      </c>
      <c r="D65" s="15" t="s">
        <v>67</v>
      </c>
      <c r="E65" s="19">
        <v>35</v>
      </c>
      <c r="F65" s="82">
        <v>35</v>
      </c>
      <c r="G65" s="13">
        <v>222.4</v>
      </c>
      <c r="H65" s="98">
        <f t="shared" ref="H65:H72" si="6">SUM(F65*G65/1000)</f>
        <v>7.7839999999999998</v>
      </c>
      <c r="I65" s="13">
        <f>G65*4</f>
        <v>889.6</v>
      </c>
      <c r="J65" s="24"/>
      <c r="L65" s="20"/>
    </row>
    <row r="66" spans="1:22" ht="15.75" hidden="1" customHeight="1">
      <c r="A66" s="30">
        <v>29</v>
      </c>
      <c r="B66" s="15" t="s">
        <v>47</v>
      </c>
      <c r="C66" s="17" t="s">
        <v>123</v>
      </c>
      <c r="D66" s="15" t="s">
        <v>67</v>
      </c>
      <c r="E66" s="19">
        <v>17</v>
      </c>
      <c r="F66" s="82">
        <v>20</v>
      </c>
      <c r="G66" s="13">
        <v>76.25</v>
      </c>
      <c r="H66" s="98">
        <f t="shared" si="6"/>
        <v>1.5249999999999999</v>
      </c>
      <c r="I66" s="13">
        <v>0</v>
      </c>
    </row>
    <row r="67" spans="1:22" ht="15.75" hidden="1" customHeight="1">
      <c r="A67" s="30">
        <v>8</v>
      </c>
      <c r="B67" s="15" t="s">
        <v>48</v>
      </c>
      <c r="C67" s="17" t="s">
        <v>125</v>
      </c>
      <c r="D67" s="15" t="s">
        <v>53</v>
      </c>
      <c r="E67" s="81">
        <v>22639</v>
      </c>
      <c r="F67" s="13">
        <f>SUM(E67/100)</f>
        <v>226.39</v>
      </c>
      <c r="G67" s="13">
        <v>212.15</v>
      </c>
      <c r="H67" s="98">
        <f t="shared" si="6"/>
        <v>48.0286385</v>
      </c>
      <c r="I67" s="13">
        <v>0</v>
      </c>
    </row>
    <row r="68" spans="1:22" ht="15.75" hidden="1" customHeight="1">
      <c r="A68" s="30">
        <v>9</v>
      </c>
      <c r="B68" s="15" t="s">
        <v>49</v>
      </c>
      <c r="C68" s="17" t="s">
        <v>126</v>
      </c>
      <c r="D68" s="15"/>
      <c r="E68" s="81">
        <v>22639</v>
      </c>
      <c r="F68" s="13">
        <f>SUM(E68/1000)</f>
        <v>22.638999999999999</v>
      </c>
      <c r="G68" s="13">
        <v>165.21</v>
      </c>
      <c r="H68" s="98">
        <f t="shared" si="6"/>
        <v>3.7401891900000002</v>
      </c>
      <c r="I68" s="13">
        <v>0</v>
      </c>
    </row>
    <row r="69" spans="1:22" ht="15.75" hidden="1" customHeight="1">
      <c r="A69" s="30">
        <v>10</v>
      </c>
      <c r="B69" s="15" t="s">
        <v>50</v>
      </c>
      <c r="C69" s="17" t="s">
        <v>77</v>
      </c>
      <c r="D69" s="15" t="s">
        <v>53</v>
      </c>
      <c r="E69" s="81">
        <v>3145</v>
      </c>
      <c r="F69" s="13">
        <f>SUM(E69/100)</f>
        <v>31.45</v>
      </c>
      <c r="G69" s="13">
        <v>2074.63</v>
      </c>
      <c r="H69" s="98">
        <f t="shared" si="6"/>
        <v>65.247113499999998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11</v>
      </c>
      <c r="B70" s="99" t="s">
        <v>127</v>
      </c>
      <c r="C70" s="17" t="s">
        <v>33</v>
      </c>
      <c r="D70" s="15"/>
      <c r="E70" s="81">
        <v>20.28</v>
      </c>
      <c r="F70" s="13">
        <f>SUM(E70)</f>
        <v>20.28</v>
      </c>
      <c r="G70" s="13">
        <v>42.67</v>
      </c>
      <c r="H70" s="98">
        <f t="shared" si="6"/>
        <v>0.86534760000000011</v>
      </c>
      <c r="I70" s="13">
        <v>0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12</v>
      </c>
      <c r="B71" s="99" t="s">
        <v>153</v>
      </c>
      <c r="C71" s="17" t="s">
        <v>33</v>
      </c>
      <c r="D71" s="15"/>
      <c r="E71" s="81">
        <v>20.28</v>
      </c>
      <c r="F71" s="13">
        <f>SUM(E71)</f>
        <v>20.28</v>
      </c>
      <c r="G71" s="13">
        <v>39.81</v>
      </c>
      <c r="H71" s="98">
        <f t="shared" si="6"/>
        <v>0.80734680000000014</v>
      </c>
      <c r="I71" s="13">
        <v>0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hidden="1" customHeight="1">
      <c r="A72" s="30">
        <v>13</v>
      </c>
      <c r="B72" s="15" t="s">
        <v>57</v>
      </c>
      <c r="C72" s="17" t="s">
        <v>58</v>
      </c>
      <c r="D72" s="15" t="s">
        <v>53</v>
      </c>
      <c r="E72" s="19">
        <v>15</v>
      </c>
      <c r="F72" s="82">
        <f>SUM(E72)</f>
        <v>15</v>
      </c>
      <c r="G72" s="13">
        <v>49.88</v>
      </c>
      <c r="H72" s="98">
        <f t="shared" si="6"/>
        <v>0.74820000000000009</v>
      </c>
      <c r="I72" s="13">
        <v>0</v>
      </c>
      <c r="J72" s="5"/>
      <c r="K72" s="5"/>
      <c r="L72" s="5"/>
      <c r="M72" s="5"/>
      <c r="N72" s="5"/>
      <c r="O72" s="5"/>
      <c r="P72" s="5"/>
      <c r="Q72" s="5"/>
      <c r="R72" s="161"/>
      <c r="S72" s="161"/>
      <c r="T72" s="161"/>
      <c r="U72" s="161"/>
    </row>
    <row r="73" spans="1:22" ht="15.75" customHeight="1">
      <c r="A73" s="30"/>
      <c r="B73" s="48" t="s">
        <v>73</v>
      </c>
      <c r="C73" s="48"/>
      <c r="D73" s="48"/>
      <c r="E73" s="48"/>
      <c r="F73" s="19"/>
      <c r="G73" s="30"/>
      <c r="H73" s="30"/>
      <c r="I73" s="19"/>
    </row>
    <row r="74" spans="1:22" ht="15.75" customHeight="1">
      <c r="A74" s="30">
        <v>20</v>
      </c>
      <c r="B74" s="15" t="s">
        <v>74</v>
      </c>
      <c r="C74" s="17" t="s">
        <v>31</v>
      </c>
      <c r="D74" s="15"/>
      <c r="E74" s="19">
        <v>5</v>
      </c>
      <c r="F74" s="100">
        <v>0.5</v>
      </c>
      <c r="G74" s="13">
        <v>501.62</v>
      </c>
      <c r="H74" s="98">
        <f>F74*G74/1000</f>
        <v>0.25080999999999998</v>
      </c>
      <c r="I74" s="13">
        <f>G74*0.3</f>
        <v>150.48599999999999</v>
      </c>
    </row>
    <row r="75" spans="1:22" ht="15.75" hidden="1" customHeight="1">
      <c r="A75" s="30"/>
      <c r="B75" s="15" t="s">
        <v>131</v>
      </c>
      <c r="C75" s="17" t="s">
        <v>30</v>
      </c>
      <c r="D75" s="15"/>
      <c r="E75" s="19">
        <v>1</v>
      </c>
      <c r="F75" s="13">
        <v>1</v>
      </c>
      <c r="G75" s="13">
        <v>120.26</v>
      </c>
      <c r="H75" s="98">
        <f>G75*F75/1000</f>
        <v>0.12026000000000001</v>
      </c>
      <c r="I75" s="13">
        <v>0</v>
      </c>
    </row>
    <row r="76" spans="1:22" ht="15.75" hidden="1" customHeight="1">
      <c r="A76" s="30"/>
      <c r="B76" s="15" t="s">
        <v>130</v>
      </c>
      <c r="C76" s="17" t="s">
        <v>30</v>
      </c>
      <c r="D76" s="15"/>
      <c r="E76" s="19">
        <v>1</v>
      </c>
      <c r="F76" s="100">
        <v>1</v>
      </c>
      <c r="G76" s="13">
        <v>99.85</v>
      </c>
      <c r="H76" s="98">
        <f>G76*F76/1000</f>
        <v>9.9849999999999994E-2</v>
      </c>
      <c r="I76" s="13">
        <v>0</v>
      </c>
    </row>
    <row r="77" spans="1:22" ht="15.75" hidden="1" customHeight="1">
      <c r="A77" s="30"/>
      <c r="B77" s="15" t="s">
        <v>88</v>
      </c>
      <c r="C77" s="17" t="s">
        <v>30</v>
      </c>
      <c r="D77" s="15"/>
      <c r="E77" s="19">
        <v>2</v>
      </c>
      <c r="F77" s="82">
        <f>SUM(E77)</f>
        <v>2</v>
      </c>
      <c r="G77" s="13">
        <v>358.51</v>
      </c>
      <c r="H77" s="98">
        <f t="shared" ref="H77" si="7">SUM(F77*G77/1000)</f>
        <v>0.71701999999999999</v>
      </c>
      <c r="I77" s="13">
        <v>0</v>
      </c>
    </row>
    <row r="78" spans="1:22" ht="15.75" hidden="1" customHeight="1">
      <c r="A78" s="30">
        <v>17</v>
      </c>
      <c r="B78" s="15" t="s">
        <v>75</v>
      </c>
      <c r="C78" s="17" t="s">
        <v>30</v>
      </c>
      <c r="D78" s="15"/>
      <c r="E78" s="19">
        <v>2</v>
      </c>
      <c r="F78" s="13">
        <v>2</v>
      </c>
      <c r="G78" s="13">
        <v>852.99</v>
      </c>
      <c r="H78" s="98">
        <f>F78*G78/1000</f>
        <v>1.7059800000000001</v>
      </c>
      <c r="I78" s="13">
        <v>0</v>
      </c>
    </row>
    <row r="79" spans="1:22" ht="15.75" hidden="1" customHeight="1">
      <c r="A79" s="30"/>
      <c r="B79" s="49" t="s">
        <v>76</v>
      </c>
      <c r="C79" s="38"/>
      <c r="D79" s="30"/>
      <c r="E79" s="30"/>
      <c r="F79" s="19"/>
      <c r="G79" s="36"/>
      <c r="H79" s="36"/>
      <c r="I79" s="19"/>
    </row>
    <row r="80" spans="1:22" ht="15.75" hidden="1" customHeight="1">
      <c r="A80" s="30">
        <v>39</v>
      </c>
      <c r="B80" s="51" t="s">
        <v>132</v>
      </c>
      <c r="C80" s="17" t="s">
        <v>77</v>
      </c>
      <c r="D80" s="15"/>
      <c r="E80" s="19"/>
      <c r="F80" s="13">
        <v>1.35</v>
      </c>
      <c r="G80" s="13">
        <v>2759.44</v>
      </c>
      <c r="H80" s="98">
        <f t="shared" ref="H80" si="8">SUM(F80*G80/1000)</f>
        <v>3.725244</v>
      </c>
      <c r="I80" s="13">
        <v>0</v>
      </c>
    </row>
    <row r="81" spans="1:21" ht="15.75" hidden="1" customHeight="1">
      <c r="A81" s="52"/>
      <c r="B81" s="62" t="s">
        <v>128</v>
      </c>
      <c r="C81" s="62"/>
      <c r="D81" s="62"/>
      <c r="E81" s="69"/>
      <c r="F81" s="62"/>
      <c r="G81" s="62"/>
      <c r="H81" s="69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36</v>
      </c>
      <c r="B82" s="79" t="s">
        <v>129</v>
      </c>
      <c r="C82" s="17"/>
      <c r="D82" s="15"/>
      <c r="E82" s="101"/>
      <c r="F82" s="13">
        <v>1</v>
      </c>
      <c r="G82" s="13">
        <v>25286</v>
      </c>
      <c r="H82" s="98">
        <f>G82*F82/1000</f>
        <v>25.286000000000001</v>
      </c>
      <c r="I82" s="13">
        <v>0</v>
      </c>
    </row>
    <row r="83" spans="1:21" ht="15.75" customHeight="1">
      <c r="A83" s="170" t="s">
        <v>146</v>
      </c>
      <c r="B83" s="171"/>
      <c r="C83" s="171"/>
      <c r="D83" s="171"/>
      <c r="E83" s="171"/>
      <c r="F83" s="171"/>
      <c r="G83" s="171"/>
      <c r="H83" s="171"/>
      <c r="I83" s="172"/>
    </row>
    <row r="84" spans="1:21" ht="15.75" customHeight="1">
      <c r="A84" s="30">
        <v>21</v>
      </c>
      <c r="B84" s="79" t="s">
        <v>133</v>
      </c>
      <c r="C84" s="17" t="s">
        <v>54</v>
      </c>
      <c r="D84" s="103" t="s">
        <v>55</v>
      </c>
      <c r="E84" s="13">
        <v>5836.1</v>
      </c>
      <c r="F84" s="13">
        <f>SUM(E84*12)</f>
        <v>70033.200000000012</v>
      </c>
      <c r="G84" s="13">
        <v>2.1</v>
      </c>
      <c r="H84" s="98">
        <f>SUM(F84*G84/1000)</f>
        <v>147.06972000000002</v>
      </c>
      <c r="I84" s="13">
        <f>F84/12*G84</f>
        <v>12255.810000000003</v>
      </c>
    </row>
    <row r="85" spans="1:21" ht="31.5" customHeight="1">
      <c r="A85" s="30">
        <v>22</v>
      </c>
      <c r="B85" s="15" t="s">
        <v>78</v>
      </c>
      <c r="C85" s="17"/>
      <c r="D85" s="103" t="s">
        <v>55</v>
      </c>
      <c r="E85" s="81">
        <v>5836.1</v>
      </c>
      <c r="F85" s="13">
        <f>E85*12</f>
        <v>70033.200000000012</v>
      </c>
      <c r="G85" s="13">
        <v>1.63</v>
      </c>
      <c r="H85" s="98">
        <f>F85*G85/1000</f>
        <v>114.15411600000002</v>
      </c>
      <c r="I85" s="13">
        <f>F85/12*G85</f>
        <v>9512.8430000000008</v>
      </c>
    </row>
    <row r="86" spans="1:21" ht="15.75" customHeight="1">
      <c r="A86" s="52"/>
      <c r="B86" s="39" t="s">
        <v>81</v>
      </c>
      <c r="C86" s="40"/>
      <c r="D86" s="16"/>
      <c r="E86" s="16"/>
      <c r="F86" s="16"/>
      <c r="G86" s="19"/>
      <c r="H86" s="19"/>
      <c r="I86" s="32">
        <f>I85+I84+I74+I65+I62+I59+I58+I55+I51+I45+I44+I43+I42+I40+I39+I28+I27+I21+I20+I18+I17+I16</f>
        <v>100778.37313733333</v>
      </c>
    </row>
    <row r="87" spans="1:21" ht="15.75" customHeight="1">
      <c r="A87" s="173" t="s">
        <v>60</v>
      </c>
      <c r="B87" s="174"/>
      <c r="C87" s="174"/>
      <c r="D87" s="174"/>
      <c r="E87" s="174"/>
      <c r="F87" s="174"/>
      <c r="G87" s="174"/>
      <c r="H87" s="174"/>
      <c r="I87" s="175"/>
    </row>
    <row r="88" spans="1:21" ht="15.75" customHeight="1">
      <c r="A88" s="30">
        <v>23</v>
      </c>
      <c r="B88" s="55" t="s">
        <v>171</v>
      </c>
      <c r="C88" s="63" t="s">
        <v>172</v>
      </c>
      <c r="D88" s="15"/>
      <c r="E88" s="19"/>
      <c r="F88" s="13">
        <v>30</v>
      </c>
      <c r="G88" s="13">
        <v>134.12</v>
      </c>
      <c r="H88" s="98">
        <f t="shared" ref="H88:H91" si="9">G88*F88/1000</f>
        <v>4.0236000000000001</v>
      </c>
      <c r="I88" s="126">
        <f>G88*(15+15)</f>
        <v>4023.6000000000004</v>
      </c>
    </row>
    <row r="89" spans="1:21" ht="31.5" customHeight="1">
      <c r="A89" s="30">
        <v>24</v>
      </c>
      <c r="B89" s="55" t="s">
        <v>158</v>
      </c>
      <c r="C89" s="63" t="s">
        <v>37</v>
      </c>
      <c r="D89" s="51"/>
      <c r="E89" s="13"/>
      <c r="F89" s="13">
        <v>0.01</v>
      </c>
      <c r="G89" s="13">
        <v>3724.37</v>
      </c>
      <c r="H89" s="98">
        <f t="shared" si="9"/>
        <v>3.7243699999999998E-2</v>
      </c>
      <c r="I89" s="126">
        <f>G89*0.01</f>
        <v>37.243699999999997</v>
      </c>
    </row>
    <row r="90" spans="1:21" ht="15.75" customHeight="1">
      <c r="A90" s="30">
        <v>25</v>
      </c>
      <c r="B90" s="104" t="s">
        <v>173</v>
      </c>
      <c r="C90" s="30" t="s">
        <v>109</v>
      </c>
      <c r="D90" s="127"/>
      <c r="E90" s="19"/>
      <c r="F90" s="128">
        <f>1.5/10</f>
        <v>0.15</v>
      </c>
      <c r="G90" s="13">
        <v>30674.95</v>
      </c>
      <c r="H90" s="98">
        <f t="shared" si="9"/>
        <v>4.6012425000000006</v>
      </c>
      <c r="I90" s="126">
        <f>G90*0.15</f>
        <v>4601.2425000000003</v>
      </c>
    </row>
    <row r="91" spans="1:21" ht="15.75" customHeight="1">
      <c r="A91" s="30">
        <v>26</v>
      </c>
      <c r="B91" s="104" t="s">
        <v>174</v>
      </c>
      <c r="C91" s="30" t="s">
        <v>123</v>
      </c>
      <c r="D91" s="127"/>
      <c r="E91" s="19"/>
      <c r="F91" s="128">
        <v>1</v>
      </c>
      <c r="G91" s="13">
        <v>6918.23</v>
      </c>
      <c r="H91" s="98">
        <f t="shared" si="9"/>
        <v>6.9182299999999994</v>
      </c>
      <c r="I91" s="126">
        <f>G91</f>
        <v>6918.23</v>
      </c>
    </row>
    <row r="92" spans="1:21" ht="15.75" customHeight="1">
      <c r="A92" s="30"/>
      <c r="B92" s="45" t="s">
        <v>51</v>
      </c>
      <c r="C92" s="41"/>
      <c r="D92" s="53"/>
      <c r="E92" s="53"/>
      <c r="F92" s="41">
        <v>1</v>
      </c>
      <c r="G92" s="41"/>
      <c r="H92" s="41"/>
      <c r="I92" s="32">
        <f>SUM(I88:I91)</f>
        <v>15580.316200000001</v>
      </c>
    </row>
    <row r="93" spans="1:21" ht="15.75" customHeight="1">
      <c r="A93" s="30"/>
      <c r="B93" s="51" t="s">
        <v>79</v>
      </c>
      <c r="C93" s="16"/>
      <c r="D93" s="16"/>
      <c r="E93" s="16"/>
      <c r="F93" s="42"/>
      <c r="G93" s="43"/>
      <c r="H93" s="43"/>
      <c r="I93" s="18">
        <v>0</v>
      </c>
    </row>
    <row r="94" spans="1:21" ht="15.75" customHeight="1">
      <c r="A94" s="54"/>
      <c r="B94" s="46" t="s">
        <v>147</v>
      </c>
      <c r="C94" s="34"/>
      <c r="D94" s="34"/>
      <c r="E94" s="34"/>
      <c r="F94" s="34"/>
      <c r="G94" s="34"/>
      <c r="H94" s="34"/>
      <c r="I94" s="44">
        <f>I86+I92</f>
        <v>116358.68933733333</v>
      </c>
    </row>
    <row r="95" spans="1:21" ht="15.75" customHeight="1">
      <c r="A95" s="167" t="s">
        <v>229</v>
      </c>
      <c r="B95" s="167"/>
      <c r="C95" s="167"/>
      <c r="D95" s="167"/>
      <c r="E95" s="167"/>
      <c r="F95" s="167"/>
      <c r="G95" s="167"/>
      <c r="H95" s="167"/>
      <c r="I95" s="167"/>
    </row>
    <row r="96" spans="1:21" ht="15.75" customHeight="1">
      <c r="A96" s="61"/>
      <c r="B96" s="168" t="s">
        <v>230</v>
      </c>
      <c r="C96" s="168"/>
      <c r="D96" s="168"/>
      <c r="E96" s="168"/>
      <c r="F96" s="168"/>
      <c r="G96" s="168"/>
      <c r="H96" s="77"/>
      <c r="I96" s="3"/>
    </row>
    <row r="97" spans="1:9" ht="15.75" customHeight="1">
      <c r="A97" s="56"/>
      <c r="B97" s="166" t="s">
        <v>6</v>
      </c>
      <c r="C97" s="166"/>
      <c r="D97" s="166"/>
      <c r="E97" s="166"/>
      <c r="F97" s="166"/>
      <c r="G97" s="166"/>
      <c r="H97" s="25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69" t="s">
        <v>7</v>
      </c>
      <c r="B99" s="169"/>
      <c r="C99" s="169"/>
      <c r="D99" s="169"/>
      <c r="E99" s="169"/>
      <c r="F99" s="169"/>
      <c r="G99" s="169"/>
      <c r="H99" s="169"/>
      <c r="I99" s="169"/>
    </row>
    <row r="100" spans="1:9" ht="15.75" customHeight="1">
      <c r="A100" s="169" t="s">
        <v>8</v>
      </c>
      <c r="B100" s="169"/>
      <c r="C100" s="169"/>
      <c r="D100" s="169"/>
      <c r="E100" s="169"/>
      <c r="F100" s="169"/>
      <c r="G100" s="169"/>
      <c r="H100" s="169"/>
      <c r="I100" s="169"/>
    </row>
    <row r="101" spans="1:9" ht="15.75" customHeight="1">
      <c r="A101" s="163" t="s">
        <v>61</v>
      </c>
      <c r="B101" s="163"/>
      <c r="C101" s="163"/>
      <c r="D101" s="163"/>
      <c r="E101" s="163"/>
      <c r="F101" s="163"/>
      <c r="G101" s="163"/>
      <c r="H101" s="163"/>
      <c r="I101" s="163"/>
    </row>
    <row r="102" spans="1:9" ht="15.75" customHeight="1">
      <c r="A102" s="11"/>
    </row>
    <row r="103" spans="1:9" ht="15.75" customHeight="1">
      <c r="A103" s="164" t="s">
        <v>9</v>
      </c>
      <c r="B103" s="164"/>
      <c r="C103" s="164"/>
      <c r="D103" s="164"/>
      <c r="E103" s="164"/>
      <c r="F103" s="164"/>
      <c r="G103" s="164"/>
      <c r="H103" s="164"/>
      <c r="I103" s="164"/>
    </row>
    <row r="104" spans="1:9" ht="15.75" customHeight="1">
      <c r="A104" s="4"/>
    </row>
    <row r="105" spans="1:9" ht="15.75" customHeight="1">
      <c r="B105" s="59" t="s">
        <v>10</v>
      </c>
      <c r="C105" s="165" t="s">
        <v>90</v>
      </c>
      <c r="D105" s="165"/>
      <c r="E105" s="165"/>
      <c r="F105" s="165"/>
      <c r="I105" s="60"/>
    </row>
    <row r="106" spans="1:9" ht="15.75" customHeight="1">
      <c r="A106" s="56"/>
      <c r="C106" s="166" t="s">
        <v>11</v>
      </c>
      <c r="D106" s="166"/>
      <c r="E106" s="166"/>
      <c r="F106" s="166"/>
      <c r="I106" s="58" t="s">
        <v>12</v>
      </c>
    </row>
    <row r="107" spans="1:9" ht="15.75" customHeight="1">
      <c r="A107" s="26"/>
      <c r="C107" s="12"/>
      <c r="D107" s="12"/>
      <c r="E107" s="12"/>
      <c r="G107" s="12"/>
      <c r="H107" s="12"/>
    </row>
    <row r="108" spans="1:9" ht="15.75" customHeight="1">
      <c r="B108" s="59" t="s">
        <v>13</v>
      </c>
      <c r="C108" s="160"/>
      <c r="D108" s="160"/>
      <c r="E108" s="160"/>
      <c r="F108" s="160"/>
      <c r="I108" s="60"/>
    </row>
    <row r="109" spans="1:9" ht="15.75" customHeight="1">
      <c r="A109" s="56"/>
      <c r="C109" s="161" t="s">
        <v>11</v>
      </c>
      <c r="D109" s="161"/>
      <c r="E109" s="161"/>
      <c r="F109" s="161"/>
      <c r="I109" s="58" t="s">
        <v>12</v>
      </c>
    </row>
    <row r="110" spans="1:9" ht="15.75" customHeight="1">
      <c r="A110" s="4" t="s">
        <v>14</v>
      </c>
    </row>
    <row r="111" spans="1:9" ht="15.75" customHeight="1">
      <c r="A111" s="162" t="s">
        <v>15</v>
      </c>
      <c r="B111" s="162"/>
      <c r="C111" s="162"/>
      <c r="D111" s="162"/>
      <c r="E111" s="162"/>
      <c r="F111" s="162"/>
      <c r="G111" s="162"/>
      <c r="H111" s="162"/>
      <c r="I111" s="162"/>
    </row>
    <row r="112" spans="1:9" ht="45" customHeight="1">
      <c r="A112" s="159" t="s">
        <v>16</v>
      </c>
      <c r="B112" s="159"/>
      <c r="C112" s="159"/>
      <c r="D112" s="159"/>
      <c r="E112" s="159"/>
      <c r="F112" s="159"/>
      <c r="G112" s="159"/>
      <c r="H112" s="159"/>
      <c r="I112" s="159"/>
    </row>
    <row r="113" spans="1:9" ht="30" customHeight="1">
      <c r="A113" s="159" t="s">
        <v>17</v>
      </c>
      <c r="B113" s="159"/>
      <c r="C113" s="159"/>
      <c r="D113" s="159"/>
      <c r="E113" s="159"/>
      <c r="F113" s="159"/>
      <c r="G113" s="159"/>
      <c r="H113" s="159"/>
      <c r="I113" s="159"/>
    </row>
    <row r="114" spans="1:9" ht="30" customHeight="1">
      <c r="A114" s="159" t="s">
        <v>21</v>
      </c>
      <c r="B114" s="159"/>
      <c r="C114" s="159"/>
      <c r="D114" s="159"/>
      <c r="E114" s="159"/>
      <c r="F114" s="159"/>
      <c r="G114" s="159"/>
      <c r="H114" s="159"/>
      <c r="I114" s="159"/>
    </row>
    <row r="115" spans="1:9" ht="15" customHeight="1">
      <c r="A115" s="159" t="s">
        <v>20</v>
      </c>
      <c r="B115" s="159"/>
      <c r="C115" s="159"/>
      <c r="D115" s="159"/>
      <c r="E115" s="159"/>
      <c r="F115" s="159"/>
      <c r="G115" s="159"/>
      <c r="H115" s="159"/>
      <c r="I115" s="159"/>
    </row>
  </sheetData>
  <autoFilter ref="I12:I67"/>
  <mergeCells count="29">
    <mergeCell ref="A83:I83"/>
    <mergeCell ref="A87:I87"/>
    <mergeCell ref="R72:U72"/>
    <mergeCell ref="A3:I3"/>
    <mergeCell ref="A4:I4"/>
    <mergeCell ref="A8:I8"/>
    <mergeCell ref="A10:I10"/>
    <mergeCell ref="A5:I5"/>
    <mergeCell ref="A14:I14"/>
    <mergeCell ref="A15:I15"/>
    <mergeCell ref="A29:I29"/>
    <mergeCell ref="A46:I46"/>
    <mergeCell ref="A56:I56"/>
    <mergeCell ref="A95:I95"/>
    <mergeCell ref="B96:G96"/>
    <mergeCell ref="B97:G97"/>
    <mergeCell ref="A99:I99"/>
    <mergeCell ref="A100:I100"/>
    <mergeCell ref="A101:I101"/>
    <mergeCell ref="A103:I103"/>
    <mergeCell ref="C105:F105"/>
    <mergeCell ref="C106:F106"/>
    <mergeCell ref="A114:I114"/>
    <mergeCell ref="A115:I115"/>
    <mergeCell ref="C108:F108"/>
    <mergeCell ref="C109:F109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2" max="8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21"/>
  <sheetViews>
    <sheetView topLeftCell="A95" workbookViewId="0">
      <selection activeCell="D20" sqref="D20:I2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218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76" t="s">
        <v>167</v>
      </c>
      <c r="B3" s="176"/>
      <c r="C3" s="176"/>
      <c r="D3" s="176"/>
      <c r="E3" s="176"/>
      <c r="F3" s="176"/>
      <c r="G3" s="176"/>
      <c r="H3" s="176"/>
      <c r="I3" s="176"/>
      <c r="J3" s="3"/>
      <c r="K3" s="3"/>
      <c r="L3" s="3"/>
    </row>
    <row r="4" spans="1:13" ht="31.5" customHeight="1">
      <c r="A4" s="177" t="s">
        <v>134</v>
      </c>
      <c r="B4" s="177"/>
      <c r="C4" s="177"/>
      <c r="D4" s="177"/>
      <c r="E4" s="177"/>
      <c r="F4" s="177"/>
      <c r="G4" s="177"/>
      <c r="H4" s="177"/>
      <c r="I4" s="177"/>
    </row>
    <row r="5" spans="1:13" ht="15.75" customHeight="1">
      <c r="A5" s="176" t="s">
        <v>254</v>
      </c>
      <c r="B5" s="180"/>
      <c r="C5" s="180"/>
      <c r="D5" s="180"/>
      <c r="E5" s="180"/>
      <c r="F5" s="180"/>
      <c r="G5" s="180"/>
      <c r="H5" s="180"/>
      <c r="I5" s="180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1">
        <v>43404</v>
      </c>
      <c r="J6" s="2"/>
      <c r="K6" s="2"/>
      <c r="L6" s="2"/>
      <c r="M6" s="2"/>
    </row>
    <row r="7" spans="1:13" ht="15.75" customHeight="1">
      <c r="B7" s="74"/>
      <c r="C7" s="74"/>
      <c r="D7" s="74"/>
      <c r="E7" s="74"/>
      <c r="F7" s="3"/>
      <c r="G7" s="3"/>
      <c r="H7" s="3"/>
      <c r="J7" s="3"/>
      <c r="K7" s="3"/>
      <c r="L7" s="3"/>
      <c r="M7" s="3"/>
    </row>
    <row r="8" spans="1:13" ht="78.75" customHeight="1">
      <c r="A8" s="178" t="s">
        <v>220</v>
      </c>
      <c r="B8" s="178"/>
      <c r="C8" s="178"/>
      <c r="D8" s="178"/>
      <c r="E8" s="178"/>
      <c r="F8" s="178"/>
      <c r="G8" s="178"/>
      <c r="H8" s="178"/>
      <c r="I8" s="17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9" t="s">
        <v>143</v>
      </c>
      <c r="B10" s="179"/>
      <c r="C10" s="179"/>
      <c r="D10" s="179"/>
      <c r="E10" s="179"/>
      <c r="F10" s="179"/>
      <c r="G10" s="179"/>
      <c r="H10" s="179"/>
      <c r="I10" s="17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81" t="s">
        <v>59</v>
      </c>
      <c r="B14" s="181"/>
      <c r="C14" s="181"/>
      <c r="D14" s="181"/>
      <c r="E14" s="181"/>
      <c r="F14" s="181"/>
      <c r="G14" s="181"/>
      <c r="H14" s="181"/>
      <c r="I14" s="181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0">
        <v>1</v>
      </c>
      <c r="B16" s="79" t="s">
        <v>87</v>
      </c>
      <c r="C16" s="80" t="s">
        <v>104</v>
      </c>
      <c r="D16" s="79" t="s">
        <v>105</v>
      </c>
      <c r="E16" s="81">
        <v>164.38</v>
      </c>
      <c r="F16" s="82">
        <f>SUM(E16*156/100)</f>
        <v>256.43279999999999</v>
      </c>
      <c r="G16" s="82">
        <v>175.38</v>
      </c>
      <c r="H16" s="83">
        <f t="shared" ref="H16:H28" si="0">SUM(F16*G16/1000)</f>
        <v>44.973184463999999</v>
      </c>
      <c r="I16" s="13">
        <f>F16/12*G16</f>
        <v>3747.7653719999998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93</v>
      </c>
      <c r="C17" s="80" t="s">
        <v>104</v>
      </c>
      <c r="D17" s="79" t="s">
        <v>106</v>
      </c>
      <c r="E17" s="81">
        <v>657.52</v>
      </c>
      <c r="F17" s="82">
        <f>SUM(E17*104/100)</f>
        <v>683.82079999999996</v>
      </c>
      <c r="G17" s="82">
        <v>175.38</v>
      </c>
      <c r="H17" s="83">
        <f t="shared" si="0"/>
        <v>119.928491904</v>
      </c>
      <c r="I17" s="13">
        <f>F17/12*G17</f>
        <v>9994.0409919999984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94</v>
      </c>
      <c r="C18" s="80" t="s">
        <v>104</v>
      </c>
      <c r="D18" s="79" t="s">
        <v>107</v>
      </c>
      <c r="E18" s="81">
        <f>SUM(E16+E17)</f>
        <v>821.9</v>
      </c>
      <c r="F18" s="82">
        <f>SUM(E18*24/100)</f>
        <v>197.25599999999997</v>
      </c>
      <c r="G18" s="82">
        <v>504.5</v>
      </c>
      <c r="H18" s="83">
        <f t="shared" si="0"/>
        <v>99.515651999999989</v>
      </c>
      <c r="I18" s="13">
        <f>F18/12*G18</f>
        <v>8292.9709999999995</v>
      </c>
      <c r="J18" s="23"/>
      <c r="K18" s="8"/>
      <c r="L18" s="8"/>
      <c r="M18" s="8"/>
    </row>
    <row r="19" spans="1:13" ht="19.5" hidden="1" customHeight="1">
      <c r="A19" s="30">
        <v>4</v>
      </c>
      <c r="B19" s="79" t="s">
        <v>108</v>
      </c>
      <c r="C19" s="80" t="s">
        <v>109</v>
      </c>
      <c r="D19" s="79" t="s">
        <v>110</v>
      </c>
      <c r="E19" s="81">
        <v>51.2</v>
      </c>
      <c r="F19" s="82">
        <f>SUM(E19/10)</f>
        <v>5.12</v>
      </c>
      <c r="G19" s="82">
        <v>170.16</v>
      </c>
      <c r="H19" s="83">
        <f t="shared" si="0"/>
        <v>0.87121919999999997</v>
      </c>
      <c r="I19" s="13">
        <f>F19/2*G19</f>
        <v>435.6096</v>
      </c>
      <c r="J19" s="23"/>
      <c r="K19" s="8"/>
      <c r="L19" s="8"/>
      <c r="M19" s="8"/>
    </row>
    <row r="20" spans="1:13" ht="21.75" customHeight="1">
      <c r="A20" s="30">
        <v>4</v>
      </c>
      <c r="B20" s="79" t="s">
        <v>98</v>
      </c>
      <c r="C20" s="80" t="s">
        <v>104</v>
      </c>
      <c r="D20" s="79" t="s">
        <v>181</v>
      </c>
      <c r="E20" s="81">
        <v>58.4</v>
      </c>
      <c r="F20" s="136">
        <v>6.9</v>
      </c>
      <c r="G20" s="136">
        <v>193.55</v>
      </c>
      <c r="H20" s="83">
        <f t="shared" si="0"/>
        <v>1.3354950000000001</v>
      </c>
      <c r="I20" s="13">
        <f>F20*G20/12</f>
        <v>111.29125000000001</v>
      </c>
      <c r="J20" s="23"/>
      <c r="K20" s="8"/>
      <c r="L20" s="8"/>
      <c r="M20" s="8"/>
    </row>
    <row r="21" spans="1:13" ht="18" customHeight="1">
      <c r="A21" s="30">
        <v>5</v>
      </c>
      <c r="B21" s="79" t="s">
        <v>99</v>
      </c>
      <c r="C21" s="80" t="s">
        <v>104</v>
      </c>
      <c r="D21" s="79" t="s">
        <v>181</v>
      </c>
      <c r="E21" s="136">
        <v>1.61</v>
      </c>
      <c r="F21" s="136">
        <v>1.61</v>
      </c>
      <c r="G21" s="136">
        <v>191.98</v>
      </c>
      <c r="H21" s="83">
        <f t="shared" si="0"/>
        <v>0.30908780000000002</v>
      </c>
      <c r="I21" s="13">
        <f>F21*G21/12</f>
        <v>25.757316666666668</v>
      </c>
      <c r="J21" s="23"/>
      <c r="K21" s="8"/>
      <c r="L21" s="8"/>
      <c r="M21" s="8"/>
    </row>
    <row r="22" spans="1:13" ht="21" hidden="1" customHeight="1">
      <c r="A22" s="30">
        <v>7</v>
      </c>
      <c r="B22" s="79" t="s">
        <v>111</v>
      </c>
      <c r="C22" s="80" t="s">
        <v>52</v>
      </c>
      <c r="D22" s="79" t="s">
        <v>110</v>
      </c>
      <c r="E22" s="81">
        <v>1025.5999999999999</v>
      </c>
      <c r="F22" s="82">
        <f>SUM(E22/100)</f>
        <v>10.255999999999998</v>
      </c>
      <c r="G22" s="82">
        <v>269.26</v>
      </c>
      <c r="H22" s="83">
        <f t="shared" si="0"/>
        <v>2.7615305599999997</v>
      </c>
      <c r="I22" s="13">
        <f t="shared" ref="I22:I26" si="1">F22*G22</f>
        <v>2761.5305599999997</v>
      </c>
      <c r="J22" s="23"/>
      <c r="K22" s="8"/>
      <c r="L22" s="8"/>
      <c r="M22" s="8"/>
    </row>
    <row r="23" spans="1:13" ht="18.75" hidden="1" customHeight="1">
      <c r="A23" s="30">
        <v>8</v>
      </c>
      <c r="B23" s="79" t="s">
        <v>112</v>
      </c>
      <c r="C23" s="80" t="s">
        <v>52</v>
      </c>
      <c r="D23" s="79" t="s">
        <v>110</v>
      </c>
      <c r="E23" s="84">
        <v>60.5</v>
      </c>
      <c r="F23" s="82">
        <f>SUM(E23/100)</f>
        <v>0.60499999999999998</v>
      </c>
      <c r="G23" s="82">
        <v>44.29</v>
      </c>
      <c r="H23" s="83">
        <f t="shared" si="0"/>
        <v>2.6795449999999998E-2</v>
      </c>
      <c r="I23" s="13">
        <f t="shared" si="1"/>
        <v>26.795449999999999</v>
      </c>
      <c r="J23" s="23"/>
      <c r="K23" s="8"/>
      <c r="L23" s="8"/>
      <c r="M23" s="8"/>
    </row>
    <row r="24" spans="1:13" ht="21" hidden="1" customHeight="1">
      <c r="A24" s="30">
        <v>9</v>
      </c>
      <c r="B24" s="79" t="s">
        <v>102</v>
      </c>
      <c r="C24" s="80" t="s">
        <v>52</v>
      </c>
      <c r="D24" s="79" t="s">
        <v>53</v>
      </c>
      <c r="E24" s="85">
        <v>19.149999999999999</v>
      </c>
      <c r="F24" s="82">
        <f>E24/100</f>
        <v>0.19149999999999998</v>
      </c>
      <c r="G24" s="82">
        <v>389.42</v>
      </c>
      <c r="H24" s="83">
        <f>G24*F24/100</f>
        <v>0.74573929999999988</v>
      </c>
      <c r="I24" s="13">
        <f t="shared" si="1"/>
        <v>74.57392999999999</v>
      </c>
      <c r="J24" s="23"/>
      <c r="K24" s="8"/>
      <c r="L24" s="8"/>
      <c r="M24" s="8"/>
    </row>
    <row r="25" spans="1:13" ht="15" hidden="1" customHeight="1">
      <c r="A25" s="30">
        <v>10</v>
      </c>
      <c r="B25" s="79" t="s">
        <v>135</v>
      </c>
      <c r="C25" s="80" t="s">
        <v>52</v>
      </c>
      <c r="D25" s="79" t="s">
        <v>53</v>
      </c>
      <c r="E25" s="86">
        <v>31.5</v>
      </c>
      <c r="F25" s="82">
        <f>E25/100</f>
        <v>0.315</v>
      </c>
      <c r="G25" s="82">
        <v>216.12</v>
      </c>
      <c r="H25" s="83">
        <f>G25*F25/1000</f>
        <v>6.8077799999999994E-2</v>
      </c>
      <c r="I25" s="13">
        <f t="shared" si="1"/>
        <v>68.077799999999996</v>
      </c>
      <c r="J25" s="23"/>
      <c r="K25" s="8"/>
      <c r="L25" s="8"/>
      <c r="M25" s="8"/>
    </row>
    <row r="26" spans="1:13" ht="18" hidden="1" customHeight="1">
      <c r="A26" s="30">
        <v>11</v>
      </c>
      <c r="B26" s="79" t="s">
        <v>103</v>
      </c>
      <c r="C26" s="80" t="s">
        <v>52</v>
      </c>
      <c r="D26" s="79" t="s">
        <v>53</v>
      </c>
      <c r="E26" s="81">
        <v>37.5</v>
      </c>
      <c r="F26" s="82">
        <f>SUM(E26/100)</f>
        <v>0.375</v>
      </c>
      <c r="G26" s="82">
        <v>520.79999999999995</v>
      </c>
      <c r="H26" s="83">
        <f t="shared" si="0"/>
        <v>0.19529999999999997</v>
      </c>
      <c r="I26" s="13">
        <f t="shared" si="1"/>
        <v>195.29999999999998</v>
      </c>
      <c r="J26" s="23"/>
      <c r="K26" s="8"/>
      <c r="L26" s="8"/>
      <c r="M26" s="8"/>
    </row>
    <row r="27" spans="1:13" ht="15.75" customHeight="1">
      <c r="A27" s="30">
        <v>6</v>
      </c>
      <c r="B27" s="79" t="s">
        <v>64</v>
      </c>
      <c r="C27" s="80" t="s">
        <v>33</v>
      </c>
      <c r="D27" s="79"/>
      <c r="E27" s="81">
        <v>0.1</v>
      </c>
      <c r="F27" s="82">
        <f>SUM(E27*365)</f>
        <v>36.5</v>
      </c>
      <c r="G27" s="82">
        <v>147.03</v>
      </c>
      <c r="H27" s="83">
        <f t="shared" si="0"/>
        <v>5.3665950000000002</v>
      </c>
      <c r="I27" s="13">
        <f>F27/12*G27</f>
        <v>447.21625</v>
      </c>
      <c r="J27" s="23"/>
      <c r="K27" s="8"/>
      <c r="L27" s="8"/>
      <c r="M27" s="8"/>
    </row>
    <row r="28" spans="1:13" ht="15.75" customHeight="1">
      <c r="A28" s="30">
        <v>7</v>
      </c>
      <c r="B28" s="87" t="s">
        <v>23</v>
      </c>
      <c r="C28" s="80" t="s">
        <v>24</v>
      </c>
      <c r="D28" s="79"/>
      <c r="E28" s="81">
        <v>5836.1</v>
      </c>
      <c r="F28" s="82">
        <f>SUM(E28*12)</f>
        <v>70033.200000000012</v>
      </c>
      <c r="G28" s="82">
        <v>3.33</v>
      </c>
      <c r="H28" s="83">
        <f t="shared" si="0"/>
        <v>233.21055600000005</v>
      </c>
      <c r="I28" s="13">
        <f>F28/12*G28</f>
        <v>19434.213000000003</v>
      </c>
      <c r="J28" s="23"/>
      <c r="K28" s="8"/>
      <c r="L28" s="8"/>
      <c r="M28" s="8"/>
    </row>
    <row r="29" spans="1:13" ht="15.75" customHeight="1">
      <c r="A29" s="182" t="s">
        <v>85</v>
      </c>
      <c r="B29" s="182"/>
      <c r="C29" s="182"/>
      <c r="D29" s="182"/>
      <c r="E29" s="182"/>
      <c r="F29" s="182"/>
      <c r="G29" s="182"/>
      <c r="H29" s="182"/>
      <c r="I29" s="182"/>
      <c r="J29" s="23"/>
      <c r="K29" s="8"/>
      <c r="L29" s="8"/>
      <c r="M29" s="8"/>
    </row>
    <row r="30" spans="1:13" ht="15.75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9"/>
      <c r="J30" s="23"/>
      <c r="K30" s="8"/>
      <c r="L30" s="8"/>
      <c r="M30" s="8"/>
    </row>
    <row r="31" spans="1:13" ht="15.75" customHeight="1">
      <c r="A31" s="40">
        <v>8</v>
      </c>
      <c r="B31" s="79" t="s">
        <v>113</v>
      </c>
      <c r="C31" s="80" t="s">
        <v>114</v>
      </c>
      <c r="D31" s="79" t="s">
        <v>115</v>
      </c>
      <c r="E31" s="82">
        <v>659.5</v>
      </c>
      <c r="F31" s="82">
        <f>SUM(E31*52/1000)</f>
        <v>34.293999999999997</v>
      </c>
      <c r="G31" s="82">
        <v>155.88999999999999</v>
      </c>
      <c r="H31" s="83">
        <f t="shared" ref="H31:H33" si="2">SUM(F31*G31/1000)</f>
        <v>5.346091659999999</v>
      </c>
      <c r="I31" s="13">
        <f>F31/6*G31</f>
        <v>891.01527666666652</v>
      </c>
      <c r="J31" s="23"/>
      <c r="K31" s="8"/>
      <c r="L31" s="8"/>
      <c r="M31" s="8"/>
    </row>
    <row r="32" spans="1:13" ht="31.5" customHeight="1">
      <c r="A32" s="40">
        <v>9</v>
      </c>
      <c r="B32" s="79" t="s">
        <v>149</v>
      </c>
      <c r="C32" s="80" t="s">
        <v>114</v>
      </c>
      <c r="D32" s="79" t="s">
        <v>116</v>
      </c>
      <c r="E32" s="82">
        <v>567.9</v>
      </c>
      <c r="F32" s="82">
        <f>SUM(E32*78/1000)</f>
        <v>44.296199999999999</v>
      </c>
      <c r="G32" s="82">
        <v>258.63</v>
      </c>
      <c r="H32" s="83">
        <f t="shared" si="2"/>
        <v>11.456326206</v>
      </c>
      <c r="I32" s="13">
        <f t="shared" ref="I32:I35" si="3">F32/6*G32</f>
        <v>1909.3877009999999</v>
      </c>
      <c r="J32" s="23"/>
      <c r="K32" s="8"/>
      <c r="L32" s="8"/>
      <c r="M32" s="8"/>
    </row>
    <row r="33" spans="1:14" ht="15.75" hidden="1" customHeight="1">
      <c r="A33" s="40">
        <v>16</v>
      </c>
      <c r="B33" s="79" t="s">
        <v>27</v>
      </c>
      <c r="C33" s="80" t="s">
        <v>114</v>
      </c>
      <c r="D33" s="79" t="s">
        <v>53</v>
      </c>
      <c r="E33" s="82">
        <v>659.5</v>
      </c>
      <c r="F33" s="82">
        <f>SUM(E33/1000)</f>
        <v>0.65949999999999998</v>
      </c>
      <c r="G33" s="82">
        <v>3020.33</v>
      </c>
      <c r="H33" s="83">
        <f t="shared" si="2"/>
        <v>1.9919076349999998</v>
      </c>
      <c r="I33" s="13">
        <f>F33*G33</f>
        <v>1991.9076349999998</v>
      </c>
      <c r="J33" s="23"/>
      <c r="K33" s="8"/>
      <c r="L33" s="8"/>
      <c r="M33" s="8"/>
    </row>
    <row r="34" spans="1:14" ht="15.75" customHeight="1">
      <c r="A34" s="40">
        <v>10</v>
      </c>
      <c r="B34" s="79" t="s">
        <v>136</v>
      </c>
      <c r="C34" s="80" t="s">
        <v>39</v>
      </c>
      <c r="D34" s="79" t="s">
        <v>148</v>
      </c>
      <c r="E34" s="82">
        <v>8</v>
      </c>
      <c r="F34" s="82">
        <v>12.4</v>
      </c>
      <c r="G34" s="82">
        <v>1302.02</v>
      </c>
      <c r="H34" s="83">
        <v>16.145</v>
      </c>
      <c r="I34" s="13">
        <f t="shared" si="3"/>
        <v>2690.8413333333338</v>
      </c>
      <c r="J34" s="23"/>
      <c r="K34" s="8"/>
      <c r="L34" s="8"/>
      <c r="M34" s="8"/>
    </row>
    <row r="35" spans="1:14" ht="15.75" customHeight="1">
      <c r="A35" s="40">
        <v>11</v>
      </c>
      <c r="B35" s="79" t="s">
        <v>117</v>
      </c>
      <c r="C35" s="80" t="s">
        <v>30</v>
      </c>
      <c r="D35" s="79" t="s">
        <v>63</v>
      </c>
      <c r="E35" s="88">
        <v>0.33</v>
      </c>
      <c r="F35" s="82">
        <v>51.666666666666664</v>
      </c>
      <c r="G35" s="82">
        <v>56.69</v>
      </c>
      <c r="H35" s="83">
        <f>SUM(G35*155/3/1000)</f>
        <v>2.9289833333333331</v>
      </c>
      <c r="I35" s="13">
        <f t="shared" si="3"/>
        <v>488.16388888888883</v>
      </c>
      <c r="J35" s="23"/>
      <c r="K35" s="8"/>
    </row>
    <row r="36" spans="1:14" ht="15.75" hidden="1" customHeight="1">
      <c r="A36" s="40">
        <v>4</v>
      </c>
      <c r="B36" s="79" t="s">
        <v>65</v>
      </c>
      <c r="C36" s="80" t="s">
        <v>33</v>
      </c>
      <c r="D36" s="79" t="s">
        <v>67</v>
      </c>
      <c r="E36" s="81"/>
      <c r="F36" s="82">
        <v>4</v>
      </c>
      <c r="G36" s="82">
        <v>191.32</v>
      </c>
      <c r="H36" s="83">
        <f t="shared" ref="H36:H37" si="4">SUM(F36*G36/1000)</f>
        <v>0.76527999999999996</v>
      </c>
      <c r="I36" s="13">
        <v>0</v>
      </c>
      <c r="J36" s="24"/>
    </row>
    <row r="37" spans="1:14" ht="15.75" hidden="1" customHeight="1">
      <c r="A37" s="30">
        <v>8</v>
      </c>
      <c r="B37" s="79" t="s">
        <v>66</v>
      </c>
      <c r="C37" s="80" t="s">
        <v>32</v>
      </c>
      <c r="D37" s="79" t="s">
        <v>67</v>
      </c>
      <c r="E37" s="81"/>
      <c r="F37" s="82">
        <v>3</v>
      </c>
      <c r="G37" s="82">
        <v>1136.32</v>
      </c>
      <c r="H37" s="83">
        <f t="shared" si="4"/>
        <v>3.40896</v>
      </c>
      <c r="I37" s="13">
        <v>0</v>
      </c>
      <c r="J37" s="24"/>
    </row>
    <row r="38" spans="1:14" ht="15.75" hidden="1" customHeight="1">
      <c r="A38" s="40"/>
      <c r="B38" s="48" t="s">
        <v>5</v>
      </c>
      <c r="C38" s="48"/>
      <c r="D38" s="48"/>
      <c r="E38" s="48"/>
      <c r="F38" s="13"/>
      <c r="G38" s="14"/>
      <c r="H38" s="14"/>
      <c r="I38" s="19"/>
      <c r="J38" s="24"/>
    </row>
    <row r="39" spans="1:14" ht="15.75" hidden="1" customHeight="1">
      <c r="A39" s="33">
        <v>6</v>
      </c>
      <c r="B39" s="79" t="s">
        <v>26</v>
      </c>
      <c r="C39" s="80" t="s">
        <v>32</v>
      </c>
      <c r="D39" s="79"/>
      <c r="E39" s="81"/>
      <c r="F39" s="82">
        <v>10</v>
      </c>
      <c r="G39" s="82">
        <v>1527.22</v>
      </c>
      <c r="H39" s="83">
        <f t="shared" ref="H39:H45" si="5">SUM(F39*G39/1000)</f>
        <v>15.272200000000002</v>
      </c>
      <c r="I39" s="13">
        <f>F39/6*G39</f>
        <v>2545.3666666666668</v>
      </c>
      <c r="J39" s="24"/>
    </row>
    <row r="40" spans="1:14" ht="15.75" hidden="1" customHeight="1">
      <c r="A40" s="33">
        <v>7</v>
      </c>
      <c r="B40" s="79" t="s">
        <v>68</v>
      </c>
      <c r="C40" s="80" t="s">
        <v>29</v>
      </c>
      <c r="D40" s="79" t="s">
        <v>137</v>
      </c>
      <c r="E40" s="82">
        <v>567.9</v>
      </c>
      <c r="F40" s="82">
        <f>SUM(E40*50/1000)</f>
        <v>28.395</v>
      </c>
      <c r="G40" s="82">
        <v>2102.71</v>
      </c>
      <c r="H40" s="83">
        <f t="shared" si="5"/>
        <v>59.706450449999998</v>
      </c>
      <c r="I40" s="13">
        <f>F40/6*G40</f>
        <v>9951.0750750000007</v>
      </c>
      <c r="J40" s="24"/>
    </row>
    <row r="41" spans="1:14" ht="15.75" hidden="1" customHeight="1">
      <c r="A41" s="33">
        <v>8</v>
      </c>
      <c r="B41" s="79" t="s">
        <v>95</v>
      </c>
      <c r="C41" s="80" t="s">
        <v>150</v>
      </c>
      <c r="D41" s="79" t="s">
        <v>67</v>
      </c>
      <c r="E41" s="81"/>
      <c r="F41" s="82">
        <v>66</v>
      </c>
      <c r="G41" s="82">
        <v>213.2</v>
      </c>
      <c r="H41" s="83">
        <f t="shared" si="5"/>
        <v>14.071199999999999</v>
      </c>
      <c r="I41" s="13">
        <v>0</v>
      </c>
      <c r="J41" s="24"/>
    </row>
    <row r="42" spans="1:14" ht="15.75" hidden="1" customHeight="1">
      <c r="A42" s="33">
        <v>8</v>
      </c>
      <c r="B42" s="79" t="s">
        <v>69</v>
      </c>
      <c r="C42" s="80" t="s">
        <v>29</v>
      </c>
      <c r="D42" s="79" t="s">
        <v>118</v>
      </c>
      <c r="E42" s="82">
        <v>108</v>
      </c>
      <c r="F42" s="82">
        <f>SUM(E42*155/1000)</f>
        <v>16.739999999999998</v>
      </c>
      <c r="G42" s="82">
        <v>350.75</v>
      </c>
      <c r="H42" s="83">
        <f t="shared" si="5"/>
        <v>5.871554999999999</v>
      </c>
      <c r="I42" s="13">
        <f>F42/6*G42</f>
        <v>978.59249999999986</v>
      </c>
      <c r="J42" s="24"/>
    </row>
    <row r="43" spans="1:14" ht="47.25" hidden="1" customHeight="1">
      <c r="A43" s="33">
        <v>9</v>
      </c>
      <c r="B43" s="79" t="s">
        <v>84</v>
      </c>
      <c r="C43" s="80" t="s">
        <v>114</v>
      </c>
      <c r="D43" s="79" t="s">
        <v>138</v>
      </c>
      <c r="E43" s="82">
        <v>108</v>
      </c>
      <c r="F43" s="82">
        <f>SUM(E43*20/1000)</f>
        <v>2.16</v>
      </c>
      <c r="G43" s="82">
        <v>5803.28</v>
      </c>
      <c r="H43" s="83">
        <f t="shared" si="5"/>
        <v>12.5350848</v>
      </c>
      <c r="I43" s="13">
        <f>F43/6*G43</f>
        <v>2089.1808000000001</v>
      </c>
      <c r="J43" s="24"/>
    </row>
    <row r="44" spans="1:14" ht="15.75" hidden="1" customHeight="1">
      <c r="A44" s="33">
        <v>10</v>
      </c>
      <c r="B44" s="79" t="s">
        <v>119</v>
      </c>
      <c r="C44" s="80" t="s">
        <v>114</v>
      </c>
      <c r="D44" s="79" t="s">
        <v>70</v>
      </c>
      <c r="E44" s="82">
        <v>108</v>
      </c>
      <c r="F44" s="82">
        <f>SUM(E44*45/1000)</f>
        <v>4.8600000000000003</v>
      </c>
      <c r="G44" s="82">
        <v>428.7</v>
      </c>
      <c r="H44" s="83">
        <f t="shared" si="5"/>
        <v>2.0834820000000001</v>
      </c>
      <c r="I44" s="13">
        <f>F44/6*G44</f>
        <v>347.24700000000001</v>
      </c>
      <c r="J44" s="24"/>
      <c r="L44" s="20"/>
      <c r="M44" s="21"/>
      <c r="N44" s="22"/>
    </row>
    <row r="45" spans="1:14" ht="15.75" hidden="1" customHeight="1">
      <c r="A45" s="33">
        <v>11</v>
      </c>
      <c r="B45" s="79" t="s">
        <v>71</v>
      </c>
      <c r="C45" s="80" t="s">
        <v>33</v>
      </c>
      <c r="D45" s="79"/>
      <c r="E45" s="81"/>
      <c r="F45" s="82">
        <v>0.9</v>
      </c>
      <c r="G45" s="82">
        <v>798</v>
      </c>
      <c r="H45" s="83">
        <f t="shared" si="5"/>
        <v>0.71820000000000006</v>
      </c>
      <c r="I45" s="13">
        <f>F45/6*G45</f>
        <v>119.69999999999999</v>
      </c>
      <c r="J45" s="24"/>
      <c r="L45" s="20"/>
      <c r="M45" s="21"/>
      <c r="N45" s="22"/>
    </row>
    <row r="46" spans="1:14" ht="15.75" customHeight="1">
      <c r="A46" s="183" t="s">
        <v>144</v>
      </c>
      <c r="B46" s="184"/>
      <c r="C46" s="184"/>
      <c r="D46" s="184"/>
      <c r="E46" s="184"/>
      <c r="F46" s="184"/>
      <c r="G46" s="184"/>
      <c r="H46" s="184"/>
      <c r="I46" s="185"/>
      <c r="J46" s="24"/>
      <c r="L46" s="20"/>
      <c r="M46" s="21"/>
      <c r="N46" s="22"/>
    </row>
    <row r="47" spans="1:14" ht="15.75" hidden="1" customHeight="1">
      <c r="A47" s="40">
        <v>10</v>
      </c>
      <c r="B47" s="79" t="s">
        <v>120</v>
      </c>
      <c r="C47" s="80" t="s">
        <v>114</v>
      </c>
      <c r="D47" s="79" t="s">
        <v>41</v>
      </c>
      <c r="E47" s="81">
        <v>1571.3</v>
      </c>
      <c r="F47" s="82">
        <f>SUM(E47*2/1000)</f>
        <v>3.1425999999999998</v>
      </c>
      <c r="G47" s="13">
        <v>849.49</v>
      </c>
      <c r="H47" s="83">
        <f t="shared" ref="H47:H55" si="6">SUM(F47*G47/1000)</f>
        <v>2.6696072740000001</v>
      </c>
      <c r="I47" s="13">
        <f t="shared" ref="I47:I49" si="7">F47/2*G47</f>
        <v>1334.803637</v>
      </c>
      <c r="J47" s="24"/>
      <c r="L47" s="20"/>
      <c r="M47" s="21"/>
      <c r="N47" s="22"/>
    </row>
    <row r="48" spans="1:14" ht="15.75" hidden="1" customHeight="1">
      <c r="A48" s="40">
        <v>11</v>
      </c>
      <c r="B48" s="79" t="s">
        <v>34</v>
      </c>
      <c r="C48" s="80" t="s">
        <v>114</v>
      </c>
      <c r="D48" s="79" t="s">
        <v>41</v>
      </c>
      <c r="E48" s="81">
        <v>92.8</v>
      </c>
      <c r="F48" s="82">
        <f>SUM(E48*2/1000)</f>
        <v>0.18559999999999999</v>
      </c>
      <c r="G48" s="13">
        <v>579.48</v>
      </c>
      <c r="H48" s="83">
        <f t="shared" si="6"/>
        <v>0.10755148799999999</v>
      </c>
      <c r="I48" s="13">
        <f t="shared" si="7"/>
        <v>53.775743999999996</v>
      </c>
      <c r="J48" s="24"/>
      <c r="L48" s="20"/>
      <c r="M48" s="21"/>
      <c r="N48" s="22"/>
    </row>
    <row r="49" spans="1:14" ht="15.75" hidden="1" customHeight="1">
      <c r="A49" s="40">
        <v>12</v>
      </c>
      <c r="B49" s="79" t="s">
        <v>35</v>
      </c>
      <c r="C49" s="80" t="s">
        <v>114</v>
      </c>
      <c r="D49" s="79" t="s">
        <v>41</v>
      </c>
      <c r="E49" s="81">
        <v>4737.7</v>
      </c>
      <c r="F49" s="82">
        <f>SUM(E49*2/1000)</f>
        <v>9.4754000000000005</v>
      </c>
      <c r="G49" s="13">
        <v>579.48</v>
      </c>
      <c r="H49" s="83">
        <f t="shared" si="6"/>
        <v>5.4908047920000005</v>
      </c>
      <c r="I49" s="13">
        <f t="shared" si="7"/>
        <v>2745.4023960000004</v>
      </c>
      <c r="J49" s="24"/>
      <c r="L49" s="20"/>
      <c r="M49" s="21"/>
      <c r="N49" s="22"/>
    </row>
    <row r="50" spans="1:14" ht="15.75" hidden="1" customHeight="1">
      <c r="A50" s="40">
        <v>13</v>
      </c>
      <c r="B50" s="79" t="s">
        <v>36</v>
      </c>
      <c r="C50" s="80" t="s">
        <v>114</v>
      </c>
      <c r="D50" s="79" t="s">
        <v>41</v>
      </c>
      <c r="E50" s="81">
        <v>2811.99</v>
      </c>
      <c r="F50" s="82">
        <f>SUM(E50*2/1000)</f>
        <v>5.6239799999999995</v>
      </c>
      <c r="G50" s="13">
        <v>606.77</v>
      </c>
      <c r="H50" s="83">
        <f t="shared" si="6"/>
        <v>3.4124623445999998</v>
      </c>
      <c r="I50" s="13">
        <f>F50/2*G50</f>
        <v>1706.2311722999998</v>
      </c>
      <c r="J50" s="24"/>
      <c r="L50" s="20"/>
      <c r="M50" s="21"/>
      <c r="N50" s="22"/>
    </row>
    <row r="51" spans="1:14" ht="15.75" hidden="1" customHeight="1">
      <c r="A51" s="40">
        <v>14</v>
      </c>
      <c r="B51" s="79" t="s">
        <v>56</v>
      </c>
      <c r="C51" s="80" t="s">
        <v>114</v>
      </c>
      <c r="D51" s="79" t="s">
        <v>151</v>
      </c>
      <c r="E51" s="81">
        <v>1571.3</v>
      </c>
      <c r="F51" s="82">
        <f>SUM(E51*5/1000)</f>
        <v>7.8564999999999996</v>
      </c>
      <c r="G51" s="13">
        <v>1213.55</v>
      </c>
      <c r="H51" s="83">
        <f t="shared" si="6"/>
        <v>9.5342555749999995</v>
      </c>
      <c r="I51" s="13">
        <f>F51/5*G51</f>
        <v>1906.8511149999999</v>
      </c>
      <c r="J51" s="24"/>
      <c r="L51" s="20"/>
      <c r="M51" s="21"/>
      <c r="N51" s="22"/>
    </row>
    <row r="52" spans="1:14" ht="31.5" customHeight="1">
      <c r="A52" s="40">
        <v>12</v>
      </c>
      <c r="B52" s="79" t="s">
        <v>121</v>
      </c>
      <c r="C52" s="80" t="s">
        <v>114</v>
      </c>
      <c r="D52" s="79" t="s">
        <v>41</v>
      </c>
      <c r="E52" s="81">
        <v>1571.3</v>
      </c>
      <c r="F52" s="82">
        <f>SUM(E52*2/1000)</f>
        <v>3.1425999999999998</v>
      </c>
      <c r="G52" s="13">
        <v>1213.55</v>
      </c>
      <c r="H52" s="83">
        <f t="shared" si="6"/>
        <v>3.8137022300000001</v>
      </c>
      <c r="I52" s="13">
        <f t="shared" ref="I52:I53" si="8">F52/2*G52</f>
        <v>1906.8511149999999</v>
      </c>
      <c r="J52" s="24"/>
      <c r="L52" s="20"/>
      <c r="M52" s="21"/>
      <c r="N52" s="22"/>
    </row>
    <row r="53" spans="1:14" ht="31.5" customHeight="1">
      <c r="A53" s="40">
        <v>13</v>
      </c>
      <c r="B53" s="79" t="s">
        <v>122</v>
      </c>
      <c r="C53" s="80" t="s">
        <v>37</v>
      </c>
      <c r="D53" s="79" t="s">
        <v>41</v>
      </c>
      <c r="E53" s="81">
        <v>40</v>
      </c>
      <c r="F53" s="82">
        <f>SUM(E53*2/100)</f>
        <v>0.8</v>
      </c>
      <c r="G53" s="13">
        <v>2730.49</v>
      </c>
      <c r="H53" s="83">
        <f t="shared" si="6"/>
        <v>2.1843919999999999</v>
      </c>
      <c r="I53" s="13">
        <f t="shared" si="8"/>
        <v>1092.1959999999999</v>
      </c>
      <c r="J53" s="24"/>
      <c r="L53" s="20"/>
      <c r="M53" s="21"/>
      <c r="N53" s="22"/>
    </row>
    <row r="54" spans="1:14" ht="15.75" customHeight="1">
      <c r="A54" s="40">
        <v>14</v>
      </c>
      <c r="B54" s="79" t="s">
        <v>38</v>
      </c>
      <c r="C54" s="80" t="s">
        <v>39</v>
      </c>
      <c r="D54" s="79" t="s">
        <v>41</v>
      </c>
      <c r="E54" s="81">
        <v>1</v>
      </c>
      <c r="F54" s="82">
        <v>0.02</v>
      </c>
      <c r="G54" s="13">
        <v>5652.13</v>
      </c>
      <c r="H54" s="83">
        <f t="shared" si="6"/>
        <v>0.11304260000000001</v>
      </c>
      <c r="I54" s="13">
        <f>F54/2*G54</f>
        <v>56.521300000000004</v>
      </c>
      <c r="J54" s="24"/>
      <c r="L54" s="20"/>
      <c r="M54" s="21"/>
      <c r="N54" s="22"/>
    </row>
    <row r="55" spans="1:14" ht="15.75" customHeight="1">
      <c r="A55" s="40">
        <v>15</v>
      </c>
      <c r="B55" s="79" t="s">
        <v>40</v>
      </c>
      <c r="C55" s="80" t="s">
        <v>123</v>
      </c>
      <c r="D55" s="79" t="s">
        <v>72</v>
      </c>
      <c r="E55" s="81">
        <v>238</v>
      </c>
      <c r="F55" s="82">
        <f>SUM(E55)*3</f>
        <v>714</v>
      </c>
      <c r="G55" s="13">
        <v>65.67</v>
      </c>
      <c r="H55" s="83">
        <f t="shared" si="6"/>
        <v>46.888380000000005</v>
      </c>
      <c r="I55" s="13">
        <f>E55*G55</f>
        <v>15629.460000000001</v>
      </c>
      <c r="J55" s="24"/>
      <c r="L55" s="20"/>
      <c r="M55" s="21"/>
      <c r="N55" s="22"/>
    </row>
    <row r="56" spans="1:14" ht="15.75" customHeight="1">
      <c r="A56" s="170" t="s">
        <v>145</v>
      </c>
      <c r="B56" s="171"/>
      <c r="C56" s="171"/>
      <c r="D56" s="171"/>
      <c r="E56" s="171"/>
      <c r="F56" s="171"/>
      <c r="G56" s="171"/>
      <c r="H56" s="171"/>
      <c r="I56" s="172"/>
      <c r="J56" s="24"/>
      <c r="L56" s="20"/>
      <c r="M56" s="21"/>
      <c r="N56" s="22"/>
    </row>
    <row r="57" spans="1:14" ht="15.75" hidden="1" customHeight="1">
      <c r="A57" s="78"/>
      <c r="B57" s="47" t="s">
        <v>42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hidden="1" customHeight="1">
      <c r="A58" s="40">
        <v>14</v>
      </c>
      <c r="B58" s="79" t="s">
        <v>139</v>
      </c>
      <c r="C58" s="80" t="s">
        <v>104</v>
      </c>
      <c r="D58" s="79" t="s">
        <v>124</v>
      </c>
      <c r="E58" s="81">
        <v>48</v>
      </c>
      <c r="F58" s="82">
        <f>E58*6/100</f>
        <v>2.88</v>
      </c>
      <c r="G58" s="89">
        <v>1547.28</v>
      </c>
      <c r="H58" s="83">
        <f>F58*G58/1000</f>
        <v>4.4561663999999999</v>
      </c>
      <c r="I58" s="13">
        <f>F58/6*G58</f>
        <v>742.69439999999997</v>
      </c>
      <c r="J58" s="24"/>
      <c r="L58" s="20"/>
      <c r="M58" s="21"/>
      <c r="N58" s="22"/>
    </row>
    <row r="59" spans="1:14" ht="15.75" hidden="1" customHeight="1">
      <c r="A59" s="40">
        <v>15</v>
      </c>
      <c r="B59" s="90" t="s">
        <v>96</v>
      </c>
      <c r="C59" s="91" t="s">
        <v>104</v>
      </c>
      <c r="D59" s="90" t="s">
        <v>140</v>
      </c>
      <c r="E59" s="92">
        <v>56</v>
      </c>
      <c r="F59" s="93">
        <f>E59*4/100</f>
        <v>2.2400000000000002</v>
      </c>
      <c r="G59" s="89">
        <v>1547.28</v>
      </c>
      <c r="H59" s="94">
        <f>F59*G59/1000</f>
        <v>3.4659072000000002</v>
      </c>
      <c r="I59" s="13">
        <f>F59/6*G59</f>
        <v>577.65120000000002</v>
      </c>
      <c r="J59" s="24"/>
      <c r="L59" s="20"/>
      <c r="M59" s="21"/>
      <c r="N59" s="22"/>
    </row>
    <row r="60" spans="1:14" ht="15.75" hidden="1" customHeight="1">
      <c r="A60" s="40">
        <v>15</v>
      </c>
      <c r="B60" s="90" t="s">
        <v>100</v>
      </c>
      <c r="C60" s="91" t="s">
        <v>101</v>
      </c>
      <c r="D60" s="90" t="s">
        <v>41</v>
      </c>
      <c r="E60" s="92">
        <v>8</v>
      </c>
      <c r="F60" s="93">
        <v>16</v>
      </c>
      <c r="G60" s="95">
        <v>180.78</v>
      </c>
      <c r="H60" s="94">
        <f>F60*G60/1000</f>
        <v>2.8924799999999999</v>
      </c>
      <c r="I60" s="13">
        <f>F60/2*G60</f>
        <v>1446.24</v>
      </c>
      <c r="J60" s="24"/>
      <c r="L60" s="20"/>
      <c r="M60" s="21"/>
      <c r="N60" s="22"/>
    </row>
    <row r="61" spans="1:14" ht="15.75" customHeight="1">
      <c r="A61" s="40"/>
      <c r="B61" s="76" t="s">
        <v>43</v>
      </c>
      <c r="C61" s="76"/>
      <c r="D61" s="76"/>
      <c r="E61" s="76"/>
      <c r="F61" s="76"/>
      <c r="G61" s="76"/>
      <c r="H61" s="76"/>
      <c r="I61" s="35"/>
      <c r="J61" s="24"/>
      <c r="L61" s="20"/>
      <c r="M61" s="21"/>
      <c r="N61" s="22"/>
    </row>
    <row r="62" spans="1:14" ht="15.75" customHeight="1">
      <c r="A62" s="40">
        <v>16</v>
      </c>
      <c r="B62" s="90" t="s">
        <v>97</v>
      </c>
      <c r="C62" s="91" t="s">
        <v>25</v>
      </c>
      <c r="D62" s="90" t="s">
        <v>152</v>
      </c>
      <c r="E62" s="92">
        <v>331.5</v>
      </c>
      <c r="F62" s="93">
        <v>2400</v>
      </c>
      <c r="G62" s="96">
        <v>1.2</v>
      </c>
      <c r="H62" s="94">
        <f>G62*F62/1000</f>
        <v>2.88</v>
      </c>
      <c r="I62" s="13">
        <f>F62/12*G62</f>
        <v>240</v>
      </c>
      <c r="J62" s="24"/>
      <c r="L62" s="20"/>
      <c r="M62" s="21"/>
      <c r="N62" s="22"/>
    </row>
    <row r="63" spans="1:14" ht="22.5" hidden="1" customHeight="1">
      <c r="A63" s="40">
        <v>14</v>
      </c>
      <c r="B63" s="90" t="s">
        <v>44</v>
      </c>
      <c r="C63" s="91" t="s">
        <v>25</v>
      </c>
      <c r="D63" s="90" t="s">
        <v>53</v>
      </c>
      <c r="E63" s="92">
        <v>1571.3</v>
      </c>
      <c r="F63" s="93">
        <f>E63/100</f>
        <v>15.712999999999999</v>
      </c>
      <c r="G63" s="97">
        <v>793.61</v>
      </c>
      <c r="H63" s="94">
        <f>G63*F63/1000</f>
        <v>12.469993929999999</v>
      </c>
      <c r="I63" s="13">
        <v>0</v>
      </c>
      <c r="J63" s="24"/>
      <c r="L63" s="20"/>
      <c r="M63" s="21"/>
      <c r="N63" s="22"/>
    </row>
    <row r="64" spans="1:14" ht="22.5" customHeight="1">
      <c r="A64" s="40"/>
      <c r="B64" s="147" t="s">
        <v>45</v>
      </c>
      <c r="C64" s="157"/>
      <c r="D64" s="15"/>
      <c r="E64" s="19"/>
      <c r="F64" s="13"/>
      <c r="G64" s="13"/>
      <c r="H64" s="100"/>
      <c r="I64" s="13"/>
      <c r="J64" s="24"/>
      <c r="L64" s="20"/>
      <c r="M64" s="21"/>
      <c r="N64" s="22"/>
    </row>
    <row r="65" spans="1:22" ht="22.5" customHeight="1">
      <c r="A65" s="40">
        <v>17</v>
      </c>
      <c r="B65" s="148" t="s">
        <v>46</v>
      </c>
      <c r="C65" s="38" t="s">
        <v>123</v>
      </c>
      <c r="D65" s="15"/>
      <c r="E65" s="19"/>
      <c r="F65" s="13"/>
      <c r="G65" s="36">
        <v>222.4</v>
      </c>
      <c r="H65" s="100"/>
      <c r="I65" s="13">
        <f>G65*1</f>
        <v>222.4</v>
      </c>
      <c r="J65" s="24"/>
      <c r="L65" s="20"/>
      <c r="M65" s="21"/>
      <c r="N65" s="22"/>
    </row>
    <row r="66" spans="1:22" ht="23.25" hidden="1" customHeight="1">
      <c r="A66" s="30">
        <v>29</v>
      </c>
      <c r="B66" s="152" t="s">
        <v>47</v>
      </c>
      <c r="C66" s="153" t="s">
        <v>123</v>
      </c>
      <c r="D66" s="152" t="s">
        <v>67</v>
      </c>
      <c r="E66" s="154">
        <v>17</v>
      </c>
      <c r="F66" s="155">
        <v>20</v>
      </c>
      <c r="G66" s="156">
        <v>76.25</v>
      </c>
      <c r="H66" s="98">
        <f t="shared" ref="H66:H72" si="9">SUM(F66*G66/1000)</f>
        <v>1.5249999999999999</v>
      </c>
      <c r="I66" s="13">
        <v>0</v>
      </c>
    </row>
    <row r="67" spans="1:22" ht="26.25" hidden="1" customHeight="1">
      <c r="A67" s="30">
        <v>26</v>
      </c>
      <c r="B67" s="15" t="s">
        <v>48</v>
      </c>
      <c r="C67" s="17" t="s">
        <v>125</v>
      </c>
      <c r="D67" s="15" t="s">
        <v>53</v>
      </c>
      <c r="E67" s="81">
        <v>22639</v>
      </c>
      <c r="F67" s="13">
        <f>SUM(E67/100)</f>
        <v>226.39</v>
      </c>
      <c r="G67" s="13">
        <v>212.15</v>
      </c>
      <c r="H67" s="98">
        <f t="shared" si="9"/>
        <v>48.0286385</v>
      </c>
      <c r="I67" s="13">
        <f>F67*G67</f>
        <v>48028.638500000001</v>
      </c>
    </row>
    <row r="68" spans="1:22" ht="22.5" hidden="1" customHeight="1">
      <c r="A68" s="30">
        <v>27</v>
      </c>
      <c r="B68" s="15" t="s">
        <v>49</v>
      </c>
      <c r="C68" s="17" t="s">
        <v>126</v>
      </c>
      <c r="D68" s="15"/>
      <c r="E68" s="81">
        <v>22639</v>
      </c>
      <c r="F68" s="13">
        <f>SUM(E68/1000)</f>
        <v>22.638999999999999</v>
      </c>
      <c r="G68" s="13">
        <v>165.21</v>
      </c>
      <c r="H68" s="98">
        <f t="shared" si="9"/>
        <v>3.7401891900000002</v>
      </c>
      <c r="I68" s="13">
        <f t="shared" ref="I68:I72" si="10">F68*G68</f>
        <v>3740.1891900000001</v>
      </c>
    </row>
    <row r="69" spans="1:22" ht="26.25" hidden="1" customHeight="1">
      <c r="A69" s="30">
        <v>28</v>
      </c>
      <c r="B69" s="15" t="s">
        <v>50</v>
      </c>
      <c r="C69" s="17" t="s">
        <v>77</v>
      </c>
      <c r="D69" s="15" t="s">
        <v>53</v>
      </c>
      <c r="E69" s="81">
        <v>3145</v>
      </c>
      <c r="F69" s="13">
        <f>SUM(E69/100)</f>
        <v>31.45</v>
      </c>
      <c r="G69" s="13">
        <v>2074.63</v>
      </c>
      <c r="H69" s="98">
        <f t="shared" si="9"/>
        <v>65.247113499999998</v>
      </c>
      <c r="I69" s="13">
        <f t="shared" si="10"/>
        <v>65247.113499999999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26.25" hidden="1" customHeight="1">
      <c r="A70" s="30">
        <v>29</v>
      </c>
      <c r="B70" s="99" t="s">
        <v>127</v>
      </c>
      <c r="C70" s="17" t="s">
        <v>33</v>
      </c>
      <c r="D70" s="15"/>
      <c r="E70" s="81">
        <v>20.28</v>
      </c>
      <c r="F70" s="13">
        <f>SUM(E70)</f>
        <v>20.28</v>
      </c>
      <c r="G70" s="13">
        <v>42.67</v>
      </c>
      <c r="H70" s="98">
        <f t="shared" si="9"/>
        <v>0.86534760000000011</v>
      </c>
      <c r="I70" s="13">
        <f t="shared" si="10"/>
        <v>865.34760000000006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21" hidden="1" customHeight="1">
      <c r="A71" s="30">
        <v>30</v>
      </c>
      <c r="B71" s="99" t="s">
        <v>153</v>
      </c>
      <c r="C71" s="17" t="s">
        <v>33</v>
      </c>
      <c r="D71" s="15"/>
      <c r="E71" s="81">
        <v>20.28</v>
      </c>
      <c r="F71" s="13">
        <f>SUM(E71)</f>
        <v>20.28</v>
      </c>
      <c r="G71" s="13">
        <v>39.81</v>
      </c>
      <c r="H71" s="98">
        <f t="shared" si="9"/>
        <v>0.80734680000000014</v>
      </c>
      <c r="I71" s="13">
        <f t="shared" si="10"/>
        <v>807.34680000000014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21.75" hidden="1" customHeight="1">
      <c r="A72" s="30">
        <v>12</v>
      </c>
      <c r="B72" s="15" t="s">
        <v>57</v>
      </c>
      <c r="C72" s="17" t="s">
        <v>58</v>
      </c>
      <c r="D72" s="15" t="s">
        <v>53</v>
      </c>
      <c r="E72" s="19">
        <v>15</v>
      </c>
      <c r="F72" s="82">
        <f>SUM(E72)</f>
        <v>15</v>
      </c>
      <c r="G72" s="13">
        <v>49.88</v>
      </c>
      <c r="H72" s="98">
        <f t="shared" si="9"/>
        <v>0.74820000000000009</v>
      </c>
      <c r="I72" s="13">
        <f t="shared" si="10"/>
        <v>748.2</v>
      </c>
      <c r="J72" s="5"/>
      <c r="K72" s="5"/>
      <c r="L72" s="5"/>
      <c r="M72" s="5"/>
      <c r="N72" s="5"/>
      <c r="O72" s="5"/>
      <c r="P72" s="5"/>
      <c r="Q72" s="5"/>
      <c r="R72" s="161"/>
      <c r="S72" s="161"/>
      <c r="T72" s="161"/>
      <c r="U72" s="161"/>
    </row>
    <row r="73" spans="1:22" ht="16.5" hidden="1" customHeight="1">
      <c r="A73" s="30"/>
      <c r="B73" s="48" t="s">
        <v>73</v>
      </c>
      <c r="C73" s="48"/>
      <c r="D73" s="48"/>
      <c r="E73" s="48"/>
      <c r="F73" s="19"/>
      <c r="G73" s="30"/>
      <c r="H73" s="30"/>
      <c r="I73" s="19"/>
    </row>
    <row r="74" spans="1:22" ht="22.5" hidden="1" customHeight="1">
      <c r="A74" s="30">
        <v>13</v>
      </c>
      <c r="B74" s="15" t="s">
        <v>74</v>
      </c>
      <c r="C74" s="17" t="s">
        <v>31</v>
      </c>
      <c r="D74" s="15"/>
      <c r="E74" s="19">
        <v>5</v>
      </c>
      <c r="F74" s="100">
        <v>0.5</v>
      </c>
      <c r="G74" s="13">
        <v>501.62</v>
      </c>
      <c r="H74" s="98">
        <f>F74*G74/1000</f>
        <v>0.25080999999999998</v>
      </c>
      <c r="I74" s="13">
        <f>G74*0.1</f>
        <v>50.162000000000006</v>
      </c>
    </row>
    <row r="75" spans="1:22" ht="22.5" hidden="1" customHeight="1">
      <c r="A75" s="30">
        <v>14</v>
      </c>
      <c r="B75" s="15" t="s">
        <v>131</v>
      </c>
      <c r="C75" s="17" t="s">
        <v>30</v>
      </c>
      <c r="D75" s="15"/>
      <c r="E75" s="19">
        <v>1</v>
      </c>
      <c r="F75" s="13">
        <v>1</v>
      </c>
      <c r="G75" s="13">
        <v>120.26</v>
      </c>
      <c r="H75" s="98">
        <f>G75*F75/1000</f>
        <v>0.12026000000000001</v>
      </c>
      <c r="I75" s="13">
        <f>G75</f>
        <v>120.26</v>
      </c>
    </row>
    <row r="76" spans="1:22" ht="21" hidden="1" customHeight="1">
      <c r="A76" s="30"/>
      <c r="B76" s="15" t="s">
        <v>130</v>
      </c>
      <c r="C76" s="17" t="s">
        <v>30</v>
      </c>
      <c r="D76" s="15"/>
      <c r="E76" s="19">
        <v>1</v>
      </c>
      <c r="F76" s="100">
        <v>1</v>
      </c>
      <c r="G76" s="13">
        <v>99.85</v>
      </c>
      <c r="H76" s="98">
        <f>G76*F76/1000</f>
        <v>9.9849999999999994E-2</v>
      </c>
      <c r="I76" s="13">
        <v>0</v>
      </c>
    </row>
    <row r="77" spans="1:22" ht="17.25" hidden="1" customHeight="1">
      <c r="A77" s="30"/>
      <c r="B77" s="15" t="s">
        <v>88</v>
      </c>
      <c r="C77" s="17" t="s">
        <v>30</v>
      </c>
      <c r="D77" s="15"/>
      <c r="E77" s="19">
        <v>2</v>
      </c>
      <c r="F77" s="82">
        <f>SUM(E77)</f>
        <v>2</v>
      </c>
      <c r="G77" s="13">
        <v>358.51</v>
      </c>
      <c r="H77" s="98">
        <f t="shared" ref="H77" si="11">SUM(F77*G77/1000)</f>
        <v>0.71701999999999999</v>
      </c>
      <c r="I77" s="13">
        <v>0</v>
      </c>
    </row>
    <row r="78" spans="1:22" ht="19.5" hidden="1" customHeight="1">
      <c r="A78" s="30">
        <v>18</v>
      </c>
      <c r="B78" s="15" t="s">
        <v>75</v>
      </c>
      <c r="C78" s="17" t="s">
        <v>30</v>
      </c>
      <c r="D78" s="15"/>
      <c r="E78" s="19">
        <v>2</v>
      </c>
      <c r="F78" s="13">
        <v>2</v>
      </c>
      <c r="G78" s="13">
        <v>852.99</v>
      </c>
      <c r="H78" s="98">
        <f>F78*G78/1000</f>
        <v>1.7059800000000001</v>
      </c>
      <c r="I78" s="13">
        <f>G78</f>
        <v>852.99</v>
      </c>
    </row>
    <row r="79" spans="1:22" ht="21" hidden="1" customHeight="1">
      <c r="A79" s="30"/>
      <c r="B79" s="49" t="s">
        <v>76</v>
      </c>
      <c r="C79" s="38"/>
      <c r="D79" s="30"/>
      <c r="E79" s="30"/>
      <c r="F79" s="19"/>
      <c r="G79" s="36"/>
      <c r="H79" s="36"/>
      <c r="I79" s="19"/>
    </row>
    <row r="80" spans="1:22" ht="21.75" hidden="1" customHeight="1">
      <c r="A80" s="30">
        <v>39</v>
      </c>
      <c r="B80" s="51" t="s">
        <v>132</v>
      </c>
      <c r="C80" s="17" t="s">
        <v>77</v>
      </c>
      <c r="D80" s="15"/>
      <c r="E80" s="19"/>
      <c r="F80" s="13">
        <v>1.35</v>
      </c>
      <c r="G80" s="13">
        <v>2759.44</v>
      </c>
      <c r="H80" s="98">
        <f t="shared" ref="H80" si="12">SUM(F80*G80/1000)</f>
        <v>3.725244</v>
      </c>
      <c r="I80" s="13">
        <v>0</v>
      </c>
    </row>
    <row r="81" spans="1:21" ht="25.5" hidden="1" customHeight="1">
      <c r="A81" s="78"/>
      <c r="B81" s="76" t="s">
        <v>128</v>
      </c>
      <c r="C81" s="76"/>
      <c r="D81" s="76"/>
      <c r="E81" s="76"/>
      <c r="F81" s="76"/>
      <c r="G81" s="76"/>
      <c r="H81" s="76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23.25" hidden="1" customHeight="1">
      <c r="A82" s="30">
        <v>12</v>
      </c>
      <c r="B82" s="79" t="s">
        <v>129</v>
      </c>
      <c r="C82" s="17"/>
      <c r="D82" s="15"/>
      <c r="E82" s="101"/>
      <c r="F82" s="13">
        <v>1</v>
      </c>
      <c r="G82" s="13">
        <v>25286</v>
      </c>
      <c r="H82" s="98">
        <f>G82*F82/1000</f>
        <v>25.286000000000001</v>
      </c>
      <c r="I82" s="13">
        <f>G82</f>
        <v>25286</v>
      </c>
    </row>
    <row r="83" spans="1:21" ht="15.75" customHeight="1">
      <c r="A83" s="170" t="s">
        <v>146</v>
      </c>
      <c r="B83" s="171"/>
      <c r="C83" s="171"/>
      <c r="D83" s="171"/>
      <c r="E83" s="171"/>
      <c r="F83" s="171"/>
      <c r="G83" s="171"/>
      <c r="H83" s="171"/>
      <c r="I83" s="172"/>
    </row>
    <row r="84" spans="1:21" ht="15.75" customHeight="1">
      <c r="A84" s="30">
        <v>18</v>
      </c>
      <c r="B84" s="79" t="s">
        <v>133</v>
      </c>
      <c r="C84" s="17" t="s">
        <v>54</v>
      </c>
      <c r="D84" s="103" t="s">
        <v>55</v>
      </c>
      <c r="E84" s="13">
        <v>5836.1</v>
      </c>
      <c r="F84" s="13">
        <f>SUM(E84*12)</f>
        <v>70033.200000000012</v>
      </c>
      <c r="G84" s="13">
        <v>2.1</v>
      </c>
      <c r="H84" s="98">
        <f>SUM(F84*G84/1000)</f>
        <v>147.06972000000002</v>
      </c>
      <c r="I84" s="13">
        <f>F84/12*G84</f>
        <v>12255.810000000003</v>
      </c>
    </row>
    <row r="85" spans="1:21" ht="31.5" customHeight="1">
      <c r="A85" s="30">
        <v>19</v>
      </c>
      <c r="B85" s="15" t="s">
        <v>78</v>
      </c>
      <c r="C85" s="17"/>
      <c r="D85" s="103" t="s">
        <v>55</v>
      </c>
      <c r="E85" s="81">
        <v>5836.1</v>
      </c>
      <c r="F85" s="13">
        <f>E85*12</f>
        <v>70033.200000000012</v>
      </c>
      <c r="G85" s="13">
        <v>1.63</v>
      </c>
      <c r="H85" s="98">
        <f>F85*G85/1000</f>
        <v>114.15411600000002</v>
      </c>
      <c r="I85" s="13">
        <f>F85/12*G85</f>
        <v>9512.8430000000008</v>
      </c>
    </row>
    <row r="86" spans="1:21" ht="15.75" customHeight="1">
      <c r="A86" s="78"/>
      <c r="B86" s="39" t="s">
        <v>81</v>
      </c>
      <c r="C86" s="40"/>
      <c r="D86" s="16"/>
      <c r="E86" s="16"/>
      <c r="F86" s="16"/>
      <c r="G86" s="19"/>
      <c r="H86" s="19"/>
      <c r="I86" s="32">
        <f>I85+I84+I65++I62+I55+I54+I53+I52+I35+I34+I32+I31+I28+I27+I21+I20+I18+I17+I16</f>
        <v>88948.744795555554</v>
      </c>
    </row>
    <row r="87" spans="1:21" ht="15.75" customHeight="1">
      <c r="A87" s="173" t="s">
        <v>60</v>
      </c>
      <c r="B87" s="174"/>
      <c r="C87" s="174"/>
      <c r="D87" s="174"/>
      <c r="E87" s="174"/>
      <c r="F87" s="174"/>
      <c r="G87" s="174"/>
      <c r="H87" s="174"/>
      <c r="I87" s="175"/>
    </row>
    <row r="88" spans="1:21" ht="15.75" customHeight="1">
      <c r="A88" s="30">
        <v>20</v>
      </c>
      <c r="B88" s="115" t="s">
        <v>255</v>
      </c>
      <c r="C88" s="116" t="s">
        <v>82</v>
      </c>
      <c r="D88" s="47"/>
      <c r="E88" s="47"/>
      <c r="F88" s="47"/>
      <c r="G88" s="36">
        <v>645.19000000000005</v>
      </c>
      <c r="H88" s="47"/>
      <c r="I88" s="150">
        <f>G88*1</f>
        <v>645.19000000000005</v>
      </c>
    </row>
    <row r="89" spans="1:21" ht="15.75" customHeight="1">
      <c r="A89" s="30">
        <v>21</v>
      </c>
      <c r="B89" s="115" t="s">
        <v>256</v>
      </c>
      <c r="C89" s="116" t="s">
        <v>29</v>
      </c>
      <c r="D89" s="47"/>
      <c r="E89" s="47"/>
      <c r="F89" s="47"/>
      <c r="G89" s="36">
        <v>943.51</v>
      </c>
      <c r="H89" s="47"/>
      <c r="I89" s="150">
        <f>G89*0.0135</f>
        <v>12.737385</v>
      </c>
    </row>
    <row r="90" spans="1:21" ht="33" customHeight="1">
      <c r="A90" s="30">
        <v>22</v>
      </c>
      <c r="B90" s="55" t="s">
        <v>158</v>
      </c>
      <c r="C90" s="63" t="s">
        <v>37</v>
      </c>
      <c r="D90" s="47"/>
      <c r="E90" s="47"/>
      <c r="F90" s="47"/>
      <c r="G90" s="36">
        <v>3724.37</v>
      </c>
      <c r="H90" s="47"/>
      <c r="I90" s="150">
        <f>G90*0.02</f>
        <v>74.487399999999994</v>
      </c>
    </row>
    <row r="91" spans="1:21" ht="15.75" customHeight="1">
      <c r="A91" s="30">
        <v>23</v>
      </c>
      <c r="B91" s="119" t="s">
        <v>257</v>
      </c>
      <c r="C91" s="151" t="s">
        <v>123</v>
      </c>
      <c r="D91" s="47"/>
      <c r="E91" s="47"/>
      <c r="F91" s="47"/>
      <c r="G91" s="36">
        <v>2307.56</v>
      </c>
      <c r="H91" s="47"/>
      <c r="I91" s="150">
        <f t="shared" ref="I91:I96" si="13">G91*1</f>
        <v>2307.56</v>
      </c>
    </row>
    <row r="92" spans="1:21" ht="31.5" customHeight="1">
      <c r="A92" s="30">
        <v>24</v>
      </c>
      <c r="B92" s="115" t="s">
        <v>258</v>
      </c>
      <c r="C92" s="116" t="s">
        <v>123</v>
      </c>
      <c r="D92" s="47"/>
      <c r="E92" s="47"/>
      <c r="F92" s="47"/>
      <c r="G92" s="36">
        <v>699.74</v>
      </c>
      <c r="H92" s="47"/>
      <c r="I92" s="150">
        <f t="shared" si="13"/>
        <v>699.74</v>
      </c>
    </row>
    <row r="93" spans="1:21" ht="15.75" customHeight="1">
      <c r="A93" s="30">
        <v>25</v>
      </c>
      <c r="B93" s="115" t="s">
        <v>259</v>
      </c>
      <c r="C93" s="116" t="s">
        <v>123</v>
      </c>
      <c r="D93" s="47"/>
      <c r="E93" s="47"/>
      <c r="F93" s="47"/>
      <c r="G93" s="36">
        <v>30.56</v>
      </c>
      <c r="H93" s="47"/>
      <c r="I93" s="150">
        <f t="shared" si="13"/>
        <v>30.56</v>
      </c>
    </row>
    <row r="94" spans="1:21" ht="15.75" customHeight="1">
      <c r="A94" s="30">
        <v>26</v>
      </c>
      <c r="B94" s="115" t="s">
        <v>260</v>
      </c>
      <c r="C94" s="116" t="s">
        <v>123</v>
      </c>
      <c r="D94" s="47"/>
      <c r="E94" s="47"/>
      <c r="F94" s="47"/>
      <c r="G94" s="36">
        <v>45.79</v>
      </c>
      <c r="H94" s="47"/>
      <c r="I94" s="150">
        <f t="shared" si="13"/>
        <v>45.79</v>
      </c>
    </row>
    <row r="95" spans="1:21" ht="15.75" customHeight="1">
      <c r="A95" s="30">
        <v>27</v>
      </c>
      <c r="B95" s="115" t="s">
        <v>261</v>
      </c>
      <c r="C95" s="116" t="s">
        <v>123</v>
      </c>
      <c r="D95" s="47"/>
      <c r="E95" s="47"/>
      <c r="F95" s="47"/>
      <c r="G95" s="36">
        <v>15.58</v>
      </c>
      <c r="H95" s="47"/>
      <c r="I95" s="150">
        <f t="shared" si="13"/>
        <v>15.58</v>
      </c>
    </row>
    <row r="96" spans="1:21" ht="15.75" customHeight="1">
      <c r="A96" s="30">
        <v>28</v>
      </c>
      <c r="B96" s="55" t="s">
        <v>83</v>
      </c>
      <c r="C96" s="63" t="s">
        <v>123</v>
      </c>
      <c r="D96" s="47"/>
      <c r="E96" s="47"/>
      <c r="F96" s="47"/>
      <c r="G96" s="36">
        <v>197.48</v>
      </c>
      <c r="H96" s="47"/>
      <c r="I96" s="150">
        <f t="shared" si="13"/>
        <v>197.48</v>
      </c>
    </row>
    <row r="97" spans="1:9" ht="29.25" customHeight="1">
      <c r="A97" s="30">
        <v>29</v>
      </c>
      <c r="B97" s="115" t="s">
        <v>250</v>
      </c>
      <c r="C97" s="116" t="s">
        <v>251</v>
      </c>
      <c r="D97" s="47"/>
      <c r="E97" s="47"/>
      <c r="F97" s="47"/>
      <c r="G97" s="36">
        <v>24829.08</v>
      </c>
      <c r="H97" s="47"/>
      <c r="I97" s="150">
        <f>G97*0.01</f>
        <v>248.29080000000002</v>
      </c>
    </row>
    <row r="98" spans="1:9" ht="15.75" customHeight="1">
      <c r="A98" s="30"/>
      <c r="B98" s="45" t="s">
        <v>51</v>
      </c>
      <c r="C98" s="41"/>
      <c r="D98" s="53"/>
      <c r="E98" s="53"/>
      <c r="F98" s="41">
        <v>1</v>
      </c>
      <c r="G98" s="41"/>
      <c r="H98" s="41"/>
      <c r="I98" s="32">
        <f>SUM(I88:I97)</f>
        <v>4277.4155849999997</v>
      </c>
    </row>
    <row r="99" spans="1:9" ht="15.75" customHeight="1">
      <c r="A99" s="30"/>
      <c r="B99" s="51" t="s">
        <v>79</v>
      </c>
      <c r="C99" s="16"/>
      <c r="D99" s="16"/>
      <c r="E99" s="16"/>
      <c r="F99" s="42"/>
      <c r="G99" s="43"/>
      <c r="H99" s="43"/>
      <c r="I99" s="18">
        <v>0</v>
      </c>
    </row>
    <row r="100" spans="1:9" ht="15.75" customHeight="1">
      <c r="A100" s="54"/>
      <c r="B100" s="46" t="s">
        <v>147</v>
      </c>
      <c r="C100" s="34"/>
      <c r="D100" s="34"/>
      <c r="E100" s="34"/>
      <c r="F100" s="34"/>
      <c r="G100" s="34"/>
      <c r="H100" s="34"/>
      <c r="I100" s="44">
        <f>I86+I98</f>
        <v>93226.16038055555</v>
      </c>
    </row>
    <row r="101" spans="1:9" ht="15.75" customHeight="1">
      <c r="A101" s="167" t="s">
        <v>262</v>
      </c>
      <c r="B101" s="167"/>
      <c r="C101" s="167"/>
      <c r="D101" s="167"/>
      <c r="E101" s="167"/>
      <c r="F101" s="167"/>
      <c r="G101" s="167"/>
      <c r="H101" s="167"/>
      <c r="I101" s="167"/>
    </row>
    <row r="102" spans="1:9" ht="15.75" customHeight="1">
      <c r="A102" s="70"/>
      <c r="B102" s="168" t="s">
        <v>263</v>
      </c>
      <c r="C102" s="168"/>
      <c r="D102" s="168"/>
      <c r="E102" s="168"/>
      <c r="F102" s="168"/>
      <c r="G102" s="168"/>
      <c r="H102" s="77"/>
      <c r="I102" s="3"/>
    </row>
    <row r="103" spans="1:9" ht="15.75" customHeight="1">
      <c r="A103" s="73"/>
      <c r="B103" s="166" t="s">
        <v>6</v>
      </c>
      <c r="C103" s="166"/>
      <c r="D103" s="166"/>
      <c r="E103" s="166"/>
      <c r="F103" s="166"/>
      <c r="G103" s="166"/>
      <c r="H103" s="25"/>
      <c r="I103" s="5"/>
    </row>
    <row r="104" spans="1:9" ht="15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 customHeight="1">
      <c r="A105" s="169" t="s">
        <v>7</v>
      </c>
      <c r="B105" s="169"/>
      <c r="C105" s="169"/>
      <c r="D105" s="169"/>
      <c r="E105" s="169"/>
      <c r="F105" s="169"/>
      <c r="G105" s="169"/>
      <c r="H105" s="169"/>
      <c r="I105" s="169"/>
    </row>
    <row r="106" spans="1:9" ht="15.75" customHeight="1">
      <c r="A106" s="169" t="s">
        <v>8</v>
      </c>
      <c r="B106" s="169"/>
      <c r="C106" s="169"/>
      <c r="D106" s="169"/>
      <c r="E106" s="169"/>
      <c r="F106" s="169"/>
      <c r="G106" s="169"/>
      <c r="H106" s="169"/>
      <c r="I106" s="169"/>
    </row>
    <row r="107" spans="1:9" ht="15.75" customHeight="1">
      <c r="A107" s="163" t="s">
        <v>61</v>
      </c>
      <c r="B107" s="163"/>
      <c r="C107" s="163"/>
      <c r="D107" s="163"/>
      <c r="E107" s="163"/>
      <c r="F107" s="163"/>
      <c r="G107" s="163"/>
      <c r="H107" s="163"/>
      <c r="I107" s="163"/>
    </row>
    <row r="108" spans="1:9" ht="15.75" customHeight="1">
      <c r="A108" s="11"/>
    </row>
    <row r="109" spans="1:9" ht="15.75" customHeight="1">
      <c r="A109" s="164" t="s">
        <v>9</v>
      </c>
      <c r="B109" s="164"/>
      <c r="C109" s="164"/>
      <c r="D109" s="164"/>
      <c r="E109" s="164"/>
      <c r="F109" s="164"/>
      <c r="G109" s="164"/>
      <c r="H109" s="164"/>
      <c r="I109" s="164"/>
    </row>
    <row r="110" spans="1:9" ht="15.75" customHeight="1">
      <c r="A110" s="4"/>
    </row>
    <row r="111" spans="1:9" ht="15.75" customHeight="1">
      <c r="B111" s="74" t="s">
        <v>10</v>
      </c>
      <c r="C111" s="165" t="s">
        <v>90</v>
      </c>
      <c r="D111" s="165"/>
      <c r="E111" s="165"/>
      <c r="F111" s="165"/>
      <c r="I111" s="72"/>
    </row>
    <row r="112" spans="1:9" ht="15.75" customHeight="1">
      <c r="A112" s="73"/>
      <c r="C112" s="166" t="s">
        <v>11</v>
      </c>
      <c r="D112" s="166"/>
      <c r="E112" s="166"/>
      <c r="F112" s="166"/>
      <c r="I112" s="71" t="s">
        <v>12</v>
      </c>
    </row>
    <row r="113" spans="1:9" ht="15.75" customHeight="1">
      <c r="A113" s="26"/>
      <c r="C113" s="12"/>
      <c r="D113" s="12"/>
      <c r="E113" s="12"/>
      <c r="G113" s="12"/>
      <c r="H113" s="12"/>
    </row>
    <row r="114" spans="1:9" ht="15.75" customHeight="1">
      <c r="B114" s="74" t="s">
        <v>13</v>
      </c>
      <c r="C114" s="160"/>
      <c r="D114" s="160"/>
      <c r="E114" s="160"/>
      <c r="F114" s="160"/>
      <c r="I114" s="72"/>
    </row>
    <row r="115" spans="1:9" ht="15.75" customHeight="1">
      <c r="A115" s="73"/>
      <c r="C115" s="161" t="s">
        <v>11</v>
      </c>
      <c r="D115" s="161"/>
      <c r="E115" s="161"/>
      <c r="F115" s="161"/>
      <c r="I115" s="71" t="s">
        <v>12</v>
      </c>
    </row>
    <row r="116" spans="1:9" ht="15.75" customHeight="1">
      <c r="A116" s="4" t="s">
        <v>14</v>
      </c>
    </row>
    <row r="117" spans="1:9" ht="15.75" customHeight="1">
      <c r="A117" s="162" t="s">
        <v>15</v>
      </c>
      <c r="B117" s="162"/>
      <c r="C117" s="162"/>
      <c r="D117" s="162"/>
      <c r="E117" s="162"/>
      <c r="F117" s="162"/>
      <c r="G117" s="162"/>
      <c r="H117" s="162"/>
      <c r="I117" s="162"/>
    </row>
    <row r="118" spans="1:9" ht="45" customHeight="1">
      <c r="A118" s="159" t="s">
        <v>16</v>
      </c>
      <c r="B118" s="159"/>
      <c r="C118" s="159"/>
      <c r="D118" s="159"/>
      <c r="E118" s="159"/>
      <c r="F118" s="159"/>
      <c r="G118" s="159"/>
      <c r="H118" s="159"/>
      <c r="I118" s="159"/>
    </row>
    <row r="119" spans="1:9" ht="30" customHeight="1">
      <c r="A119" s="159" t="s">
        <v>17</v>
      </c>
      <c r="B119" s="159"/>
      <c r="C119" s="159"/>
      <c r="D119" s="159"/>
      <c r="E119" s="159"/>
      <c r="F119" s="159"/>
      <c r="G119" s="159"/>
      <c r="H119" s="159"/>
      <c r="I119" s="159"/>
    </row>
    <row r="120" spans="1:9" ht="30" customHeight="1">
      <c r="A120" s="159" t="s">
        <v>21</v>
      </c>
      <c r="B120" s="159"/>
      <c r="C120" s="159"/>
      <c r="D120" s="159"/>
      <c r="E120" s="159"/>
      <c r="F120" s="159"/>
      <c r="G120" s="159"/>
      <c r="H120" s="159"/>
      <c r="I120" s="159"/>
    </row>
    <row r="121" spans="1:9" ht="15" customHeight="1">
      <c r="A121" s="159" t="s">
        <v>20</v>
      </c>
      <c r="B121" s="159"/>
      <c r="C121" s="159"/>
      <c r="D121" s="159"/>
      <c r="E121" s="159"/>
      <c r="F121" s="159"/>
      <c r="G121" s="159"/>
      <c r="H121" s="159"/>
      <c r="I121" s="159"/>
    </row>
  </sheetData>
  <autoFilter ref="I12:I67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2:U72"/>
    <mergeCell ref="C115:F115"/>
    <mergeCell ref="A87:I87"/>
    <mergeCell ref="A101:I101"/>
    <mergeCell ref="B102:G102"/>
    <mergeCell ref="B103:G103"/>
    <mergeCell ref="A105:I105"/>
    <mergeCell ref="A106:I106"/>
    <mergeCell ref="A107:I107"/>
    <mergeCell ref="A109:I109"/>
    <mergeCell ref="C111:F111"/>
    <mergeCell ref="C112:F112"/>
    <mergeCell ref="C114:F114"/>
    <mergeCell ref="A83:I83"/>
    <mergeCell ref="A117:I117"/>
    <mergeCell ref="A118:I118"/>
    <mergeCell ref="A119:I119"/>
    <mergeCell ref="A120:I120"/>
    <mergeCell ref="A121:I12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1"/>
  <sheetViews>
    <sheetView topLeftCell="A89" workbookViewId="0">
      <selection activeCell="B102" sqref="B102:G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4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218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76" t="s">
        <v>168</v>
      </c>
      <c r="B3" s="176"/>
      <c r="C3" s="176"/>
      <c r="D3" s="176"/>
      <c r="E3" s="176"/>
      <c r="F3" s="176"/>
      <c r="G3" s="176"/>
      <c r="H3" s="176"/>
      <c r="I3" s="176"/>
      <c r="J3" s="3"/>
      <c r="K3" s="3"/>
      <c r="L3" s="3"/>
    </row>
    <row r="4" spans="1:13" ht="31.5" customHeight="1">
      <c r="A4" s="177" t="s">
        <v>134</v>
      </c>
      <c r="B4" s="177"/>
      <c r="C4" s="177"/>
      <c r="D4" s="177"/>
      <c r="E4" s="177"/>
      <c r="F4" s="177"/>
      <c r="G4" s="177"/>
      <c r="H4" s="177"/>
      <c r="I4" s="177"/>
    </row>
    <row r="5" spans="1:13" ht="15.75" customHeight="1">
      <c r="A5" s="176" t="s">
        <v>264</v>
      </c>
      <c r="B5" s="180"/>
      <c r="C5" s="180"/>
      <c r="D5" s="180"/>
      <c r="E5" s="180"/>
      <c r="F5" s="180"/>
      <c r="G5" s="180"/>
      <c r="H5" s="180"/>
      <c r="I5" s="180"/>
      <c r="J5" s="2"/>
      <c r="K5" s="2"/>
      <c r="L5" s="2"/>
      <c r="M5" s="2"/>
    </row>
    <row r="6" spans="1:13" ht="15.75" customHeight="1">
      <c r="A6" s="2"/>
      <c r="B6" s="109"/>
      <c r="C6" s="109"/>
      <c r="D6" s="109"/>
      <c r="E6" s="109"/>
      <c r="F6" s="109"/>
      <c r="G6" s="109"/>
      <c r="H6" s="109"/>
      <c r="I6" s="31">
        <v>43434</v>
      </c>
      <c r="J6" s="2"/>
      <c r="K6" s="2"/>
      <c r="L6" s="2"/>
      <c r="M6" s="2"/>
    </row>
    <row r="7" spans="1:13" ht="15.75" customHeight="1">
      <c r="B7" s="113"/>
      <c r="C7" s="113"/>
      <c r="D7" s="113"/>
      <c r="E7" s="113"/>
      <c r="F7" s="3"/>
      <c r="G7" s="3"/>
      <c r="H7" s="3"/>
      <c r="J7" s="3"/>
      <c r="K7" s="3"/>
      <c r="L7" s="3"/>
      <c r="M7" s="3"/>
    </row>
    <row r="8" spans="1:13" ht="78.75" customHeight="1">
      <c r="A8" s="178" t="s">
        <v>220</v>
      </c>
      <c r="B8" s="178"/>
      <c r="C8" s="178"/>
      <c r="D8" s="178"/>
      <c r="E8" s="178"/>
      <c r="F8" s="178"/>
      <c r="G8" s="178"/>
      <c r="H8" s="178"/>
      <c r="I8" s="17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9" t="s">
        <v>143</v>
      </c>
      <c r="B10" s="179"/>
      <c r="C10" s="179"/>
      <c r="D10" s="179"/>
      <c r="E10" s="179"/>
      <c r="F10" s="179"/>
      <c r="G10" s="179"/>
      <c r="H10" s="179"/>
      <c r="I10" s="17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81" t="s">
        <v>59</v>
      </c>
      <c r="B14" s="181"/>
      <c r="C14" s="181"/>
      <c r="D14" s="181"/>
      <c r="E14" s="181"/>
      <c r="F14" s="181"/>
      <c r="G14" s="181"/>
      <c r="H14" s="181"/>
      <c r="I14" s="181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0">
        <v>1</v>
      </c>
      <c r="B16" s="79" t="s">
        <v>87</v>
      </c>
      <c r="C16" s="80" t="s">
        <v>104</v>
      </c>
      <c r="D16" s="79" t="s">
        <v>105</v>
      </c>
      <c r="E16" s="81">
        <v>164.38</v>
      </c>
      <c r="F16" s="82">
        <f>SUM(E16*156/100)</f>
        <v>256.43279999999999</v>
      </c>
      <c r="G16" s="82">
        <v>175.38</v>
      </c>
      <c r="H16" s="83">
        <f t="shared" ref="H16:H28" si="0">SUM(F16*G16/1000)</f>
        <v>44.973184463999999</v>
      </c>
      <c r="I16" s="13">
        <f>F16/12*G16</f>
        <v>3747.7653719999998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93</v>
      </c>
      <c r="C17" s="80" t="s">
        <v>104</v>
      </c>
      <c r="D17" s="79" t="s">
        <v>106</v>
      </c>
      <c r="E17" s="81">
        <v>657.52</v>
      </c>
      <c r="F17" s="82">
        <f>SUM(E17*104/100)</f>
        <v>683.82079999999996</v>
      </c>
      <c r="G17" s="82">
        <v>175.38</v>
      </c>
      <c r="H17" s="83">
        <f t="shared" si="0"/>
        <v>119.928491904</v>
      </c>
      <c r="I17" s="13">
        <f>F17/12*G17</f>
        <v>9994.0409919999984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94</v>
      </c>
      <c r="C18" s="80" t="s">
        <v>104</v>
      </c>
      <c r="D18" s="79" t="s">
        <v>107</v>
      </c>
      <c r="E18" s="81">
        <f>SUM(E16+E17)</f>
        <v>821.9</v>
      </c>
      <c r="F18" s="82">
        <f>SUM(E18*24/100)</f>
        <v>197.25599999999997</v>
      </c>
      <c r="G18" s="82">
        <v>504.5</v>
      </c>
      <c r="H18" s="83">
        <f t="shared" si="0"/>
        <v>99.515651999999989</v>
      </c>
      <c r="I18" s="13">
        <f>F18/12*G18</f>
        <v>8292.9709999999995</v>
      </c>
      <c r="J18" s="23"/>
      <c r="K18" s="8"/>
      <c r="L18" s="8"/>
      <c r="M18" s="8"/>
    </row>
    <row r="19" spans="1:13" ht="16.5" customHeight="1">
      <c r="A19" s="30">
        <v>4</v>
      </c>
      <c r="B19" s="79" t="s">
        <v>108</v>
      </c>
      <c r="C19" s="80" t="s">
        <v>109</v>
      </c>
      <c r="D19" s="79" t="s">
        <v>181</v>
      </c>
      <c r="E19" s="81">
        <v>58.4</v>
      </c>
      <c r="F19" s="136">
        <v>6.9</v>
      </c>
      <c r="G19" s="136">
        <v>193.55</v>
      </c>
      <c r="H19" s="83">
        <f t="shared" ref="H19:H20" si="1">SUM(F19*G19/1000)</f>
        <v>1.3354950000000001</v>
      </c>
      <c r="I19" s="13">
        <f>F19*G19/12</f>
        <v>111.29125000000001</v>
      </c>
      <c r="J19" s="23"/>
      <c r="K19" s="8"/>
      <c r="L19" s="8"/>
      <c r="M19" s="8"/>
    </row>
    <row r="20" spans="1:13" ht="15" customHeight="1">
      <c r="A20" s="30">
        <v>5</v>
      </c>
      <c r="B20" s="79" t="s">
        <v>98</v>
      </c>
      <c r="C20" s="80" t="s">
        <v>104</v>
      </c>
      <c r="D20" s="79" t="s">
        <v>181</v>
      </c>
      <c r="E20" s="136">
        <v>1.61</v>
      </c>
      <c r="F20" s="136">
        <v>1.61</v>
      </c>
      <c r="G20" s="136">
        <v>191.98</v>
      </c>
      <c r="H20" s="83">
        <f t="shared" si="1"/>
        <v>0.30908780000000002</v>
      </c>
      <c r="I20" s="13">
        <f>F20*G20/12</f>
        <v>25.757316666666668</v>
      </c>
      <c r="J20" s="23"/>
      <c r="K20" s="8"/>
      <c r="L20" s="8"/>
      <c r="M20" s="8"/>
    </row>
    <row r="21" spans="1:13" ht="16.5" hidden="1" customHeight="1">
      <c r="A21" s="30">
        <v>6</v>
      </c>
      <c r="B21" s="79" t="s">
        <v>99</v>
      </c>
      <c r="C21" s="80" t="s">
        <v>104</v>
      </c>
      <c r="D21" s="79" t="s">
        <v>53</v>
      </c>
      <c r="E21" s="81">
        <v>13.41</v>
      </c>
      <c r="F21" s="82">
        <f>SUM(E21/100)</f>
        <v>0.1341</v>
      </c>
      <c r="G21" s="82">
        <v>216.12</v>
      </c>
      <c r="H21" s="83">
        <f t="shared" si="0"/>
        <v>2.8981692E-2</v>
      </c>
      <c r="I21" s="13">
        <f t="shared" ref="I21:I26" si="2">F21*G21</f>
        <v>28.981691999999999</v>
      </c>
      <c r="J21" s="23"/>
      <c r="K21" s="8"/>
      <c r="L21" s="8"/>
      <c r="M21" s="8"/>
    </row>
    <row r="22" spans="1:13" ht="13.5" hidden="1" customHeight="1">
      <c r="A22" s="30">
        <v>7</v>
      </c>
      <c r="B22" s="79" t="s">
        <v>111</v>
      </c>
      <c r="C22" s="80" t="s">
        <v>52</v>
      </c>
      <c r="D22" s="79" t="s">
        <v>110</v>
      </c>
      <c r="E22" s="81">
        <v>1025.5999999999999</v>
      </c>
      <c r="F22" s="82">
        <f>SUM(E22/100)</f>
        <v>10.255999999999998</v>
      </c>
      <c r="G22" s="82">
        <v>269.26</v>
      </c>
      <c r="H22" s="83">
        <f t="shared" si="0"/>
        <v>2.7615305599999997</v>
      </c>
      <c r="I22" s="13">
        <f t="shared" si="2"/>
        <v>2761.5305599999997</v>
      </c>
      <c r="J22" s="23"/>
      <c r="K22" s="8"/>
      <c r="L22" s="8"/>
      <c r="M22" s="8"/>
    </row>
    <row r="23" spans="1:13" ht="15" hidden="1" customHeight="1">
      <c r="A23" s="30">
        <v>8</v>
      </c>
      <c r="B23" s="79" t="s">
        <v>112</v>
      </c>
      <c r="C23" s="80" t="s">
        <v>52</v>
      </c>
      <c r="D23" s="79" t="s">
        <v>110</v>
      </c>
      <c r="E23" s="84">
        <v>60.5</v>
      </c>
      <c r="F23" s="82">
        <f>SUM(E23/100)</f>
        <v>0.60499999999999998</v>
      </c>
      <c r="G23" s="82">
        <v>44.29</v>
      </c>
      <c r="H23" s="83">
        <f t="shared" si="0"/>
        <v>2.6795449999999998E-2</v>
      </c>
      <c r="I23" s="13">
        <f t="shared" si="2"/>
        <v>26.795449999999999</v>
      </c>
      <c r="J23" s="23"/>
      <c r="K23" s="8"/>
      <c r="L23" s="8"/>
      <c r="M23" s="8"/>
    </row>
    <row r="24" spans="1:13" ht="15" hidden="1" customHeight="1">
      <c r="A24" s="30">
        <v>9</v>
      </c>
      <c r="B24" s="79" t="s">
        <v>102</v>
      </c>
      <c r="C24" s="80" t="s">
        <v>52</v>
      </c>
      <c r="D24" s="79" t="s">
        <v>53</v>
      </c>
      <c r="E24" s="85">
        <v>19.149999999999999</v>
      </c>
      <c r="F24" s="82">
        <f>E24/100</f>
        <v>0.19149999999999998</v>
      </c>
      <c r="G24" s="82">
        <v>389.42</v>
      </c>
      <c r="H24" s="83">
        <f>G24*F24/100</f>
        <v>0.74573929999999988</v>
      </c>
      <c r="I24" s="13">
        <f t="shared" si="2"/>
        <v>74.57392999999999</v>
      </c>
      <c r="J24" s="23"/>
      <c r="K24" s="8"/>
      <c r="L24" s="8"/>
      <c r="M24" s="8"/>
    </row>
    <row r="25" spans="1:13" ht="14.25" hidden="1" customHeight="1">
      <c r="A25" s="30">
        <v>10</v>
      </c>
      <c r="B25" s="79" t="s">
        <v>135</v>
      </c>
      <c r="C25" s="80" t="s">
        <v>52</v>
      </c>
      <c r="D25" s="79" t="s">
        <v>53</v>
      </c>
      <c r="E25" s="86">
        <v>31.5</v>
      </c>
      <c r="F25" s="82">
        <f>E25/100</f>
        <v>0.315</v>
      </c>
      <c r="G25" s="82">
        <v>216.12</v>
      </c>
      <c r="H25" s="83">
        <f>G25*F25/1000</f>
        <v>6.8077799999999994E-2</v>
      </c>
      <c r="I25" s="13">
        <f t="shared" si="2"/>
        <v>68.077799999999996</v>
      </c>
      <c r="J25" s="23"/>
      <c r="K25" s="8"/>
      <c r="L25" s="8"/>
      <c r="M25" s="8"/>
    </row>
    <row r="26" spans="1:13" ht="15.75" hidden="1" customHeight="1">
      <c r="A26" s="30">
        <v>11</v>
      </c>
      <c r="B26" s="79" t="s">
        <v>103</v>
      </c>
      <c r="C26" s="80" t="s">
        <v>52</v>
      </c>
      <c r="D26" s="79" t="s">
        <v>53</v>
      </c>
      <c r="E26" s="81">
        <v>37.5</v>
      </c>
      <c r="F26" s="82">
        <f>SUM(E26/100)</f>
        <v>0.375</v>
      </c>
      <c r="G26" s="82">
        <v>520.79999999999995</v>
      </c>
      <c r="H26" s="83">
        <f t="shared" si="0"/>
        <v>0.19529999999999997</v>
      </c>
      <c r="I26" s="13">
        <f t="shared" si="2"/>
        <v>195.29999999999998</v>
      </c>
      <c r="J26" s="23"/>
      <c r="K26" s="8"/>
      <c r="L26" s="8"/>
      <c r="M26" s="8"/>
    </row>
    <row r="27" spans="1:13" ht="15.75" customHeight="1">
      <c r="A27" s="30">
        <v>6</v>
      </c>
      <c r="B27" s="79" t="s">
        <v>64</v>
      </c>
      <c r="C27" s="80" t="s">
        <v>33</v>
      </c>
      <c r="D27" s="79"/>
      <c r="E27" s="81">
        <v>0.1</v>
      </c>
      <c r="F27" s="82">
        <f>SUM(E27*365)</f>
        <v>36.5</v>
      </c>
      <c r="G27" s="82">
        <v>147.03</v>
      </c>
      <c r="H27" s="83">
        <f t="shared" si="0"/>
        <v>5.3665950000000002</v>
      </c>
      <c r="I27" s="13">
        <f>F27/12*G27</f>
        <v>447.21625</v>
      </c>
      <c r="J27" s="23"/>
      <c r="K27" s="8"/>
      <c r="L27" s="8"/>
      <c r="M27" s="8"/>
    </row>
    <row r="28" spans="1:13" ht="15.75" hidden="1" customHeight="1">
      <c r="A28" s="30">
        <v>5</v>
      </c>
      <c r="B28" s="87" t="s">
        <v>23</v>
      </c>
      <c r="C28" s="80" t="s">
        <v>24</v>
      </c>
      <c r="D28" s="79"/>
      <c r="E28" s="81">
        <v>5836.1</v>
      </c>
      <c r="F28" s="82">
        <f>SUM(E28*12)</f>
        <v>70033.200000000012</v>
      </c>
      <c r="G28" s="82">
        <v>3.33</v>
      </c>
      <c r="H28" s="83">
        <f t="shared" si="0"/>
        <v>233.21055600000005</v>
      </c>
      <c r="I28" s="13">
        <f>F28/12*G28</f>
        <v>19434.213000000003</v>
      </c>
      <c r="J28" s="23"/>
      <c r="K28" s="8"/>
      <c r="L28" s="8"/>
      <c r="M28" s="8"/>
    </row>
    <row r="29" spans="1:13" ht="15.75" customHeight="1">
      <c r="A29" s="182" t="s">
        <v>85</v>
      </c>
      <c r="B29" s="182"/>
      <c r="C29" s="182"/>
      <c r="D29" s="182"/>
      <c r="E29" s="182"/>
      <c r="F29" s="182"/>
      <c r="G29" s="182"/>
      <c r="H29" s="182"/>
      <c r="I29" s="182"/>
      <c r="J29" s="23"/>
      <c r="K29" s="8"/>
      <c r="L29" s="8"/>
      <c r="M29" s="8"/>
    </row>
    <row r="30" spans="1:13" ht="15.75" hidden="1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9"/>
      <c r="J30" s="23"/>
      <c r="K30" s="8"/>
      <c r="L30" s="8"/>
      <c r="M30" s="8"/>
    </row>
    <row r="31" spans="1:13" ht="15.75" hidden="1" customHeight="1">
      <c r="A31" s="40">
        <v>6</v>
      </c>
      <c r="B31" s="79" t="s">
        <v>113</v>
      </c>
      <c r="C31" s="80" t="s">
        <v>114</v>
      </c>
      <c r="D31" s="79" t="s">
        <v>115</v>
      </c>
      <c r="E31" s="82">
        <v>659.5</v>
      </c>
      <c r="F31" s="82">
        <f>SUM(E31*52/1000)</f>
        <v>34.293999999999997</v>
      </c>
      <c r="G31" s="82">
        <v>155.88999999999999</v>
      </c>
      <c r="H31" s="83">
        <f t="shared" ref="H31:H33" si="3">SUM(F31*G31/1000)</f>
        <v>5.346091659999999</v>
      </c>
      <c r="I31" s="13">
        <f>F31/6*G31</f>
        <v>891.01527666666652</v>
      </c>
      <c r="J31" s="23"/>
      <c r="K31" s="8"/>
      <c r="L31" s="8"/>
      <c r="M31" s="8"/>
    </row>
    <row r="32" spans="1:13" ht="31.5" hidden="1" customHeight="1">
      <c r="A32" s="40">
        <v>7</v>
      </c>
      <c r="B32" s="79" t="s">
        <v>149</v>
      </c>
      <c r="C32" s="80" t="s">
        <v>114</v>
      </c>
      <c r="D32" s="79" t="s">
        <v>116</v>
      </c>
      <c r="E32" s="82">
        <v>567.9</v>
      </c>
      <c r="F32" s="82">
        <f>SUM(E32*78/1000)</f>
        <v>44.296199999999999</v>
      </c>
      <c r="G32" s="82">
        <v>258.63</v>
      </c>
      <c r="H32" s="83">
        <f t="shared" si="3"/>
        <v>11.456326206</v>
      </c>
      <c r="I32" s="13">
        <f t="shared" ref="I32:I35" si="4">F32/6*G32</f>
        <v>1909.3877009999999</v>
      </c>
      <c r="J32" s="23"/>
      <c r="K32" s="8"/>
      <c r="L32" s="8"/>
      <c r="M32" s="8"/>
    </row>
    <row r="33" spans="1:14" ht="15.75" hidden="1" customHeight="1">
      <c r="A33" s="40">
        <v>16</v>
      </c>
      <c r="B33" s="79" t="s">
        <v>27</v>
      </c>
      <c r="C33" s="80" t="s">
        <v>114</v>
      </c>
      <c r="D33" s="79" t="s">
        <v>53</v>
      </c>
      <c r="E33" s="82">
        <v>659.5</v>
      </c>
      <c r="F33" s="82">
        <f>SUM(E33/1000)</f>
        <v>0.65949999999999998</v>
      </c>
      <c r="G33" s="82">
        <v>3020.33</v>
      </c>
      <c r="H33" s="83">
        <f t="shared" si="3"/>
        <v>1.9919076349999998</v>
      </c>
      <c r="I33" s="13">
        <f>F33*G33</f>
        <v>1991.9076349999998</v>
      </c>
      <c r="J33" s="23"/>
      <c r="K33" s="8"/>
      <c r="L33" s="8"/>
      <c r="M33" s="8"/>
    </row>
    <row r="34" spans="1:14" ht="15.75" hidden="1" customHeight="1">
      <c r="A34" s="40">
        <v>8</v>
      </c>
      <c r="B34" s="79" t="s">
        <v>136</v>
      </c>
      <c r="C34" s="80" t="s">
        <v>39</v>
      </c>
      <c r="D34" s="79" t="s">
        <v>148</v>
      </c>
      <c r="E34" s="82">
        <v>8</v>
      </c>
      <c r="F34" s="82">
        <v>12.4</v>
      </c>
      <c r="G34" s="82">
        <v>1302.02</v>
      </c>
      <c r="H34" s="83">
        <v>16.145</v>
      </c>
      <c r="I34" s="13">
        <f t="shared" si="4"/>
        <v>2690.8413333333338</v>
      </c>
      <c r="J34" s="23"/>
      <c r="K34" s="8"/>
      <c r="L34" s="8"/>
      <c r="M34" s="8"/>
    </row>
    <row r="35" spans="1:14" ht="15.75" hidden="1" customHeight="1">
      <c r="A35" s="40">
        <v>9</v>
      </c>
      <c r="B35" s="79" t="s">
        <v>117</v>
      </c>
      <c r="C35" s="80" t="s">
        <v>30</v>
      </c>
      <c r="D35" s="79" t="s">
        <v>63</v>
      </c>
      <c r="E35" s="88">
        <v>0.33</v>
      </c>
      <c r="F35" s="82">
        <v>51.666666666666664</v>
      </c>
      <c r="G35" s="82">
        <v>56.69</v>
      </c>
      <c r="H35" s="83">
        <f>SUM(G35*155/3/1000)</f>
        <v>2.9289833333333331</v>
      </c>
      <c r="I35" s="13">
        <f t="shared" si="4"/>
        <v>488.16388888888883</v>
      </c>
      <c r="J35" s="23"/>
      <c r="K35" s="8"/>
    </row>
    <row r="36" spans="1:14" ht="15.75" hidden="1" customHeight="1">
      <c r="A36" s="40">
        <v>4</v>
      </c>
      <c r="B36" s="79" t="s">
        <v>65</v>
      </c>
      <c r="C36" s="80" t="s">
        <v>33</v>
      </c>
      <c r="D36" s="79" t="s">
        <v>67</v>
      </c>
      <c r="E36" s="81"/>
      <c r="F36" s="82">
        <v>4</v>
      </c>
      <c r="G36" s="82">
        <v>191.32</v>
      </c>
      <c r="H36" s="83">
        <f t="shared" ref="H36:H37" si="5">SUM(F36*G36/1000)</f>
        <v>0.76527999999999996</v>
      </c>
      <c r="I36" s="13">
        <v>0</v>
      </c>
      <c r="J36" s="24"/>
    </row>
    <row r="37" spans="1:14" ht="15.75" hidden="1" customHeight="1">
      <c r="A37" s="30">
        <v>8</v>
      </c>
      <c r="B37" s="79" t="s">
        <v>66</v>
      </c>
      <c r="C37" s="80" t="s">
        <v>32</v>
      </c>
      <c r="D37" s="79" t="s">
        <v>67</v>
      </c>
      <c r="E37" s="81"/>
      <c r="F37" s="82">
        <v>3</v>
      </c>
      <c r="G37" s="82">
        <v>1136.32</v>
      </c>
      <c r="H37" s="83">
        <f t="shared" si="5"/>
        <v>3.40896</v>
      </c>
      <c r="I37" s="13">
        <v>0</v>
      </c>
      <c r="J37" s="24"/>
    </row>
    <row r="38" spans="1:14" ht="15.75" customHeight="1">
      <c r="A38" s="40"/>
      <c r="B38" s="48" t="s">
        <v>5</v>
      </c>
      <c r="C38" s="48"/>
      <c r="D38" s="48"/>
      <c r="E38" s="48"/>
      <c r="F38" s="13"/>
      <c r="G38" s="14"/>
      <c r="H38" s="14"/>
      <c r="I38" s="19"/>
      <c r="J38" s="24"/>
    </row>
    <row r="39" spans="1:14" ht="15.75" customHeight="1">
      <c r="A39" s="33">
        <v>7</v>
      </c>
      <c r="B39" s="79" t="s">
        <v>26</v>
      </c>
      <c r="C39" s="80" t="s">
        <v>32</v>
      </c>
      <c r="D39" s="79"/>
      <c r="E39" s="81"/>
      <c r="F39" s="82">
        <v>10</v>
      </c>
      <c r="G39" s="82">
        <v>1527.22</v>
      </c>
      <c r="H39" s="83">
        <f t="shared" ref="H39:H45" si="6">SUM(F39*G39/1000)</f>
        <v>15.272200000000002</v>
      </c>
      <c r="I39" s="13">
        <f>F39/6*G39</f>
        <v>2545.3666666666668</v>
      </c>
      <c r="J39" s="24"/>
    </row>
    <row r="40" spans="1:14" ht="15.75" customHeight="1">
      <c r="A40" s="33">
        <v>8</v>
      </c>
      <c r="B40" s="79" t="s">
        <v>68</v>
      </c>
      <c r="C40" s="80" t="s">
        <v>29</v>
      </c>
      <c r="D40" s="79" t="s">
        <v>137</v>
      </c>
      <c r="E40" s="82">
        <v>567.9</v>
      </c>
      <c r="F40" s="82">
        <f>SUM(E40*50/1000)</f>
        <v>28.395</v>
      </c>
      <c r="G40" s="82">
        <v>2102.71</v>
      </c>
      <c r="H40" s="83">
        <f t="shared" si="6"/>
        <v>59.706450449999998</v>
      </c>
      <c r="I40" s="13">
        <f>F40/6*G40</f>
        <v>9951.0750750000007</v>
      </c>
      <c r="J40" s="24"/>
    </row>
    <row r="41" spans="1:14" ht="15.75" hidden="1" customHeight="1">
      <c r="A41" s="33">
        <v>8</v>
      </c>
      <c r="B41" s="79" t="s">
        <v>95</v>
      </c>
      <c r="C41" s="80" t="s">
        <v>150</v>
      </c>
      <c r="D41" s="79" t="s">
        <v>67</v>
      </c>
      <c r="E41" s="81"/>
      <c r="F41" s="82">
        <v>66</v>
      </c>
      <c r="G41" s="82">
        <v>213.2</v>
      </c>
      <c r="H41" s="83">
        <f t="shared" si="6"/>
        <v>14.071199999999999</v>
      </c>
      <c r="I41" s="13">
        <v>0</v>
      </c>
      <c r="J41" s="24"/>
    </row>
    <row r="42" spans="1:14" ht="15.75" customHeight="1">
      <c r="A42" s="33">
        <v>9</v>
      </c>
      <c r="B42" s="79" t="s">
        <v>69</v>
      </c>
      <c r="C42" s="80" t="s">
        <v>29</v>
      </c>
      <c r="D42" s="79" t="s">
        <v>118</v>
      </c>
      <c r="E42" s="82">
        <v>108</v>
      </c>
      <c r="F42" s="82">
        <f>SUM(E42*155/1000)</f>
        <v>16.739999999999998</v>
      </c>
      <c r="G42" s="82">
        <v>350.75</v>
      </c>
      <c r="H42" s="83">
        <f t="shared" si="6"/>
        <v>5.871554999999999</v>
      </c>
      <c r="I42" s="13">
        <f>F42/6*G42</f>
        <v>978.59249999999986</v>
      </c>
      <c r="J42" s="24"/>
    </row>
    <row r="43" spans="1:14" ht="47.25" customHeight="1">
      <c r="A43" s="33">
        <v>10</v>
      </c>
      <c r="B43" s="79" t="s">
        <v>84</v>
      </c>
      <c r="C43" s="80" t="s">
        <v>114</v>
      </c>
      <c r="D43" s="79" t="s">
        <v>138</v>
      </c>
      <c r="E43" s="82">
        <v>108</v>
      </c>
      <c r="F43" s="82">
        <f>SUM(E43*20/1000)</f>
        <v>2.16</v>
      </c>
      <c r="G43" s="82">
        <v>5803.28</v>
      </c>
      <c r="H43" s="83">
        <f t="shared" si="6"/>
        <v>12.5350848</v>
      </c>
      <c r="I43" s="13">
        <f>F43/6*G43</f>
        <v>2089.1808000000001</v>
      </c>
      <c r="J43" s="24"/>
    </row>
    <row r="44" spans="1:14" ht="15.75" customHeight="1">
      <c r="A44" s="33">
        <v>11</v>
      </c>
      <c r="B44" s="79" t="s">
        <v>119</v>
      </c>
      <c r="C44" s="80" t="s">
        <v>114</v>
      </c>
      <c r="D44" s="79" t="s">
        <v>70</v>
      </c>
      <c r="E44" s="82">
        <v>108</v>
      </c>
      <c r="F44" s="82">
        <f>SUM(E44*45/1000)</f>
        <v>4.8600000000000003</v>
      </c>
      <c r="G44" s="82">
        <v>428.7</v>
      </c>
      <c r="H44" s="83">
        <f t="shared" si="6"/>
        <v>2.0834820000000001</v>
      </c>
      <c r="I44" s="13">
        <f>F44/7.5*G44</f>
        <v>277.79759999999999</v>
      </c>
      <c r="J44" s="24"/>
      <c r="L44" s="20"/>
      <c r="M44" s="21"/>
      <c r="N44" s="22"/>
    </row>
    <row r="45" spans="1:14" ht="15.75" customHeight="1">
      <c r="A45" s="33">
        <v>12</v>
      </c>
      <c r="B45" s="79" t="s">
        <v>71</v>
      </c>
      <c r="C45" s="80" t="s">
        <v>33</v>
      </c>
      <c r="D45" s="79"/>
      <c r="E45" s="81"/>
      <c r="F45" s="82">
        <v>0.9</v>
      </c>
      <c r="G45" s="82">
        <v>798</v>
      </c>
      <c r="H45" s="83">
        <f t="shared" si="6"/>
        <v>0.71820000000000006</v>
      </c>
      <c r="I45" s="13">
        <f>F45/7.5*G45</f>
        <v>95.76</v>
      </c>
      <c r="J45" s="24"/>
      <c r="L45" s="20"/>
      <c r="M45" s="21"/>
      <c r="N45" s="22"/>
    </row>
    <row r="46" spans="1:14" ht="15.75" hidden="1" customHeight="1">
      <c r="A46" s="183" t="s">
        <v>144</v>
      </c>
      <c r="B46" s="184"/>
      <c r="C46" s="184"/>
      <c r="D46" s="184"/>
      <c r="E46" s="184"/>
      <c r="F46" s="184"/>
      <c r="G46" s="184"/>
      <c r="H46" s="184"/>
      <c r="I46" s="185"/>
      <c r="J46" s="24"/>
      <c r="L46" s="20"/>
      <c r="M46" s="21"/>
      <c r="N46" s="22"/>
    </row>
    <row r="47" spans="1:14" ht="15.75" hidden="1" customHeight="1">
      <c r="A47" s="40">
        <v>10</v>
      </c>
      <c r="B47" s="79" t="s">
        <v>120</v>
      </c>
      <c r="C47" s="80" t="s">
        <v>114</v>
      </c>
      <c r="D47" s="79" t="s">
        <v>41</v>
      </c>
      <c r="E47" s="81">
        <v>1571.3</v>
      </c>
      <c r="F47" s="82">
        <f>SUM(E47*2/1000)</f>
        <v>3.1425999999999998</v>
      </c>
      <c r="G47" s="13">
        <v>849.49</v>
      </c>
      <c r="H47" s="83">
        <f t="shared" ref="H47:H55" si="7">SUM(F47*G47/1000)</f>
        <v>2.6696072740000001</v>
      </c>
      <c r="I47" s="13">
        <f t="shared" ref="I47:I49" si="8">F47/2*G47</f>
        <v>1334.803637</v>
      </c>
      <c r="J47" s="24"/>
      <c r="L47" s="20"/>
      <c r="M47" s="21"/>
      <c r="N47" s="22"/>
    </row>
    <row r="48" spans="1:14" ht="15.75" hidden="1" customHeight="1">
      <c r="A48" s="40">
        <v>11</v>
      </c>
      <c r="B48" s="79" t="s">
        <v>34</v>
      </c>
      <c r="C48" s="80" t="s">
        <v>114</v>
      </c>
      <c r="D48" s="79" t="s">
        <v>41</v>
      </c>
      <c r="E48" s="81">
        <v>92.8</v>
      </c>
      <c r="F48" s="82">
        <f>SUM(E48*2/1000)</f>
        <v>0.18559999999999999</v>
      </c>
      <c r="G48" s="13">
        <v>579.48</v>
      </c>
      <c r="H48" s="83">
        <f t="shared" si="7"/>
        <v>0.10755148799999999</v>
      </c>
      <c r="I48" s="13">
        <f t="shared" si="8"/>
        <v>53.775743999999996</v>
      </c>
      <c r="J48" s="24"/>
      <c r="L48" s="20"/>
      <c r="M48" s="21"/>
      <c r="N48" s="22"/>
    </row>
    <row r="49" spans="1:14" ht="15.75" hidden="1" customHeight="1">
      <c r="A49" s="40">
        <v>12</v>
      </c>
      <c r="B49" s="79" t="s">
        <v>35</v>
      </c>
      <c r="C49" s="80" t="s">
        <v>114</v>
      </c>
      <c r="D49" s="79" t="s">
        <v>41</v>
      </c>
      <c r="E49" s="81">
        <v>4737.7</v>
      </c>
      <c r="F49" s="82">
        <f>SUM(E49*2/1000)</f>
        <v>9.4754000000000005</v>
      </c>
      <c r="G49" s="13">
        <v>579.48</v>
      </c>
      <c r="H49" s="83">
        <f t="shared" si="7"/>
        <v>5.4908047920000005</v>
      </c>
      <c r="I49" s="13">
        <f t="shared" si="8"/>
        <v>2745.4023960000004</v>
      </c>
      <c r="J49" s="24"/>
      <c r="L49" s="20"/>
      <c r="M49" s="21"/>
      <c r="N49" s="22"/>
    </row>
    <row r="50" spans="1:14" ht="15.75" hidden="1" customHeight="1">
      <c r="A50" s="40">
        <v>13</v>
      </c>
      <c r="B50" s="79" t="s">
        <v>36</v>
      </c>
      <c r="C50" s="80" t="s">
        <v>114</v>
      </c>
      <c r="D50" s="79" t="s">
        <v>41</v>
      </c>
      <c r="E50" s="81">
        <v>2811.99</v>
      </c>
      <c r="F50" s="82">
        <f>SUM(E50*2/1000)</f>
        <v>5.6239799999999995</v>
      </c>
      <c r="G50" s="13">
        <v>606.77</v>
      </c>
      <c r="H50" s="83">
        <f t="shared" si="7"/>
        <v>3.4124623445999998</v>
      </c>
      <c r="I50" s="13">
        <f>F50/2*G50</f>
        <v>1706.2311722999998</v>
      </c>
      <c r="J50" s="24"/>
      <c r="L50" s="20"/>
      <c r="M50" s="21"/>
      <c r="N50" s="22"/>
    </row>
    <row r="51" spans="1:14" ht="15.75" hidden="1" customHeight="1">
      <c r="A51" s="40">
        <v>14</v>
      </c>
      <c r="B51" s="79" t="s">
        <v>56</v>
      </c>
      <c r="C51" s="80" t="s">
        <v>114</v>
      </c>
      <c r="D51" s="79" t="s">
        <v>151</v>
      </c>
      <c r="E51" s="81">
        <v>1571.3</v>
      </c>
      <c r="F51" s="82">
        <f>SUM(E51*5/1000)</f>
        <v>7.8564999999999996</v>
      </c>
      <c r="G51" s="13">
        <v>1213.55</v>
      </c>
      <c r="H51" s="83">
        <f t="shared" si="7"/>
        <v>9.5342555749999995</v>
      </c>
      <c r="I51" s="13">
        <f>F51/5*G51</f>
        <v>1906.8511149999999</v>
      </c>
      <c r="J51" s="24"/>
      <c r="L51" s="20"/>
      <c r="M51" s="21"/>
      <c r="N51" s="22"/>
    </row>
    <row r="52" spans="1:14" ht="31.5" hidden="1" customHeight="1">
      <c r="A52" s="40">
        <v>10</v>
      </c>
      <c r="B52" s="79" t="s">
        <v>121</v>
      </c>
      <c r="C52" s="80" t="s">
        <v>114</v>
      </c>
      <c r="D52" s="79" t="s">
        <v>41</v>
      </c>
      <c r="E52" s="81">
        <v>1571.3</v>
      </c>
      <c r="F52" s="82">
        <f>SUM(E52*2/1000)</f>
        <v>3.1425999999999998</v>
      </c>
      <c r="G52" s="13">
        <v>1213.55</v>
      </c>
      <c r="H52" s="83">
        <f t="shared" si="7"/>
        <v>3.8137022300000001</v>
      </c>
      <c r="I52" s="13">
        <f t="shared" ref="I52:I53" si="9">F52/2*G52</f>
        <v>1906.8511149999999</v>
      </c>
      <c r="J52" s="24"/>
      <c r="L52" s="20"/>
      <c r="M52" s="21"/>
      <c r="N52" s="22"/>
    </row>
    <row r="53" spans="1:14" ht="31.5" hidden="1" customHeight="1">
      <c r="A53" s="40">
        <v>11</v>
      </c>
      <c r="B53" s="79" t="s">
        <v>122</v>
      </c>
      <c r="C53" s="80" t="s">
        <v>37</v>
      </c>
      <c r="D53" s="79" t="s">
        <v>41</v>
      </c>
      <c r="E53" s="81">
        <v>40</v>
      </c>
      <c r="F53" s="82">
        <f>SUM(E53*2/100)</f>
        <v>0.8</v>
      </c>
      <c r="G53" s="13">
        <v>2730.49</v>
      </c>
      <c r="H53" s="83">
        <f t="shared" si="7"/>
        <v>2.1843919999999999</v>
      </c>
      <c r="I53" s="13">
        <f t="shared" si="9"/>
        <v>1092.1959999999999</v>
      </c>
      <c r="J53" s="24"/>
      <c r="L53" s="20"/>
      <c r="M53" s="21"/>
      <c r="N53" s="22"/>
    </row>
    <row r="54" spans="1:14" ht="15.75" hidden="1" customHeight="1">
      <c r="A54" s="40">
        <v>12</v>
      </c>
      <c r="B54" s="79" t="s">
        <v>38</v>
      </c>
      <c r="C54" s="80" t="s">
        <v>39</v>
      </c>
      <c r="D54" s="79" t="s">
        <v>41</v>
      </c>
      <c r="E54" s="81">
        <v>1</v>
      </c>
      <c r="F54" s="82">
        <v>0.02</v>
      </c>
      <c r="G54" s="13">
        <v>5652.13</v>
      </c>
      <c r="H54" s="83">
        <f t="shared" si="7"/>
        <v>0.11304260000000001</v>
      </c>
      <c r="I54" s="13">
        <f>F54/2*G54</f>
        <v>56.521300000000004</v>
      </c>
      <c r="J54" s="24"/>
      <c r="L54" s="20"/>
      <c r="M54" s="21"/>
      <c r="N54" s="22"/>
    </row>
    <row r="55" spans="1:14" ht="15.75" hidden="1" customHeight="1">
      <c r="A55" s="40">
        <v>13</v>
      </c>
      <c r="B55" s="79" t="s">
        <v>40</v>
      </c>
      <c r="C55" s="80" t="s">
        <v>123</v>
      </c>
      <c r="D55" s="79" t="s">
        <v>72</v>
      </c>
      <c r="E55" s="81">
        <v>238</v>
      </c>
      <c r="F55" s="82">
        <f>SUM(E55)*3</f>
        <v>714</v>
      </c>
      <c r="G55" s="13">
        <v>65.67</v>
      </c>
      <c r="H55" s="83">
        <f t="shared" si="7"/>
        <v>46.888380000000005</v>
      </c>
      <c r="I55" s="13">
        <f>E55*G55</f>
        <v>15629.460000000001</v>
      </c>
      <c r="J55" s="24"/>
      <c r="L55" s="20"/>
      <c r="M55" s="21"/>
      <c r="N55" s="22"/>
    </row>
    <row r="56" spans="1:14" ht="15.75" customHeight="1">
      <c r="A56" s="170" t="s">
        <v>161</v>
      </c>
      <c r="B56" s="171"/>
      <c r="C56" s="171"/>
      <c r="D56" s="171"/>
      <c r="E56" s="171"/>
      <c r="F56" s="171"/>
      <c r="G56" s="171"/>
      <c r="H56" s="171"/>
      <c r="I56" s="172"/>
      <c r="J56" s="24"/>
      <c r="L56" s="20"/>
      <c r="M56" s="21"/>
      <c r="N56" s="22"/>
    </row>
    <row r="57" spans="1:14" ht="15.75" customHeight="1">
      <c r="A57" s="111"/>
      <c r="B57" s="47" t="s">
        <v>42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hidden="1" customHeight="1">
      <c r="A58" s="40">
        <v>12</v>
      </c>
      <c r="B58" s="79" t="s">
        <v>139</v>
      </c>
      <c r="C58" s="80" t="s">
        <v>104</v>
      </c>
      <c r="D58" s="79" t="s">
        <v>124</v>
      </c>
      <c r="E58" s="81">
        <v>48</v>
      </c>
      <c r="F58" s="82">
        <f>E58*6/100</f>
        <v>2.88</v>
      </c>
      <c r="G58" s="89">
        <v>1547.28</v>
      </c>
      <c r="H58" s="83">
        <f>F58*G58/1000</f>
        <v>4.4561663999999999</v>
      </c>
      <c r="I58" s="13">
        <f>F58/6*G58</f>
        <v>742.69439999999997</v>
      </c>
      <c r="J58" s="24"/>
      <c r="L58" s="20"/>
      <c r="M58" s="21"/>
      <c r="N58" s="22"/>
    </row>
    <row r="59" spans="1:14" ht="15.75" customHeight="1">
      <c r="A59" s="40">
        <v>13</v>
      </c>
      <c r="B59" s="90" t="s">
        <v>96</v>
      </c>
      <c r="C59" s="91" t="s">
        <v>104</v>
      </c>
      <c r="D59" s="90" t="s">
        <v>140</v>
      </c>
      <c r="E59" s="92">
        <v>56</v>
      </c>
      <c r="F59" s="93">
        <f>E59*4/100</f>
        <v>2.2400000000000002</v>
      </c>
      <c r="G59" s="89">
        <v>1547.28</v>
      </c>
      <c r="H59" s="94">
        <f>F59*G59/1000</f>
        <v>3.4659072000000002</v>
      </c>
      <c r="I59" s="13">
        <f>F59/6*G59</f>
        <v>577.65120000000002</v>
      </c>
      <c r="J59" s="24"/>
      <c r="L59" s="20"/>
      <c r="M59" s="21"/>
      <c r="N59" s="22"/>
    </row>
    <row r="60" spans="1:14" ht="15.75" hidden="1" customHeight="1">
      <c r="A60" s="40">
        <v>15</v>
      </c>
      <c r="B60" s="90" t="s">
        <v>100</v>
      </c>
      <c r="C60" s="91" t="s">
        <v>101</v>
      </c>
      <c r="D60" s="90" t="s">
        <v>41</v>
      </c>
      <c r="E60" s="92">
        <v>8</v>
      </c>
      <c r="F60" s="93">
        <v>16</v>
      </c>
      <c r="G60" s="95">
        <v>180.78</v>
      </c>
      <c r="H60" s="94">
        <f>F60*G60/1000</f>
        <v>2.8924799999999999</v>
      </c>
      <c r="I60" s="13">
        <f>F60/2*G60</f>
        <v>1446.24</v>
      </c>
      <c r="J60" s="24"/>
      <c r="L60" s="20"/>
      <c r="M60" s="21"/>
      <c r="N60" s="22"/>
    </row>
    <row r="61" spans="1:14" ht="15.75" customHeight="1">
      <c r="A61" s="40"/>
      <c r="B61" s="110" t="s">
        <v>43</v>
      </c>
      <c r="C61" s="110"/>
      <c r="D61" s="110"/>
      <c r="E61" s="110"/>
      <c r="F61" s="110"/>
      <c r="G61" s="110"/>
      <c r="H61" s="110"/>
      <c r="I61" s="35"/>
      <c r="J61" s="24"/>
      <c r="L61" s="20"/>
      <c r="M61" s="21"/>
      <c r="N61" s="22"/>
    </row>
    <row r="62" spans="1:14" ht="15.75" customHeight="1">
      <c r="A62" s="40">
        <v>14</v>
      </c>
      <c r="B62" s="90" t="s">
        <v>97</v>
      </c>
      <c r="C62" s="91" t="s">
        <v>25</v>
      </c>
      <c r="D62" s="90" t="s">
        <v>152</v>
      </c>
      <c r="E62" s="92">
        <v>331.5</v>
      </c>
      <c r="F62" s="93">
        <v>2400</v>
      </c>
      <c r="G62" s="96">
        <v>1.2</v>
      </c>
      <c r="H62" s="94">
        <f>G62*F62/1000</f>
        <v>2.88</v>
      </c>
      <c r="I62" s="13">
        <f>F62/12*G62</f>
        <v>240</v>
      </c>
      <c r="J62" s="24"/>
      <c r="L62" s="20"/>
      <c r="M62" s="21"/>
      <c r="N62" s="22"/>
    </row>
    <row r="63" spans="1:14" ht="15.75" hidden="1" customHeight="1">
      <c r="A63" s="40">
        <v>14</v>
      </c>
      <c r="B63" s="90" t="s">
        <v>44</v>
      </c>
      <c r="C63" s="91" t="s">
        <v>25</v>
      </c>
      <c r="D63" s="90" t="s">
        <v>53</v>
      </c>
      <c r="E63" s="92">
        <v>1571.3</v>
      </c>
      <c r="F63" s="93">
        <f>E63/100</f>
        <v>15.712999999999999</v>
      </c>
      <c r="G63" s="97">
        <v>793.61</v>
      </c>
      <c r="H63" s="94">
        <f>G63*F63/1000</f>
        <v>12.469993929999999</v>
      </c>
      <c r="I63" s="13">
        <v>0</v>
      </c>
      <c r="J63" s="24"/>
      <c r="L63" s="20"/>
      <c r="M63" s="21"/>
      <c r="N63" s="22"/>
    </row>
    <row r="64" spans="1:14" ht="15.75" customHeight="1">
      <c r="A64" s="40"/>
      <c r="B64" s="110" t="s">
        <v>45</v>
      </c>
      <c r="C64" s="17"/>
      <c r="D64" s="37"/>
      <c r="E64" s="37"/>
      <c r="F64" s="16"/>
      <c r="G64" s="30"/>
      <c r="H64" s="30"/>
      <c r="I64" s="19"/>
      <c r="J64" s="24"/>
      <c r="L64" s="20"/>
      <c r="M64" s="21"/>
      <c r="N64" s="22"/>
    </row>
    <row r="65" spans="1:22" ht="22.5" customHeight="1">
      <c r="A65" s="40">
        <v>15</v>
      </c>
      <c r="B65" s="15" t="s">
        <v>46</v>
      </c>
      <c r="C65" s="17" t="s">
        <v>123</v>
      </c>
      <c r="D65" s="15" t="s">
        <v>67</v>
      </c>
      <c r="E65" s="19">
        <v>35</v>
      </c>
      <c r="F65" s="82">
        <v>35</v>
      </c>
      <c r="G65" s="13">
        <v>222.4</v>
      </c>
      <c r="H65" s="98">
        <f t="shared" ref="H65:H72" si="10">SUM(F65*G65/1000)</f>
        <v>7.7839999999999998</v>
      </c>
      <c r="I65" s="13">
        <f>G65*2</f>
        <v>444.8</v>
      </c>
      <c r="J65" s="24"/>
      <c r="L65" s="20"/>
    </row>
    <row r="66" spans="1:22" ht="17.25" hidden="1" customHeight="1">
      <c r="A66" s="30">
        <v>29</v>
      </c>
      <c r="B66" s="15" t="s">
        <v>47</v>
      </c>
      <c r="C66" s="17" t="s">
        <v>123</v>
      </c>
      <c r="D66" s="15" t="s">
        <v>67</v>
      </c>
      <c r="E66" s="19">
        <v>17</v>
      </c>
      <c r="F66" s="82">
        <v>20</v>
      </c>
      <c r="G66" s="13">
        <v>76.25</v>
      </c>
      <c r="H66" s="98">
        <f t="shared" si="10"/>
        <v>1.5249999999999999</v>
      </c>
      <c r="I66" s="13">
        <v>0</v>
      </c>
    </row>
    <row r="67" spans="1:22" ht="21" hidden="1" customHeight="1">
      <c r="A67" s="30">
        <v>26</v>
      </c>
      <c r="B67" s="15" t="s">
        <v>48</v>
      </c>
      <c r="C67" s="17" t="s">
        <v>125</v>
      </c>
      <c r="D67" s="15" t="s">
        <v>53</v>
      </c>
      <c r="E67" s="81">
        <v>22639</v>
      </c>
      <c r="F67" s="13">
        <f>SUM(E67/100)</f>
        <v>226.39</v>
      </c>
      <c r="G67" s="13">
        <v>212.15</v>
      </c>
      <c r="H67" s="98">
        <f t="shared" si="10"/>
        <v>48.0286385</v>
      </c>
      <c r="I67" s="13">
        <f>F67*G67</f>
        <v>48028.638500000001</v>
      </c>
    </row>
    <row r="68" spans="1:22" ht="20.25" hidden="1" customHeight="1">
      <c r="A68" s="30">
        <v>27</v>
      </c>
      <c r="B68" s="15" t="s">
        <v>49</v>
      </c>
      <c r="C68" s="17" t="s">
        <v>126</v>
      </c>
      <c r="D68" s="15"/>
      <c r="E68" s="81">
        <v>22639</v>
      </c>
      <c r="F68" s="13">
        <f>SUM(E68/1000)</f>
        <v>22.638999999999999</v>
      </c>
      <c r="G68" s="13">
        <v>165.21</v>
      </c>
      <c r="H68" s="98">
        <f t="shared" si="10"/>
        <v>3.7401891900000002</v>
      </c>
      <c r="I68" s="13">
        <f t="shared" ref="I68:I72" si="11">F68*G68</f>
        <v>3740.1891900000001</v>
      </c>
    </row>
    <row r="69" spans="1:22" ht="18.75" hidden="1" customHeight="1">
      <c r="A69" s="30">
        <v>28</v>
      </c>
      <c r="B69" s="15" t="s">
        <v>50</v>
      </c>
      <c r="C69" s="17" t="s">
        <v>77</v>
      </c>
      <c r="D69" s="15" t="s">
        <v>53</v>
      </c>
      <c r="E69" s="81">
        <v>3145</v>
      </c>
      <c r="F69" s="13">
        <f>SUM(E69/100)</f>
        <v>31.45</v>
      </c>
      <c r="G69" s="13">
        <v>2074.63</v>
      </c>
      <c r="H69" s="98">
        <f t="shared" si="10"/>
        <v>65.247113499999998</v>
      </c>
      <c r="I69" s="13">
        <f t="shared" si="11"/>
        <v>65247.113499999999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9.5" hidden="1" customHeight="1">
      <c r="A70" s="30">
        <v>29</v>
      </c>
      <c r="B70" s="99" t="s">
        <v>127</v>
      </c>
      <c r="C70" s="17" t="s">
        <v>33</v>
      </c>
      <c r="D70" s="15"/>
      <c r="E70" s="81">
        <v>20.28</v>
      </c>
      <c r="F70" s="13">
        <f>SUM(E70)</f>
        <v>20.28</v>
      </c>
      <c r="G70" s="13">
        <v>42.67</v>
      </c>
      <c r="H70" s="98">
        <f t="shared" si="10"/>
        <v>0.86534760000000011</v>
      </c>
      <c r="I70" s="13">
        <f t="shared" si="11"/>
        <v>865.34760000000006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4.25" hidden="1" customHeight="1">
      <c r="A71" s="30">
        <v>30</v>
      </c>
      <c r="B71" s="99" t="s">
        <v>153</v>
      </c>
      <c r="C71" s="17" t="s">
        <v>33</v>
      </c>
      <c r="D71" s="15"/>
      <c r="E71" s="81">
        <v>20.28</v>
      </c>
      <c r="F71" s="13">
        <f>SUM(E71)</f>
        <v>20.28</v>
      </c>
      <c r="G71" s="13">
        <v>39.81</v>
      </c>
      <c r="H71" s="98">
        <f t="shared" si="10"/>
        <v>0.80734680000000014</v>
      </c>
      <c r="I71" s="13">
        <f t="shared" si="11"/>
        <v>807.34680000000014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6.5" hidden="1" customHeight="1">
      <c r="A72" s="30">
        <v>12</v>
      </c>
      <c r="B72" s="15" t="s">
        <v>57</v>
      </c>
      <c r="C72" s="17" t="s">
        <v>58</v>
      </c>
      <c r="D72" s="15" t="s">
        <v>53</v>
      </c>
      <c r="E72" s="19">
        <v>15</v>
      </c>
      <c r="F72" s="82">
        <f>SUM(E72)</f>
        <v>15</v>
      </c>
      <c r="G72" s="13">
        <v>49.88</v>
      </c>
      <c r="H72" s="98">
        <f t="shared" si="10"/>
        <v>0.74820000000000009</v>
      </c>
      <c r="I72" s="13">
        <f t="shared" si="11"/>
        <v>748.2</v>
      </c>
      <c r="J72" s="5"/>
      <c r="K72" s="5"/>
      <c r="L72" s="5"/>
      <c r="M72" s="5"/>
      <c r="N72" s="5"/>
      <c r="O72" s="5"/>
      <c r="P72" s="5"/>
      <c r="Q72" s="5"/>
      <c r="R72" s="161"/>
      <c r="S72" s="161"/>
      <c r="T72" s="161"/>
      <c r="U72" s="161"/>
    </row>
    <row r="73" spans="1:22" ht="17.25" hidden="1" customHeight="1">
      <c r="A73" s="30"/>
      <c r="B73" s="48" t="s">
        <v>73</v>
      </c>
      <c r="C73" s="48"/>
      <c r="D73" s="48"/>
      <c r="E73" s="48"/>
      <c r="F73" s="19"/>
      <c r="G73" s="30"/>
      <c r="H73" s="30"/>
      <c r="I73" s="19"/>
    </row>
    <row r="74" spans="1:22" ht="16.5" hidden="1" customHeight="1">
      <c r="A74" s="30">
        <v>13</v>
      </c>
      <c r="B74" s="15" t="s">
        <v>74</v>
      </c>
      <c r="C74" s="17" t="s">
        <v>31</v>
      </c>
      <c r="D74" s="15"/>
      <c r="E74" s="19">
        <v>5</v>
      </c>
      <c r="F74" s="100">
        <v>0.5</v>
      </c>
      <c r="G74" s="13">
        <v>501.62</v>
      </c>
      <c r="H74" s="98">
        <f>F74*G74/1000</f>
        <v>0.25080999999999998</v>
      </c>
      <c r="I74" s="13">
        <f>G74*0.1</f>
        <v>50.162000000000006</v>
      </c>
    </row>
    <row r="75" spans="1:22" ht="17.25" hidden="1" customHeight="1">
      <c r="A75" s="30">
        <v>14</v>
      </c>
      <c r="B75" s="15" t="s">
        <v>131</v>
      </c>
      <c r="C75" s="17" t="s">
        <v>30</v>
      </c>
      <c r="D75" s="15"/>
      <c r="E75" s="19">
        <v>1</v>
      </c>
      <c r="F75" s="13">
        <v>1</v>
      </c>
      <c r="G75" s="13">
        <v>120.26</v>
      </c>
      <c r="H75" s="98">
        <f>G75*F75/1000</f>
        <v>0.12026000000000001</v>
      </c>
      <c r="I75" s="13">
        <f>G75</f>
        <v>120.26</v>
      </c>
    </row>
    <row r="76" spans="1:22" ht="18.75" hidden="1" customHeight="1">
      <c r="A76" s="30"/>
      <c r="B76" s="15" t="s">
        <v>130</v>
      </c>
      <c r="C76" s="17" t="s">
        <v>30</v>
      </c>
      <c r="D76" s="15"/>
      <c r="E76" s="19">
        <v>1</v>
      </c>
      <c r="F76" s="100">
        <v>1</v>
      </c>
      <c r="G76" s="13">
        <v>99.85</v>
      </c>
      <c r="H76" s="98">
        <f>G76*F76/1000</f>
        <v>9.9849999999999994E-2</v>
      </c>
      <c r="I76" s="13">
        <v>0</v>
      </c>
    </row>
    <row r="77" spans="1:22" ht="20.25" hidden="1" customHeight="1">
      <c r="A77" s="30"/>
      <c r="B77" s="15" t="s">
        <v>88</v>
      </c>
      <c r="C77" s="17" t="s">
        <v>30</v>
      </c>
      <c r="D77" s="15"/>
      <c r="E77" s="19">
        <v>2</v>
      </c>
      <c r="F77" s="82">
        <f>SUM(E77)</f>
        <v>2</v>
      </c>
      <c r="G77" s="13">
        <v>358.51</v>
      </c>
      <c r="H77" s="98">
        <f t="shared" ref="H77" si="12">SUM(F77*G77/1000)</f>
        <v>0.71701999999999999</v>
      </c>
      <c r="I77" s="13">
        <v>0</v>
      </c>
    </row>
    <row r="78" spans="1:22" ht="20.25" hidden="1" customHeight="1">
      <c r="A78" s="30">
        <v>18</v>
      </c>
      <c r="B78" s="15" t="s">
        <v>75</v>
      </c>
      <c r="C78" s="17" t="s">
        <v>30</v>
      </c>
      <c r="D78" s="15"/>
      <c r="E78" s="19">
        <v>2</v>
      </c>
      <c r="F78" s="13">
        <v>2</v>
      </c>
      <c r="G78" s="13">
        <v>852.99</v>
      </c>
      <c r="H78" s="98">
        <f>F78*G78/1000</f>
        <v>1.7059800000000001</v>
      </c>
      <c r="I78" s="13">
        <f>G78</f>
        <v>852.99</v>
      </c>
    </row>
    <row r="79" spans="1:22" ht="22.5" hidden="1" customHeight="1">
      <c r="A79" s="30"/>
      <c r="B79" s="49" t="s">
        <v>76</v>
      </c>
      <c r="C79" s="38"/>
      <c r="D79" s="30"/>
      <c r="E79" s="30"/>
      <c r="F79" s="19"/>
      <c r="G79" s="36"/>
      <c r="H79" s="36"/>
      <c r="I79" s="19"/>
    </row>
    <row r="80" spans="1:22" ht="24" hidden="1" customHeight="1">
      <c r="A80" s="30">
        <v>39</v>
      </c>
      <c r="B80" s="51" t="s">
        <v>132</v>
      </c>
      <c r="C80" s="17" t="s">
        <v>77</v>
      </c>
      <c r="D80" s="15"/>
      <c r="E80" s="19"/>
      <c r="F80" s="13">
        <v>1.35</v>
      </c>
      <c r="G80" s="13">
        <v>2759.44</v>
      </c>
      <c r="H80" s="98">
        <f t="shared" ref="H80" si="13">SUM(F80*G80/1000)</f>
        <v>3.725244</v>
      </c>
      <c r="I80" s="13">
        <v>0</v>
      </c>
    </row>
    <row r="81" spans="1:21" ht="23.25" hidden="1" customHeight="1">
      <c r="A81" s="111"/>
      <c r="B81" s="110" t="s">
        <v>128</v>
      </c>
      <c r="C81" s="110"/>
      <c r="D81" s="110"/>
      <c r="E81" s="110"/>
      <c r="F81" s="110"/>
      <c r="G81" s="110"/>
      <c r="H81" s="110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21" hidden="1" customHeight="1">
      <c r="A82" s="30">
        <v>12</v>
      </c>
      <c r="B82" s="79" t="s">
        <v>129</v>
      </c>
      <c r="C82" s="17"/>
      <c r="D82" s="15"/>
      <c r="E82" s="101"/>
      <c r="F82" s="13">
        <v>1</v>
      </c>
      <c r="G82" s="13">
        <v>25286</v>
      </c>
      <c r="H82" s="98">
        <f>G82*F82/1000</f>
        <v>25.286000000000001</v>
      </c>
      <c r="I82" s="13">
        <f>G82</f>
        <v>25286</v>
      </c>
    </row>
    <row r="83" spans="1:21" ht="15.75" customHeight="1">
      <c r="A83" s="170" t="s">
        <v>145</v>
      </c>
      <c r="B83" s="171"/>
      <c r="C83" s="171"/>
      <c r="D83" s="171"/>
      <c r="E83" s="171"/>
      <c r="F83" s="171"/>
      <c r="G83" s="171"/>
      <c r="H83" s="171"/>
      <c r="I83" s="172"/>
    </row>
    <row r="84" spans="1:21" ht="15.75" customHeight="1">
      <c r="A84" s="30">
        <v>16</v>
      </c>
      <c r="B84" s="79" t="s">
        <v>133</v>
      </c>
      <c r="C84" s="17" t="s">
        <v>54</v>
      </c>
      <c r="D84" s="103" t="s">
        <v>55</v>
      </c>
      <c r="E84" s="13">
        <v>5836.1</v>
      </c>
      <c r="F84" s="13">
        <f>SUM(E84*12)</f>
        <v>70033.200000000012</v>
      </c>
      <c r="G84" s="13">
        <v>2.1</v>
      </c>
      <c r="H84" s="98">
        <f>SUM(F84*G84/1000)</f>
        <v>147.06972000000002</v>
      </c>
      <c r="I84" s="13">
        <f>F84/12*G84</f>
        <v>12255.810000000003</v>
      </c>
    </row>
    <row r="85" spans="1:21" ht="31.5" customHeight="1">
      <c r="A85" s="30">
        <v>17</v>
      </c>
      <c r="B85" s="15" t="s">
        <v>78</v>
      </c>
      <c r="C85" s="17"/>
      <c r="D85" s="103" t="s">
        <v>55</v>
      </c>
      <c r="E85" s="81">
        <v>5836.1</v>
      </c>
      <c r="F85" s="13">
        <f>E85*12</f>
        <v>70033.200000000012</v>
      </c>
      <c r="G85" s="13">
        <v>1.63</v>
      </c>
      <c r="H85" s="98">
        <f>F85*G85/1000</f>
        <v>114.15411600000002</v>
      </c>
      <c r="I85" s="13">
        <f>F85/12*G85</f>
        <v>9512.8430000000008</v>
      </c>
    </row>
    <row r="86" spans="1:21" ht="15.75" customHeight="1">
      <c r="A86" s="111"/>
      <c r="B86" s="39" t="s">
        <v>81</v>
      </c>
      <c r="C86" s="40"/>
      <c r="D86" s="16"/>
      <c r="E86" s="16"/>
      <c r="F86" s="16"/>
      <c r="G86" s="19"/>
      <c r="H86" s="19"/>
      <c r="I86" s="32">
        <f>I85+I84+I65+I62+I59+I45+I44+I43+I42+I40+I39+I27+I20+I19+I18+I17+I16</f>
        <v>61587.919022333335</v>
      </c>
    </row>
    <row r="87" spans="1:21" ht="15.75" customHeight="1">
      <c r="A87" s="173" t="s">
        <v>60</v>
      </c>
      <c r="B87" s="174"/>
      <c r="C87" s="174"/>
      <c r="D87" s="174"/>
      <c r="E87" s="174"/>
      <c r="F87" s="174"/>
      <c r="G87" s="174"/>
      <c r="H87" s="174"/>
      <c r="I87" s="175"/>
    </row>
    <row r="88" spans="1:21" ht="31.5" customHeight="1">
      <c r="A88" s="30">
        <v>18</v>
      </c>
      <c r="B88" s="115" t="s">
        <v>265</v>
      </c>
      <c r="C88" s="116" t="s">
        <v>29</v>
      </c>
      <c r="D88" s="51"/>
      <c r="E88" s="36"/>
      <c r="F88" s="36">
        <f>(3+3+30+25+15+20+20+3+15+15+20+10+3+10+15+3+10)/3</f>
        <v>73.333333333333329</v>
      </c>
      <c r="G88" s="36">
        <v>1655.27</v>
      </c>
      <c r="H88" s="102">
        <f t="shared" ref="H88" si="14">G88*F88/1000</f>
        <v>121.38646666666666</v>
      </c>
      <c r="I88" s="19">
        <f>G88*0.196</f>
        <v>324.43292000000002</v>
      </c>
    </row>
    <row r="89" spans="1:21" ht="23.25" customHeight="1">
      <c r="A89" s="30">
        <v>19</v>
      </c>
      <c r="B89" s="115" t="s">
        <v>38</v>
      </c>
      <c r="C89" s="116" t="s">
        <v>266</v>
      </c>
      <c r="D89" s="51"/>
      <c r="E89" s="36"/>
      <c r="F89" s="36">
        <v>13</v>
      </c>
      <c r="G89" s="36">
        <v>7709.44</v>
      </c>
      <c r="H89" s="102">
        <f>G89*F89/1000</f>
        <v>100.22272</v>
      </c>
      <c r="I89" s="19">
        <f>G89*0.01</f>
        <v>77.094399999999993</v>
      </c>
    </row>
    <row r="90" spans="1:21" ht="31.5" customHeight="1">
      <c r="A90" s="30">
        <v>20</v>
      </c>
      <c r="B90" s="115" t="s">
        <v>267</v>
      </c>
      <c r="C90" s="116" t="s">
        <v>29</v>
      </c>
      <c r="D90" s="37"/>
      <c r="E90" s="18"/>
      <c r="F90" s="36">
        <f>2/100</f>
        <v>0.02</v>
      </c>
      <c r="G90" s="36">
        <v>18798.34</v>
      </c>
      <c r="H90" s="102">
        <f>G90*F90/1000</f>
        <v>0.37596680000000005</v>
      </c>
      <c r="I90" s="19">
        <f>G90*0.599*5/1000</f>
        <v>56.301028299999999</v>
      </c>
    </row>
    <row r="91" spans="1:21" ht="15.75" customHeight="1">
      <c r="A91" s="30">
        <v>21</v>
      </c>
      <c r="B91" s="115" t="s">
        <v>171</v>
      </c>
      <c r="C91" s="116" t="s">
        <v>172</v>
      </c>
      <c r="D91" s="37"/>
      <c r="E91" s="18"/>
      <c r="F91" s="36"/>
      <c r="G91" s="36">
        <v>134.12</v>
      </c>
      <c r="H91" s="102"/>
      <c r="I91" s="19">
        <f>G91*52</f>
        <v>6974.24</v>
      </c>
    </row>
    <row r="92" spans="1:21" ht="14.25" customHeight="1">
      <c r="A92" s="30">
        <v>22</v>
      </c>
      <c r="B92" s="115" t="s">
        <v>268</v>
      </c>
      <c r="C92" s="116" t="s">
        <v>269</v>
      </c>
      <c r="D92" s="37"/>
      <c r="E92" s="18"/>
      <c r="F92" s="36"/>
      <c r="G92" s="36">
        <v>208</v>
      </c>
      <c r="H92" s="102"/>
      <c r="I92" s="19">
        <f>G92*1</f>
        <v>208</v>
      </c>
    </row>
    <row r="93" spans="1:21" ht="32.25" customHeight="1">
      <c r="A93" s="30">
        <v>23</v>
      </c>
      <c r="B93" s="55" t="s">
        <v>158</v>
      </c>
      <c r="C93" s="63" t="s">
        <v>37</v>
      </c>
      <c r="D93" s="37"/>
      <c r="E93" s="18"/>
      <c r="F93" s="36"/>
      <c r="G93" s="36">
        <v>3724.37</v>
      </c>
      <c r="H93" s="102"/>
      <c r="I93" s="19">
        <f>G93*0.01</f>
        <v>37.243699999999997</v>
      </c>
    </row>
    <row r="94" spans="1:21" ht="33.75" customHeight="1">
      <c r="A94" s="30">
        <v>24</v>
      </c>
      <c r="B94" s="115" t="s">
        <v>270</v>
      </c>
      <c r="C94" s="116" t="s">
        <v>29</v>
      </c>
      <c r="D94" s="37"/>
      <c r="E94" s="18"/>
      <c r="F94" s="36"/>
      <c r="G94" s="36">
        <v>790.38</v>
      </c>
      <c r="H94" s="102"/>
      <c r="I94" s="19">
        <f>G94*0.002</f>
        <v>1.5807599999999999</v>
      </c>
    </row>
    <row r="95" spans="1:21" ht="30" customHeight="1">
      <c r="A95" s="30">
        <v>25</v>
      </c>
      <c r="B95" s="55" t="s">
        <v>89</v>
      </c>
      <c r="C95" s="63" t="s">
        <v>92</v>
      </c>
      <c r="D95" s="37"/>
      <c r="E95" s="18"/>
      <c r="F95" s="36"/>
      <c r="G95" s="36">
        <v>613.44000000000005</v>
      </c>
      <c r="H95" s="102"/>
      <c r="I95" s="19">
        <f>G95*1</f>
        <v>613.44000000000005</v>
      </c>
    </row>
    <row r="96" spans="1:21" ht="15.75" customHeight="1">
      <c r="A96" s="30">
        <v>26</v>
      </c>
      <c r="B96" s="55" t="s">
        <v>83</v>
      </c>
      <c r="C96" s="63" t="s">
        <v>123</v>
      </c>
      <c r="D96" s="37"/>
      <c r="E96" s="18"/>
      <c r="F96" s="36"/>
      <c r="G96" s="36">
        <v>197.48</v>
      </c>
      <c r="H96" s="102"/>
      <c r="I96" s="19">
        <f>G96*1</f>
        <v>197.48</v>
      </c>
    </row>
    <row r="97" spans="1:9" ht="15.75" customHeight="1">
      <c r="A97" s="30">
        <v>27</v>
      </c>
      <c r="B97" s="115" t="s">
        <v>271</v>
      </c>
      <c r="C97" s="116" t="s">
        <v>54</v>
      </c>
      <c r="D97" s="37"/>
      <c r="E97" s="18"/>
      <c r="F97" s="36"/>
      <c r="G97" s="36">
        <v>470.85</v>
      </c>
      <c r="H97" s="102"/>
      <c r="I97" s="19">
        <f>G97*0.02</f>
        <v>9.4169999999999998</v>
      </c>
    </row>
    <row r="98" spans="1:9" ht="15.75" customHeight="1">
      <c r="A98" s="30"/>
      <c r="B98" s="45" t="s">
        <v>51</v>
      </c>
      <c r="C98" s="41"/>
      <c r="D98" s="53"/>
      <c r="E98" s="53"/>
      <c r="F98" s="41"/>
      <c r="G98" s="41"/>
      <c r="H98" s="41"/>
      <c r="I98" s="32">
        <f>SUM(I88:I97)</f>
        <v>8499.2298082999987</v>
      </c>
    </row>
    <row r="99" spans="1:9" ht="15.75" customHeight="1">
      <c r="A99" s="30"/>
      <c r="B99" s="51" t="s">
        <v>79</v>
      </c>
      <c r="C99" s="16"/>
      <c r="D99" s="16"/>
      <c r="E99" s="16"/>
      <c r="F99" s="42"/>
      <c r="G99" s="43"/>
      <c r="H99" s="43"/>
      <c r="I99" s="18">
        <v>0</v>
      </c>
    </row>
    <row r="100" spans="1:9" ht="15.75" customHeight="1">
      <c r="A100" s="54"/>
      <c r="B100" s="46" t="s">
        <v>147</v>
      </c>
      <c r="C100" s="34"/>
      <c r="D100" s="34"/>
      <c r="E100" s="34"/>
      <c r="F100" s="34"/>
      <c r="G100" s="34"/>
      <c r="H100" s="34"/>
      <c r="I100" s="44">
        <f>I86+I98</f>
        <v>70087.148830633334</v>
      </c>
    </row>
    <row r="101" spans="1:9" ht="15.75" customHeight="1">
      <c r="A101" s="167" t="s">
        <v>272</v>
      </c>
      <c r="B101" s="167"/>
      <c r="C101" s="167"/>
      <c r="D101" s="167"/>
      <c r="E101" s="167"/>
      <c r="F101" s="167"/>
      <c r="G101" s="167"/>
      <c r="H101" s="167"/>
      <c r="I101" s="167"/>
    </row>
    <row r="102" spans="1:9" ht="15.75" customHeight="1">
      <c r="A102" s="70"/>
      <c r="B102" s="168" t="s">
        <v>273</v>
      </c>
      <c r="C102" s="168"/>
      <c r="D102" s="168"/>
      <c r="E102" s="168"/>
      <c r="F102" s="168"/>
      <c r="G102" s="168"/>
      <c r="H102" s="77"/>
      <c r="I102" s="3"/>
    </row>
    <row r="103" spans="1:9" ht="15.75" customHeight="1">
      <c r="A103" s="108"/>
      <c r="B103" s="166" t="s">
        <v>6</v>
      </c>
      <c r="C103" s="166"/>
      <c r="D103" s="166"/>
      <c r="E103" s="166"/>
      <c r="F103" s="166"/>
      <c r="G103" s="166"/>
      <c r="H103" s="25"/>
      <c r="I103" s="5"/>
    </row>
    <row r="104" spans="1:9" ht="15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 customHeight="1">
      <c r="A105" s="169" t="s">
        <v>7</v>
      </c>
      <c r="B105" s="169"/>
      <c r="C105" s="169"/>
      <c r="D105" s="169"/>
      <c r="E105" s="169"/>
      <c r="F105" s="169"/>
      <c r="G105" s="169"/>
      <c r="H105" s="169"/>
      <c r="I105" s="169"/>
    </row>
    <row r="106" spans="1:9" ht="15.75" customHeight="1">
      <c r="A106" s="169" t="s">
        <v>8</v>
      </c>
      <c r="B106" s="169"/>
      <c r="C106" s="169"/>
      <c r="D106" s="169"/>
      <c r="E106" s="169"/>
      <c r="F106" s="169"/>
      <c r="G106" s="169"/>
      <c r="H106" s="169"/>
      <c r="I106" s="169"/>
    </row>
    <row r="107" spans="1:9" ht="15.75" customHeight="1">
      <c r="A107" s="163" t="s">
        <v>61</v>
      </c>
      <c r="B107" s="163"/>
      <c r="C107" s="163"/>
      <c r="D107" s="163"/>
      <c r="E107" s="163"/>
      <c r="F107" s="163"/>
      <c r="G107" s="163"/>
      <c r="H107" s="163"/>
      <c r="I107" s="163"/>
    </row>
    <row r="108" spans="1:9" ht="15.75" customHeight="1">
      <c r="A108" s="11"/>
    </row>
    <row r="109" spans="1:9" ht="15.75" customHeight="1">
      <c r="A109" s="164" t="s">
        <v>9</v>
      </c>
      <c r="B109" s="164"/>
      <c r="C109" s="164"/>
      <c r="D109" s="164"/>
      <c r="E109" s="164"/>
      <c r="F109" s="164"/>
      <c r="G109" s="164"/>
      <c r="H109" s="164"/>
      <c r="I109" s="164"/>
    </row>
    <row r="110" spans="1:9" ht="15.75" customHeight="1">
      <c r="A110" s="4"/>
    </row>
    <row r="111" spans="1:9" ht="15.75" customHeight="1">
      <c r="B111" s="113" t="s">
        <v>10</v>
      </c>
      <c r="C111" s="165" t="s">
        <v>90</v>
      </c>
      <c r="D111" s="165"/>
      <c r="E111" s="165"/>
      <c r="F111" s="165"/>
      <c r="I111" s="114"/>
    </row>
    <row r="112" spans="1:9" ht="15.75" customHeight="1">
      <c r="A112" s="108"/>
      <c r="C112" s="166" t="s">
        <v>11</v>
      </c>
      <c r="D112" s="166"/>
      <c r="E112" s="166"/>
      <c r="F112" s="166"/>
      <c r="I112" s="112" t="s">
        <v>12</v>
      </c>
    </row>
    <row r="113" spans="1:9" ht="15.75" customHeight="1">
      <c r="A113" s="26"/>
      <c r="C113" s="12"/>
      <c r="D113" s="12"/>
      <c r="E113" s="12"/>
      <c r="G113" s="12"/>
      <c r="H113" s="12"/>
    </row>
    <row r="114" spans="1:9" ht="15.75" customHeight="1">
      <c r="B114" s="113" t="s">
        <v>13</v>
      </c>
      <c r="C114" s="160"/>
      <c r="D114" s="160"/>
      <c r="E114" s="160"/>
      <c r="F114" s="160"/>
      <c r="I114" s="114"/>
    </row>
    <row r="115" spans="1:9" ht="15.75" customHeight="1">
      <c r="A115" s="108"/>
      <c r="C115" s="161" t="s">
        <v>11</v>
      </c>
      <c r="D115" s="161"/>
      <c r="E115" s="161"/>
      <c r="F115" s="161"/>
      <c r="I115" s="112" t="s">
        <v>12</v>
      </c>
    </row>
    <row r="116" spans="1:9" ht="15.75" customHeight="1">
      <c r="A116" s="4" t="s">
        <v>14</v>
      </c>
    </row>
    <row r="117" spans="1:9" ht="15.75" customHeight="1">
      <c r="A117" s="162" t="s">
        <v>15</v>
      </c>
      <c r="B117" s="162"/>
      <c r="C117" s="162"/>
      <c r="D117" s="162"/>
      <c r="E117" s="162"/>
      <c r="F117" s="162"/>
      <c r="G117" s="162"/>
      <c r="H117" s="162"/>
      <c r="I117" s="162"/>
    </row>
    <row r="118" spans="1:9" ht="45" customHeight="1">
      <c r="A118" s="159" t="s">
        <v>16</v>
      </c>
      <c r="B118" s="159"/>
      <c r="C118" s="159"/>
      <c r="D118" s="159"/>
      <c r="E118" s="159"/>
      <c r="F118" s="159"/>
      <c r="G118" s="159"/>
      <c r="H118" s="159"/>
      <c r="I118" s="159"/>
    </row>
    <row r="119" spans="1:9" ht="30" customHeight="1">
      <c r="A119" s="159" t="s">
        <v>17</v>
      </c>
      <c r="B119" s="159"/>
      <c r="C119" s="159"/>
      <c r="D119" s="159"/>
      <c r="E119" s="159"/>
      <c r="F119" s="159"/>
      <c r="G119" s="159"/>
      <c r="H119" s="159"/>
      <c r="I119" s="159"/>
    </row>
    <row r="120" spans="1:9" ht="30" customHeight="1">
      <c r="A120" s="159" t="s">
        <v>21</v>
      </c>
      <c r="B120" s="159"/>
      <c r="C120" s="159"/>
      <c r="D120" s="159"/>
      <c r="E120" s="159"/>
      <c r="F120" s="159"/>
      <c r="G120" s="159"/>
      <c r="H120" s="159"/>
      <c r="I120" s="159"/>
    </row>
    <row r="121" spans="1:9" ht="15" customHeight="1">
      <c r="A121" s="159" t="s">
        <v>20</v>
      </c>
      <c r="B121" s="159"/>
      <c r="C121" s="159"/>
      <c r="D121" s="159"/>
      <c r="E121" s="159"/>
      <c r="F121" s="159"/>
      <c r="G121" s="159"/>
      <c r="H121" s="159"/>
      <c r="I121" s="159"/>
    </row>
  </sheetData>
  <autoFilter ref="I12:I67"/>
  <mergeCells count="29">
    <mergeCell ref="A117:I117"/>
    <mergeCell ref="A118:I118"/>
    <mergeCell ref="A119:I119"/>
    <mergeCell ref="A120:I120"/>
    <mergeCell ref="A121:I121"/>
    <mergeCell ref="R72:U72"/>
    <mergeCell ref="C115:F115"/>
    <mergeCell ref="A87:I87"/>
    <mergeCell ref="A101:I101"/>
    <mergeCell ref="B102:G102"/>
    <mergeCell ref="B103:G103"/>
    <mergeCell ref="A105:I105"/>
    <mergeCell ref="A106:I106"/>
    <mergeCell ref="A107:I107"/>
    <mergeCell ref="A109:I109"/>
    <mergeCell ref="C111:F111"/>
    <mergeCell ref="C112:F112"/>
    <mergeCell ref="C114:F114"/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9"/>
  <sheetViews>
    <sheetView workbookViewId="0">
      <selection activeCell="K106" sqref="K10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3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218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76" t="s">
        <v>169</v>
      </c>
      <c r="B3" s="176"/>
      <c r="C3" s="176"/>
      <c r="D3" s="176"/>
      <c r="E3" s="176"/>
      <c r="F3" s="176"/>
      <c r="G3" s="176"/>
      <c r="H3" s="176"/>
      <c r="I3" s="176"/>
      <c r="J3" s="3"/>
      <c r="K3" s="3"/>
      <c r="L3" s="3"/>
    </row>
    <row r="4" spans="1:13" ht="31.5" customHeight="1">
      <c r="A4" s="177" t="s">
        <v>134</v>
      </c>
      <c r="B4" s="177"/>
      <c r="C4" s="177"/>
      <c r="D4" s="177"/>
      <c r="E4" s="177"/>
      <c r="F4" s="177"/>
      <c r="G4" s="177"/>
      <c r="H4" s="177"/>
      <c r="I4" s="177"/>
    </row>
    <row r="5" spans="1:13" ht="15.75" customHeight="1">
      <c r="A5" s="176" t="s">
        <v>274</v>
      </c>
      <c r="B5" s="180"/>
      <c r="C5" s="180"/>
      <c r="D5" s="180"/>
      <c r="E5" s="180"/>
      <c r="F5" s="180"/>
      <c r="G5" s="180"/>
      <c r="H5" s="180"/>
      <c r="I5" s="180"/>
      <c r="J5" s="2"/>
      <c r="K5" s="2"/>
      <c r="L5" s="2"/>
      <c r="M5" s="2"/>
    </row>
    <row r="6" spans="1:13" ht="15.75" customHeight="1">
      <c r="A6" s="2"/>
      <c r="B6" s="109"/>
      <c r="C6" s="109"/>
      <c r="D6" s="109"/>
      <c r="E6" s="109"/>
      <c r="F6" s="109"/>
      <c r="G6" s="109"/>
      <c r="H6" s="109"/>
      <c r="I6" s="31">
        <v>43465</v>
      </c>
      <c r="J6" s="2"/>
      <c r="K6" s="2"/>
      <c r="L6" s="2"/>
      <c r="M6" s="2"/>
    </row>
    <row r="7" spans="1:13" ht="15.75" customHeight="1">
      <c r="B7" s="113"/>
      <c r="C7" s="113"/>
      <c r="D7" s="113"/>
      <c r="E7" s="113"/>
      <c r="F7" s="3"/>
      <c r="G7" s="3"/>
      <c r="H7" s="3"/>
      <c r="J7" s="3"/>
      <c r="K7" s="3"/>
      <c r="L7" s="3"/>
      <c r="M7" s="3"/>
    </row>
    <row r="8" spans="1:13" ht="78.75" customHeight="1">
      <c r="A8" s="178" t="s">
        <v>220</v>
      </c>
      <c r="B8" s="178"/>
      <c r="C8" s="178"/>
      <c r="D8" s="178"/>
      <c r="E8" s="178"/>
      <c r="F8" s="178"/>
      <c r="G8" s="178"/>
      <c r="H8" s="178"/>
      <c r="I8" s="17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9" t="s">
        <v>143</v>
      </c>
      <c r="B10" s="179"/>
      <c r="C10" s="179"/>
      <c r="D10" s="179"/>
      <c r="E10" s="179"/>
      <c r="F10" s="179"/>
      <c r="G10" s="179"/>
      <c r="H10" s="179"/>
      <c r="I10" s="17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81" t="s">
        <v>59</v>
      </c>
      <c r="B14" s="181"/>
      <c r="C14" s="181"/>
      <c r="D14" s="181"/>
      <c r="E14" s="181"/>
      <c r="F14" s="181"/>
      <c r="G14" s="181"/>
      <c r="H14" s="181"/>
      <c r="I14" s="181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0">
        <v>1</v>
      </c>
      <c r="B16" s="79" t="s">
        <v>87</v>
      </c>
      <c r="C16" s="80" t="s">
        <v>104</v>
      </c>
      <c r="D16" s="79" t="s">
        <v>105</v>
      </c>
      <c r="E16" s="81">
        <v>164.38</v>
      </c>
      <c r="F16" s="82">
        <f>SUM(E16*156/100)</f>
        <v>256.43279999999999</v>
      </c>
      <c r="G16" s="82">
        <v>175.38</v>
      </c>
      <c r="H16" s="83">
        <f t="shared" ref="H16:H28" si="0">SUM(F16*G16/1000)</f>
        <v>44.973184463999999</v>
      </c>
      <c r="I16" s="13">
        <f>F16/12*G16</f>
        <v>3747.7653719999998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93</v>
      </c>
      <c r="C17" s="80" t="s">
        <v>104</v>
      </c>
      <c r="D17" s="79" t="s">
        <v>106</v>
      </c>
      <c r="E17" s="81">
        <v>657.52</v>
      </c>
      <c r="F17" s="82">
        <f>SUM(E17*104/100)</f>
        <v>683.82079999999996</v>
      </c>
      <c r="G17" s="82">
        <v>175.38</v>
      </c>
      <c r="H17" s="83">
        <f t="shared" si="0"/>
        <v>119.928491904</v>
      </c>
      <c r="I17" s="13">
        <f>F17/12*G17</f>
        <v>9994.0409919999984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94</v>
      </c>
      <c r="C18" s="80" t="s">
        <v>104</v>
      </c>
      <c r="D18" s="79" t="s">
        <v>107</v>
      </c>
      <c r="E18" s="81">
        <f>SUM(E16+E17)</f>
        <v>821.9</v>
      </c>
      <c r="F18" s="82">
        <f>SUM(E18*24/100)</f>
        <v>197.25599999999997</v>
      </c>
      <c r="G18" s="82">
        <v>504.5</v>
      </c>
      <c r="H18" s="83">
        <f t="shared" si="0"/>
        <v>99.515651999999989</v>
      </c>
      <c r="I18" s="13">
        <f>F18/12*G18</f>
        <v>8292.9709999999995</v>
      </c>
      <c r="J18" s="23"/>
      <c r="K18" s="8"/>
      <c r="L18" s="8"/>
      <c r="M18" s="8"/>
    </row>
    <row r="19" spans="1:13" ht="17.25" hidden="1" customHeight="1">
      <c r="A19" s="30">
        <v>4</v>
      </c>
      <c r="B19" s="79" t="s">
        <v>108</v>
      </c>
      <c r="C19" s="80" t="s">
        <v>109</v>
      </c>
      <c r="D19" s="79" t="s">
        <v>110</v>
      </c>
      <c r="E19" s="81">
        <v>51.2</v>
      </c>
      <c r="F19" s="82">
        <f>SUM(E19/10)</f>
        <v>5.12</v>
      </c>
      <c r="G19" s="82">
        <v>170.16</v>
      </c>
      <c r="H19" s="83">
        <f t="shared" si="0"/>
        <v>0.87121919999999997</v>
      </c>
      <c r="I19" s="13">
        <f>F19/2*G19</f>
        <v>435.6096</v>
      </c>
      <c r="J19" s="23"/>
      <c r="K19" s="8"/>
      <c r="L19" s="8"/>
      <c r="M19" s="8"/>
    </row>
    <row r="20" spans="1:13" ht="15" customHeight="1">
      <c r="A20" s="30">
        <v>4</v>
      </c>
      <c r="B20" s="131" t="s">
        <v>98</v>
      </c>
      <c r="C20" s="132" t="s">
        <v>104</v>
      </c>
      <c r="D20" s="131" t="s">
        <v>180</v>
      </c>
      <c r="E20" s="158">
        <v>57.5</v>
      </c>
      <c r="F20" s="133">
        <v>6.9</v>
      </c>
      <c r="G20" s="133">
        <v>193.55</v>
      </c>
      <c r="H20" s="83">
        <f t="shared" si="0"/>
        <v>1.3354950000000001</v>
      </c>
      <c r="I20" s="13">
        <f>F20*G20/12</f>
        <v>111.29125000000001</v>
      </c>
      <c r="J20" s="23"/>
      <c r="K20" s="8"/>
      <c r="L20" s="8"/>
      <c r="M20" s="8"/>
    </row>
    <row r="21" spans="1:13" ht="15" customHeight="1">
      <c r="A21" s="30">
        <v>5</v>
      </c>
      <c r="B21" s="131" t="s">
        <v>99</v>
      </c>
      <c r="C21" s="132" t="s">
        <v>104</v>
      </c>
      <c r="D21" s="131" t="s">
        <v>181</v>
      </c>
      <c r="E21" s="158">
        <v>13.41</v>
      </c>
      <c r="F21" s="133">
        <v>1.61</v>
      </c>
      <c r="G21" s="133">
        <v>191.98</v>
      </c>
      <c r="H21" s="83">
        <f t="shared" si="0"/>
        <v>0.30908780000000002</v>
      </c>
      <c r="I21" s="13">
        <f>F21*G21/12</f>
        <v>25.757316666666668</v>
      </c>
      <c r="J21" s="23"/>
      <c r="K21" s="8"/>
      <c r="L21" s="8"/>
      <c r="M21" s="8"/>
    </row>
    <row r="22" spans="1:13" ht="15.75" hidden="1" customHeight="1">
      <c r="A22" s="30">
        <v>7</v>
      </c>
      <c r="B22" s="79" t="s">
        <v>111</v>
      </c>
      <c r="C22" s="80" t="s">
        <v>52</v>
      </c>
      <c r="D22" s="79" t="s">
        <v>110</v>
      </c>
      <c r="E22" s="81">
        <v>1025.5999999999999</v>
      </c>
      <c r="F22" s="82">
        <f>SUM(E22/100)</f>
        <v>10.255999999999998</v>
      </c>
      <c r="G22" s="82">
        <v>269.26</v>
      </c>
      <c r="H22" s="83">
        <f t="shared" si="0"/>
        <v>2.7615305599999997</v>
      </c>
      <c r="I22" s="13">
        <f t="shared" ref="I22:I26" si="1">F22*G22</f>
        <v>2761.5305599999997</v>
      </c>
      <c r="J22" s="23"/>
      <c r="K22" s="8"/>
      <c r="L22" s="8"/>
      <c r="M22" s="8"/>
    </row>
    <row r="23" spans="1:13" ht="18" hidden="1" customHeight="1">
      <c r="A23" s="30">
        <v>8</v>
      </c>
      <c r="B23" s="79" t="s">
        <v>112</v>
      </c>
      <c r="C23" s="80" t="s">
        <v>52</v>
      </c>
      <c r="D23" s="79" t="s">
        <v>110</v>
      </c>
      <c r="E23" s="84">
        <v>60.5</v>
      </c>
      <c r="F23" s="82">
        <f>SUM(E23/100)</f>
        <v>0.60499999999999998</v>
      </c>
      <c r="G23" s="82">
        <v>44.29</v>
      </c>
      <c r="H23" s="83">
        <f t="shared" si="0"/>
        <v>2.6795449999999998E-2</v>
      </c>
      <c r="I23" s="13">
        <f t="shared" si="1"/>
        <v>26.795449999999999</v>
      </c>
      <c r="J23" s="23"/>
      <c r="K23" s="8"/>
      <c r="L23" s="8"/>
      <c r="M23" s="8"/>
    </row>
    <row r="24" spans="1:13" ht="17.25" hidden="1" customHeight="1">
      <c r="A24" s="30">
        <v>9</v>
      </c>
      <c r="B24" s="79" t="s">
        <v>102</v>
      </c>
      <c r="C24" s="80" t="s">
        <v>52</v>
      </c>
      <c r="D24" s="79" t="s">
        <v>53</v>
      </c>
      <c r="E24" s="85">
        <v>19.149999999999999</v>
      </c>
      <c r="F24" s="82">
        <f>E24/100</f>
        <v>0.19149999999999998</v>
      </c>
      <c r="G24" s="82">
        <v>389.42</v>
      </c>
      <c r="H24" s="83">
        <f>G24*F24/100</f>
        <v>0.74573929999999988</v>
      </c>
      <c r="I24" s="13">
        <f t="shared" si="1"/>
        <v>74.57392999999999</v>
      </c>
      <c r="J24" s="23"/>
      <c r="K24" s="8"/>
      <c r="L24" s="8"/>
      <c r="M24" s="8"/>
    </row>
    <row r="25" spans="1:13" ht="18.75" hidden="1" customHeight="1">
      <c r="A25" s="30">
        <v>10</v>
      </c>
      <c r="B25" s="79" t="s">
        <v>135</v>
      </c>
      <c r="C25" s="80" t="s">
        <v>52</v>
      </c>
      <c r="D25" s="79" t="s">
        <v>53</v>
      </c>
      <c r="E25" s="86">
        <v>31.5</v>
      </c>
      <c r="F25" s="82">
        <f>E25/100</f>
        <v>0.315</v>
      </c>
      <c r="G25" s="82">
        <v>216.12</v>
      </c>
      <c r="H25" s="83">
        <f>G25*F25/1000</f>
        <v>6.8077799999999994E-2</v>
      </c>
      <c r="I25" s="13">
        <f t="shared" si="1"/>
        <v>68.077799999999996</v>
      </c>
      <c r="J25" s="23"/>
      <c r="K25" s="8"/>
      <c r="L25" s="8"/>
      <c r="M25" s="8"/>
    </row>
    <row r="26" spans="1:13" ht="18" hidden="1" customHeight="1">
      <c r="A26" s="30">
        <v>11</v>
      </c>
      <c r="B26" s="79" t="s">
        <v>103</v>
      </c>
      <c r="C26" s="80" t="s">
        <v>52</v>
      </c>
      <c r="D26" s="79" t="s">
        <v>53</v>
      </c>
      <c r="E26" s="81">
        <v>37.5</v>
      </c>
      <c r="F26" s="82">
        <f>SUM(E26/100)</f>
        <v>0.375</v>
      </c>
      <c r="G26" s="82">
        <v>520.79999999999995</v>
      </c>
      <c r="H26" s="83">
        <f t="shared" si="0"/>
        <v>0.19529999999999997</v>
      </c>
      <c r="I26" s="13">
        <f t="shared" si="1"/>
        <v>195.29999999999998</v>
      </c>
      <c r="J26" s="23"/>
      <c r="K26" s="8"/>
      <c r="L26" s="8"/>
      <c r="M26" s="8"/>
    </row>
    <row r="27" spans="1:13" ht="15.75" customHeight="1">
      <c r="A27" s="30">
        <v>6</v>
      </c>
      <c r="B27" s="79" t="s">
        <v>64</v>
      </c>
      <c r="C27" s="80" t="s">
        <v>33</v>
      </c>
      <c r="D27" s="79"/>
      <c r="E27" s="81">
        <v>0.1</v>
      </c>
      <c r="F27" s="82">
        <f>SUM(E27*365)</f>
        <v>36.5</v>
      </c>
      <c r="G27" s="82">
        <v>147.03</v>
      </c>
      <c r="H27" s="83">
        <f t="shared" si="0"/>
        <v>5.3665950000000002</v>
      </c>
      <c r="I27" s="13">
        <f>F27/12*G27</f>
        <v>447.21625</v>
      </c>
      <c r="J27" s="23"/>
      <c r="K27" s="8"/>
      <c r="L27" s="8"/>
      <c r="M27" s="8"/>
    </row>
    <row r="28" spans="1:13" ht="15.75" hidden="1" customHeight="1">
      <c r="A28" s="30">
        <v>5</v>
      </c>
      <c r="B28" s="87" t="s">
        <v>23</v>
      </c>
      <c r="C28" s="80" t="s">
        <v>24</v>
      </c>
      <c r="D28" s="79"/>
      <c r="E28" s="81">
        <v>5836.1</v>
      </c>
      <c r="F28" s="82">
        <f>SUM(E28*12)</f>
        <v>70033.200000000012</v>
      </c>
      <c r="G28" s="82">
        <v>3.33</v>
      </c>
      <c r="H28" s="83">
        <f t="shared" si="0"/>
        <v>233.21055600000005</v>
      </c>
      <c r="I28" s="13">
        <f>F28/12*G28</f>
        <v>19434.213000000003</v>
      </c>
      <c r="J28" s="23"/>
      <c r="K28" s="8"/>
      <c r="L28" s="8"/>
      <c r="M28" s="8"/>
    </row>
    <row r="29" spans="1:13" ht="15.75" customHeight="1">
      <c r="A29" s="182" t="s">
        <v>85</v>
      </c>
      <c r="B29" s="182"/>
      <c r="C29" s="182"/>
      <c r="D29" s="182"/>
      <c r="E29" s="182"/>
      <c r="F29" s="182"/>
      <c r="G29" s="182"/>
      <c r="H29" s="182"/>
      <c r="I29" s="182"/>
      <c r="J29" s="23"/>
      <c r="K29" s="8"/>
      <c r="L29" s="8"/>
      <c r="M29" s="8"/>
    </row>
    <row r="30" spans="1:13" ht="15.75" hidden="1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9"/>
      <c r="J30" s="23"/>
      <c r="K30" s="8"/>
      <c r="L30" s="8"/>
      <c r="M30" s="8"/>
    </row>
    <row r="31" spans="1:13" ht="15.75" hidden="1" customHeight="1">
      <c r="A31" s="40">
        <v>6</v>
      </c>
      <c r="B31" s="79" t="s">
        <v>113</v>
      </c>
      <c r="C31" s="80" t="s">
        <v>114</v>
      </c>
      <c r="D31" s="79" t="s">
        <v>115</v>
      </c>
      <c r="E31" s="82">
        <v>659.5</v>
      </c>
      <c r="F31" s="82">
        <f>SUM(E31*52/1000)</f>
        <v>34.293999999999997</v>
      </c>
      <c r="G31" s="82">
        <v>155.88999999999999</v>
      </c>
      <c r="H31" s="83">
        <f t="shared" ref="H31:H33" si="2">SUM(F31*G31/1000)</f>
        <v>5.346091659999999</v>
      </c>
      <c r="I31" s="13">
        <f>F31/6*G31</f>
        <v>891.01527666666652</v>
      </c>
      <c r="J31" s="23"/>
      <c r="K31" s="8"/>
      <c r="L31" s="8"/>
      <c r="M31" s="8"/>
    </row>
    <row r="32" spans="1:13" ht="31.5" hidden="1" customHeight="1">
      <c r="A32" s="40">
        <v>7</v>
      </c>
      <c r="B32" s="79" t="s">
        <v>149</v>
      </c>
      <c r="C32" s="80" t="s">
        <v>114</v>
      </c>
      <c r="D32" s="79" t="s">
        <v>116</v>
      </c>
      <c r="E32" s="82">
        <v>567.9</v>
      </c>
      <c r="F32" s="82">
        <f>SUM(E32*78/1000)</f>
        <v>44.296199999999999</v>
      </c>
      <c r="G32" s="82">
        <v>258.63</v>
      </c>
      <c r="H32" s="83">
        <f t="shared" si="2"/>
        <v>11.456326206</v>
      </c>
      <c r="I32" s="13">
        <f t="shared" ref="I32:I35" si="3">F32/6*G32</f>
        <v>1909.3877009999999</v>
      </c>
      <c r="J32" s="23"/>
      <c r="K32" s="8"/>
      <c r="L32" s="8"/>
      <c r="M32" s="8"/>
    </row>
    <row r="33" spans="1:14" ht="15.75" hidden="1" customHeight="1">
      <c r="A33" s="40">
        <v>16</v>
      </c>
      <c r="B33" s="79" t="s">
        <v>27</v>
      </c>
      <c r="C33" s="80" t="s">
        <v>114</v>
      </c>
      <c r="D33" s="79" t="s">
        <v>53</v>
      </c>
      <c r="E33" s="82">
        <v>659.5</v>
      </c>
      <c r="F33" s="82">
        <f>SUM(E33/1000)</f>
        <v>0.65949999999999998</v>
      </c>
      <c r="G33" s="82">
        <v>3020.33</v>
      </c>
      <c r="H33" s="83">
        <f t="shared" si="2"/>
        <v>1.9919076349999998</v>
      </c>
      <c r="I33" s="13">
        <f>F33*G33</f>
        <v>1991.9076349999998</v>
      </c>
      <c r="J33" s="23"/>
      <c r="K33" s="8"/>
      <c r="L33" s="8"/>
      <c r="M33" s="8"/>
    </row>
    <row r="34" spans="1:14" ht="15.75" hidden="1" customHeight="1">
      <c r="A34" s="40">
        <v>8</v>
      </c>
      <c r="B34" s="79" t="s">
        <v>136</v>
      </c>
      <c r="C34" s="80" t="s">
        <v>39</v>
      </c>
      <c r="D34" s="79" t="s">
        <v>148</v>
      </c>
      <c r="E34" s="82">
        <v>8</v>
      </c>
      <c r="F34" s="82">
        <v>12.4</v>
      </c>
      <c r="G34" s="82">
        <v>1302.02</v>
      </c>
      <c r="H34" s="83">
        <v>16.145</v>
      </c>
      <c r="I34" s="13">
        <f t="shared" si="3"/>
        <v>2690.8413333333338</v>
      </c>
      <c r="J34" s="23"/>
      <c r="K34" s="8"/>
      <c r="L34" s="8"/>
      <c r="M34" s="8"/>
    </row>
    <row r="35" spans="1:14" ht="15.75" hidden="1" customHeight="1">
      <c r="A35" s="40">
        <v>9</v>
      </c>
      <c r="B35" s="79" t="s">
        <v>117</v>
      </c>
      <c r="C35" s="80" t="s">
        <v>30</v>
      </c>
      <c r="D35" s="79" t="s">
        <v>63</v>
      </c>
      <c r="E35" s="88">
        <v>0.33</v>
      </c>
      <c r="F35" s="82">
        <v>51.666666666666664</v>
      </c>
      <c r="G35" s="82">
        <v>56.69</v>
      </c>
      <c r="H35" s="83">
        <f>SUM(G35*155/3/1000)</f>
        <v>2.9289833333333331</v>
      </c>
      <c r="I35" s="13">
        <f t="shared" si="3"/>
        <v>488.16388888888883</v>
      </c>
      <c r="J35" s="23"/>
      <c r="K35" s="8"/>
    </row>
    <row r="36" spans="1:14" ht="15.75" hidden="1" customHeight="1">
      <c r="A36" s="40">
        <v>4</v>
      </c>
      <c r="B36" s="79" t="s">
        <v>65</v>
      </c>
      <c r="C36" s="80" t="s">
        <v>33</v>
      </c>
      <c r="D36" s="79" t="s">
        <v>67</v>
      </c>
      <c r="E36" s="81"/>
      <c r="F36" s="82">
        <v>4</v>
      </c>
      <c r="G36" s="82">
        <v>191.32</v>
      </c>
      <c r="H36" s="83">
        <f t="shared" ref="H36:H37" si="4">SUM(F36*G36/1000)</f>
        <v>0.76527999999999996</v>
      </c>
      <c r="I36" s="13">
        <v>0</v>
      </c>
      <c r="J36" s="24"/>
    </row>
    <row r="37" spans="1:14" ht="15.75" hidden="1" customHeight="1">
      <c r="A37" s="30">
        <v>8</v>
      </c>
      <c r="B37" s="79" t="s">
        <v>66</v>
      </c>
      <c r="C37" s="80" t="s">
        <v>32</v>
      </c>
      <c r="D37" s="79" t="s">
        <v>67</v>
      </c>
      <c r="E37" s="81"/>
      <c r="F37" s="82">
        <v>3</v>
      </c>
      <c r="G37" s="82">
        <v>1136.32</v>
      </c>
      <c r="H37" s="83">
        <f t="shared" si="4"/>
        <v>3.40896</v>
      </c>
      <c r="I37" s="13">
        <v>0</v>
      </c>
      <c r="J37" s="24"/>
    </row>
    <row r="38" spans="1:14" ht="15.75" customHeight="1">
      <c r="A38" s="40"/>
      <c r="B38" s="48" t="s">
        <v>5</v>
      </c>
      <c r="C38" s="48"/>
      <c r="D38" s="48"/>
      <c r="E38" s="48"/>
      <c r="F38" s="13"/>
      <c r="G38" s="14"/>
      <c r="H38" s="14"/>
      <c r="I38" s="19"/>
      <c r="J38" s="24"/>
    </row>
    <row r="39" spans="1:14" ht="15.75" customHeight="1">
      <c r="A39" s="33">
        <v>7</v>
      </c>
      <c r="B39" s="79" t="s">
        <v>26</v>
      </c>
      <c r="C39" s="80" t="s">
        <v>32</v>
      </c>
      <c r="D39" s="79"/>
      <c r="E39" s="81"/>
      <c r="F39" s="82">
        <v>10</v>
      </c>
      <c r="G39" s="82">
        <v>1527.22</v>
      </c>
      <c r="H39" s="83">
        <f t="shared" ref="H39:H45" si="5">SUM(F39*G39/1000)</f>
        <v>15.272200000000002</v>
      </c>
      <c r="I39" s="13">
        <f>F39/6*G39</f>
        <v>2545.3666666666668</v>
      </c>
      <c r="J39" s="24"/>
    </row>
    <row r="40" spans="1:14" ht="15.75" customHeight="1">
      <c r="A40" s="33">
        <v>8</v>
      </c>
      <c r="B40" s="79" t="s">
        <v>68</v>
      </c>
      <c r="C40" s="80" t="s">
        <v>29</v>
      </c>
      <c r="D40" s="79" t="s">
        <v>137</v>
      </c>
      <c r="E40" s="82">
        <v>567.9</v>
      </c>
      <c r="F40" s="82">
        <f>SUM(E40*50/1000)</f>
        <v>28.395</v>
      </c>
      <c r="G40" s="82">
        <v>2102.71</v>
      </c>
      <c r="H40" s="83">
        <f t="shared" si="5"/>
        <v>59.706450449999998</v>
      </c>
      <c r="I40" s="13">
        <f>F40/6*G40</f>
        <v>9951.0750750000007</v>
      </c>
      <c r="J40" s="24"/>
    </row>
    <row r="41" spans="1:14" ht="15.75" hidden="1" customHeight="1">
      <c r="A41" s="33">
        <v>8</v>
      </c>
      <c r="B41" s="79" t="s">
        <v>95</v>
      </c>
      <c r="C41" s="80" t="s">
        <v>150</v>
      </c>
      <c r="D41" s="79" t="s">
        <v>67</v>
      </c>
      <c r="E41" s="81"/>
      <c r="F41" s="82">
        <v>66</v>
      </c>
      <c r="G41" s="82">
        <v>213.2</v>
      </c>
      <c r="H41" s="83">
        <f t="shared" si="5"/>
        <v>14.071199999999999</v>
      </c>
      <c r="I41" s="13">
        <v>0</v>
      </c>
      <c r="J41" s="24"/>
    </row>
    <row r="42" spans="1:14" ht="15.75" customHeight="1">
      <c r="A42" s="33">
        <v>9</v>
      </c>
      <c r="B42" s="79" t="s">
        <v>69</v>
      </c>
      <c r="C42" s="80" t="s">
        <v>29</v>
      </c>
      <c r="D42" s="79" t="s">
        <v>118</v>
      </c>
      <c r="E42" s="82">
        <v>108</v>
      </c>
      <c r="F42" s="82">
        <f>SUM(E42*155/1000)</f>
        <v>16.739999999999998</v>
      </c>
      <c r="G42" s="82">
        <v>350.75</v>
      </c>
      <c r="H42" s="83">
        <f t="shared" si="5"/>
        <v>5.871554999999999</v>
      </c>
      <c r="I42" s="13">
        <f>F42/6*G42</f>
        <v>978.59249999999986</v>
      </c>
      <c r="J42" s="24"/>
    </row>
    <row r="43" spans="1:14" ht="47.25" customHeight="1">
      <c r="A43" s="33">
        <v>10</v>
      </c>
      <c r="B43" s="79" t="s">
        <v>84</v>
      </c>
      <c r="C43" s="80" t="s">
        <v>114</v>
      </c>
      <c r="D43" s="79" t="s">
        <v>138</v>
      </c>
      <c r="E43" s="82">
        <v>108</v>
      </c>
      <c r="F43" s="82">
        <f>SUM(E43*20/1000)</f>
        <v>2.16</v>
      </c>
      <c r="G43" s="82">
        <v>5803.28</v>
      </c>
      <c r="H43" s="83">
        <f t="shared" si="5"/>
        <v>12.5350848</v>
      </c>
      <c r="I43" s="13">
        <f>F43/6*G43</f>
        <v>2089.1808000000001</v>
      </c>
      <c r="J43" s="24"/>
    </row>
    <row r="44" spans="1:14" ht="15.75" customHeight="1">
      <c r="A44" s="33">
        <v>11</v>
      </c>
      <c r="B44" s="79" t="s">
        <v>119</v>
      </c>
      <c r="C44" s="80" t="s">
        <v>114</v>
      </c>
      <c r="D44" s="79" t="s">
        <v>70</v>
      </c>
      <c r="E44" s="82">
        <v>108</v>
      </c>
      <c r="F44" s="82">
        <f>SUM(E44*45/1000)</f>
        <v>4.8600000000000003</v>
      </c>
      <c r="G44" s="82">
        <v>428.7</v>
      </c>
      <c r="H44" s="83">
        <f t="shared" si="5"/>
        <v>2.0834820000000001</v>
      </c>
      <c r="I44" s="13">
        <f>F44/7.5*1.5*G44</f>
        <v>416.69639999999998</v>
      </c>
      <c r="J44" s="24"/>
      <c r="L44" s="20"/>
      <c r="M44" s="21"/>
      <c r="N44" s="22"/>
    </row>
    <row r="45" spans="1:14" ht="15.75" customHeight="1">
      <c r="A45" s="33">
        <v>12</v>
      </c>
      <c r="B45" s="79" t="s">
        <v>71</v>
      </c>
      <c r="C45" s="80" t="s">
        <v>33</v>
      </c>
      <c r="D45" s="79"/>
      <c r="E45" s="81"/>
      <c r="F45" s="82">
        <v>0.9</v>
      </c>
      <c r="G45" s="82">
        <v>798</v>
      </c>
      <c r="H45" s="83">
        <f t="shared" si="5"/>
        <v>0.71820000000000006</v>
      </c>
      <c r="I45" s="13">
        <f>F45/7.5*1.5*G45</f>
        <v>143.64000000000001</v>
      </c>
      <c r="J45" s="24"/>
      <c r="L45" s="20"/>
      <c r="M45" s="21"/>
      <c r="N45" s="22"/>
    </row>
    <row r="46" spans="1:14" ht="15.75" customHeight="1">
      <c r="A46" s="183" t="s">
        <v>144</v>
      </c>
      <c r="B46" s="184"/>
      <c r="C46" s="184"/>
      <c r="D46" s="184"/>
      <c r="E46" s="184"/>
      <c r="F46" s="184"/>
      <c r="G46" s="184"/>
      <c r="H46" s="184"/>
      <c r="I46" s="185"/>
      <c r="J46" s="24"/>
      <c r="L46" s="20"/>
      <c r="M46" s="21"/>
      <c r="N46" s="22"/>
    </row>
    <row r="47" spans="1:14" ht="15.75" hidden="1" customHeight="1">
      <c r="A47" s="40">
        <v>10</v>
      </c>
      <c r="B47" s="79" t="s">
        <v>120</v>
      </c>
      <c r="C47" s="80" t="s">
        <v>114</v>
      </c>
      <c r="D47" s="79" t="s">
        <v>41</v>
      </c>
      <c r="E47" s="81">
        <v>1571.3</v>
      </c>
      <c r="F47" s="82">
        <f>SUM(E47*2/1000)</f>
        <v>3.1425999999999998</v>
      </c>
      <c r="G47" s="13">
        <v>849.49</v>
      </c>
      <c r="H47" s="83">
        <f t="shared" ref="H47:H55" si="6">SUM(F47*G47/1000)</f>
        <v>2.6696072740000001</v>
      </c>
      <c r="I47" s="13">
        <f t="shared" ref="I47:I49" si="7">F47/2*G47</f>
        <v>1334.803637</v>
      </c>
      <c r="J47" s="24"/>
      <c r="L47" s="20"/>
      <c r="M47" s="21"/>
      <c r="N47" s="22"/>
    </row>
    <row r="48" spans="1:14" ht="15.75" hidden="1" customHeight="1">
      <c r="A48" s="40">
        <v>11</v>
      </c>
      <c r="B48" s="79" t="s">
        <v>34</v>
      </c>
      <c r="C48" s="80" t="s">
        <v>114</v>
      </c>
      <c r="D48" s="79" t="s">
        <v>41</v>
      </c>
      <c r="E48" s="81">
        <v>92.8</v>
      </c>
      <c r="F48" s="82">
        <f>SUM(E48*2/1000)</f>
        <v>0.18559999999999999</v>
      </c>
      <c r="G48" s="13">
        <v>579.48</v>
      </c>
      <c r="H48" s="83">
        <f t="shared" si="6"/>
        <v>0.10755148799999999</v>
      </c>
      <c r="I48" s="13">
        <f t="shared" si="7"/>
        <v>53.775743999999996</v>
      </c>
      <c r="J48" s="24"/>
      <c r="L48" s="20"/>
      <c r="M48" s="21"/>
      <c r="N48" s="22"/>
    </row>
    <row r="49" spans="1:14" ht="15.75" hidden="1" customHeight="1">
      <c r="A49" s="40">
        <v>12</v>
      </c>
      <c r="B49" s="79" t="s">
        <v>35</v>
      </c>
      <c r="C49" s="80" t="s">
        <v>114</v>
      </c>
      <c r="D49" s="79" t="s">
        <v>41</v>
      </c>
      <c r="E49" s="81">
        <v>4737.7</v>
      </c>
      <c r="F49" s="82">
        <f>SUM(E49*2/1000)</f>
        <v>9.4754000000000005</v>
      </c>
      <c r="G49" s="13">
        <v>579.48</v>
      </c>
      <c r="H49" s="83">
        <f t="shared" si="6"/>
        <v>5.4908047920000005</v>
      </c>
      <c r="I49" s="13">
        <f t="shared" si="7"/>
        <v>2745.4023960000004</v>
      </c>
      <c r="J49" s="24"/>
      <c r="L49" s="20"/>
      <c r="M49" s="21"/>
      <c r="N49" s="22"/>
    </row>
    <row r="50" spans="1:14" ht="15.75" hidden="1" customHeight="1">
      <c r="A50" s="40">
        <v>13</v>
      </c>
      <c r="B50" s="79" t="s">
        <v>36</v>
      </c>
      <c r="C50" s="80" t="s">
        <v>114</v>
      </c>
      <c r="D50" s="79" t="s">
        <v>41</v>
      </c>
      <c r="E50" s="81">
        <v>2811.99</v>
      </c>
      <c r="F50" s="82">
        <f>SUM(E50*2/1000)</f>
        <v>5.6239799999999995</v>
      </c>
      <c r="G50" s="13">
        <v>606.77</v>
      </c>
      <c r="H50" s="83">
        <f t="shared" si="6"/>
        <v>3.4124623445999998</v>
      </c>
      <c r="I50" s="13">
        <f>F50/2*G50</f>
        <v>1706.2311722999998</v>
      </c>
      <c r="J50" s="24"/>
      <c r="L50" s="20"/>
      <c r="M50" s="21"/>
      <c r="N50" s="22"/>
    </row>
    <row r="51" spans="1:14" ht="15.75" customHeight="1">
      <c r="A51" s="40">
        <v>13</v>
      </c>
      <c r="B51" s="79" t="s">
        <v>56</v>
      </c>
      <c r="C51" s="80" t="s">
        <v>114</v>
      </c>
      <c r="D51" s="79" t="s">
        <v>151</v>
      </c>
      <c r="E51" s="81">
        <v>1571.3</v>
      </c>
      <c r="F51" s="82">
        <f>SUM(E51*5/1000)</f>
        <v>7.8564999999999996</v>
      </c>
      <c r="G51" s="13">
        <v>1213.55</v>
      </c>
      <c r="H51" s="83">
        <f t="shared" si="6"/>
        <v>9.5342555749999995</v>
      </c>
      <c r="I51" s="13">
        <f>F51/5*G51</f>
        <v>1906.8511149999999</v>
      </c>
      <c r="J51" s="24"/>
      <c r="L51" s="20"/>
      <c r="M51" s="21"/>
      <c r="N51" s="22"/>
    </row>
    <row r="52" spans="1:14" ht="31.5" hidden="1" customHeight="1">
      <c r="A52" s="40">
        <v>10</v>
      </c>
      <c r="B52" s="79" t="s">
        <v>121</v>
      </c>
      <c r="C52" s="80" t="s">
        <v>114</v>
      </c>
      <c r="D52" s="79" t="s">
        <v>41</v>
      </c>
      <c r="E52" s="81">
        <v>1571.3</v>
      </c>
      <c r="F52" s="82">
        <f>SUM(E52*2/1000)</f>
        <v>3.1425999999999998</v>
      </c>
      <c r="G52" s="13">
        <v>1213.55</v>
      </c>
      <c r="H52" s="83">
        <f t="shared" si="6"/>
        <v>3.8137022300000001</v>
      </c>
      <c r="I52" s="13">
        <f t="shared" ref="I52:I53" si="8">F52/2*G52</f>
        <v>1906.8511149999999</v>
      </c>
      <c r="J52" s="24"/>
      <c r="L52" s="20"/>
      <c r="M52" s="21"/>
      <c r="N52" s="22"/>
    </row>
    <row r="53" spans="1:14" ht="31.5" hidden="1" customHeight="1">
      <c r="A53" s="40">
        <v>11</v>
      </c>
      <c r="B53" s="79" t="s">
        <v>122</v>
      </c>
      <c r="C53" s="80" t="s">
        <v>37</v>
      </c>
      <c r="D53" s="79" t="s">
        <v>41</v>
      </c>
      <c r="E53" s="81">
        <v>40</v>
      </c>
      <c r="F53" s="82">
        <f>SUM(E53*2/100)</f>
        <v>0.8</v>
      </c>
      <c r="G53" s="13">
        <v>2730.49</v>
      </c>
      <c r="H53" s="83">
        <f t="shared" si="6"/>
        <v>2.1843919999999999</v>
      </c>
      <c r="I53" s="13">
        <f t="shared" si="8"/>
        <v>1092.1959999999999</v>
      </c>
      <c r="J53" s="24"/>
      <c r="L53" s="20"/>
      <c r="M53" s="21"/>
      <c r="N53" s="22"/>
    </row>
    <row r="54" spans="1:14" ht="15.75" hidden="1" customHeight="1">
      <c r="A54" s="40">
        <v>12</v>
      </c>
      <c r="B54" s="79" t="s">
        <v>38</v>
      </c>
      <c r="C54" s="80" t="s">
        <v>39</v>
      </c>
      <c r="D54" s="79" t="s">
        <v>41</v>
      </c>
      <c r="E54" s="81">
        <v>1</v>
      </c>
      <c r="F54" s="82">
        <v>0.02</v>
      </c>
      <c r="G54" s="13">
        <v>5652.13</v>
      </c>
      <c r="H54" s="83">
        <f t="shared" si="6"/>
        <v>0.11304260000000001</v>
      </c>
      <c r="I54" s="13">
        <f>F54/2*G54</f>
        <v>56.521300000000004</v>
      </c>
      <c r="J54" s="24"/>
      <c r="L54" s="20"/>
      <c r="M54" s="21"/>
      <c r="N54" s="22"/>
    </row>
    <row r="55" spans="1:14" ht="15.75" hidden="1" customHeight="1">
      <c r="A55" s="40">
        <v>13</v>
      </c>
      <c r="B55" s="79" t="s">
        <v>40</v>
      </c>
      <c r="C55" s="80" t="s">
        <v>123</v>
      </c>
      <c r="D55" s="79" t="s">
        <v>72</v>
      </c>
      <c r="E55" s="81">
        <v>238</v>
      </c>
      <c r="F55" s="82">
        <f>SUM(E55)*3</f>
        <v>714</v>
      </c>
      <c r="G55" s="13">
        <v>65.67</v>
      </c>
      <c r="H55" s="83">
        <f t="shared" si="6"/>
        <v>46.888380000000005</v>
      </c>
      <c r="I55" s="13">
        <f>E55*G55</f>
        <v>15629.460000000001</v>
      </c>
      <c r="J55" s="24"/>
      <c r="L55" s="20"/>
      <c r="M55" s="21"/>
      <c r="N55" s="22"/>
    </row>
    <row r="56" spans="1:14" ht="15.75" customHeight="1">
      <c r="A56" s="170" t="s">
        <v>145</v>
      </c>
      <c r="B56" s="171"/>
      <c r="C56" s="171"/>
      <c r="D56" s="171"/>
      <c r="E56" s="171"/>
      <c r="F56" s="171"/>
      <c r="G56" s="171"/>
      <c r="H56" s="171"/>
      <c r="I56" s="172"/>
      <c r="J56" s="24"/>
      <c r="L56" s="20"/>
      <c r="M56" s="21"/>
      <c r="N56" s="22"/>
    </row>
    <row r="57" spans="1:14" ht="15.75" customHeight="1">
      <c r="A57" s="111"/>
      <c r="B57" s="47" t="s">
        <v>42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hidden="1" customHeight="1">
      <c r="A58" s="40">
        <v>13</v>
      </c>
      <c r="B58" s="79" t="s">
        <v>139</v>
      </c>
      <c r="C58" s="80" t="s">
        <v>104</v>
      </c>
      <c r="D58" s="79" t="s">
        <v>124</v>
      </c>
      <c r="E58" s="81">
        <v>48</v>
      </c>
      <c r="F58" s="82">
        <f>E58*6/100</f>
        <v>2.88</v>
      </c>
      <c r="G58" s="89">
        <v>1547.28</v>
      </c>
      <c r="H58" s="83">
        <f>F58*G58/1000</f>
        <v>4.4561663999999999</v>
      </c>
      <c r="I58" s="13">
        <f>F58/6*G58</f>
        <v>742.69439999999997</v>
      </c>
      <c r="J58" s="24"/>
      <c r="L58" s="20"/>
      <c r="M58" s="21"/>
      <c r="N58" s="22"/>
    </row>
    <row r="59" spans="1:14" ht="15.75" customHeight="1">
      <c r="A59" s="40">
        <v>14</v>
      </c>
      <c r="B59" s="90" t="s">
        <v>96</v>
      </c>
      <c r="C59" s="91" t="s">
        <v>104</v>
      </c>
      <c r="D59" s="90" t="s">
        <v>140</v>
      </c>
      <c r="E59" s="92">
        <v>56</v>
      </c>
      <c r="F59" s="93">
        <f>E59*4/100</f>
        <v>2.2400000000000002</v>
      </c>
      <c r="G59" s="89">
        <v>1547.28</v>
      </c>
      <c r="H59" s="94">
        <f>F59*G59/1000</f>
        <v>3.4659072000000002</v>
      </c>
      <c r="I59" s="13">
        <f>F59/6*G59</f>
        <v>577.65120000000002</v>
      </c>
      <c r="J59" s="24"/>
      <c r="L59" s="20"/>
      <c r="M59" s="21"/>
      <c r="N59" s="22"/>
    </row>
    <row r="60" spans="1:14" ht="15.75" hidden="1" customHeight="1">
      <c r="A60" s="40">
        <v>15</v>
      </c>
      <c r="B60" s="90" t="s">
        <v>100</v>
      </c>
      <c r="C60" s="91" t="s">
        <v>101</v>
      </c>
      <c r="D60" s="90" t="s">
        <v>41</v>
      </c>
      <c r="E60" s="92">
        <v>8</v>
      </c>
      <c r="F60" s="93">
        <v>16</v>
      </c>
      <c r="G60" s="95">
        <v>180.78</v>
      </c>
      <c r="H60" s="94">
        <f>F60*G60/1000</f>
        <v>2.8924799999999999</v>
      </c>
      <c r="I60" s="13">
        <f>F60/2*G60</f>
        <v>1446.24</v>
      </c>
      <c r="J60" s="24"/>
      <c r="L60" s="20"/>
      <c r="M60" s="21"/>
      <c r="N60" s="22"/>
    </row>
    <row r="61" spans="1:14" ht="15.75" customHeight="1">
      <c r="A61" s="40"/>
      <c r="B61" s="110" t="s">
        <v>43</v>
      </c>
      <c r="C61" s="110"/>
      <c r="D61" s="110"/>
      <c r="E61" s="110"/>
      <c r="F61" s="110"/>
      <c r="G61" s="110"/>
      <c r="H61" s="110"/>
      <c r="I61" s="35"/>
      <c r="J61" s="24"/>
      <c r="L61" s="20"/>
      <c r="M61" s="21"/>
      <c r="N61" s="22"/>
    </row>
    <row r="62" spans="1:14" ht="15.75" customHeight="1">
      <c r="A62" s="40">
        <v>15</v>
      </c>
      <c r="B62" s="90" t="s">
        <v>97</v>
      </c>
      <c r="C62" s="91" t="s">
        <v>25</v>
      </c>
      <c r="D62" s="90" t="s">
        <v>152</v>
      </c>
      <c r="E62" s="92">
        <v>331.5</v>
      </c>
      <c r="F62" s="93">
        <v>2400</v>
      </c>
      <c r="G62" s="96">
        <v>1.2</v>
      </c>
      <c r="H62" s="94">
        <f>G62*F62/1000</f>
        <v>2.88</v>
      </c>
      <c r="I62" s="13">
        <f>F62/12*G62</f>
        <v>240</v>
      </c>
      <c r="J62" s="24"/>
      <c r="L62" s="20"/>
      <c r="M62" s="21"/>
      <c r="N62" s="22"/>
    </row>
    <row r="63" spans="1:14" ht="15.75" hidden="1" customHeight="1">
      <c r="A63" s="40">
        <v>14</v>
      </c>
      <c r="B63" s="90" t="s">
        <v>44</v>
      </c>
      <c r="C63" s="91" t="s">
        <v>25</v>
      </c>
      <c r="D63" s="90" t="s">
        <v>53</v>
      </c>
      <c r="E63" s="92">
        <v>1571.3</v>
      </c>
      <c r="F63" s="93">
        <f>E63/100</f>
        <v>15.712999999999999</v>
      </c>
      <c r="G63" s="97">
        <v>793.61</v>
      </c>
      <c r="H63" s="94">
        <f>G63*F63/1000</f>
        <v>12.469993929999999</v>
      </c>
      <c r="I63" s="13">
        <v>0</v>
      </c>
      <c r="J63" s="24"/>
      <c r="L63" s="20"/>
      <c r="M63" s="21"/>
      <c r="N63" s="22"/>
    </row>
    <row r="64" spans="1:14" ht="15.75" customHeight="1">
      <c r="A64" s="40"/>
      <c r="B64" s="110" t="s">
        <v>45</v>
      </c>
      <c r="C64" s="17"/>
      <c r="D64" s="37"/>
      <c r="E64" s="37"/>
      <c r="F64" s="16"/>
      <c r="G64" s="30"/>
      <c r="H64" s="30"/>
      <c r="I64" s="19"/>
      <c r="J64" s="24"/>
      <c r="L64" s="20"/>
      <c r="M64" s="21"/>
      <c r="N64" s="22"/>
    </row>
    <row r="65" spans="1:22" ht="15.75" customHeight="1">
      <c r="A65" s="40">
        <v>16</v>
      </c>
      <c r="B65" s="15" t="s">
        <v>46</v>
      </c>
      <c r="C65" s="17" t="s">
        <v>123</v>
      </c>
      <c r="D65" s="15" t="s">
        <v>67</v>
      </c>
      <c r="E65" s="19">
        <v>35</v>
      </c>
      <c r="F65" s="82">
        <v>35</v>
      </c>
      <c r="G65" s="13">
        <v>222.4</v>
      </c>
      <c r="H65" s="98">
        <f t="shared" ref="H65:H72" si="9">SUM(F65*G65/1000)</f>
        <v>7.7839999999999998</v>
      </c>
      <c r="I65" s="13">
        <f>G65*2</f>
        <v>444.8</v>
      </c>
      <c r="J65" s="24"/>
      <c r="L65" s="20"/>
    </row>
    <row r="66" spans="1:22" ht="15.75" hidden="1" customHeight="1">
      <c r="A66" s="30">
        <v>29</v>
      </c>
      <c r="B66" s="15" t="s">
        <v>47</v>
      </c>
      <c r="C66" s="17" t="s">
        <v>123</v>
      </c>
      <c r="D66" s="15" t="s">
        <v>67</v>
      </c>
      <c r="E66" s="19">
        <v>17</v>
      </c>
      <c r="F66" s="82">
        <v>20</v>
      </c>
      <c r="G66" s="13">
        <v>76.25</v>
      </c>
      <c r="H66" s="98">
        <f t="shared" si="9"/>
        <v>1.5249999999999999</v>
      </c>
      <c r="I66" s="13">
        <v>0</v>
      </c>
    </row>
    <row r="67" spans="1:22" ht="15.75" hidden="1" customHeight="1">
      <c r="A67" s="30">
        <v>26</v>
      </c>
      <c r="B67" s="15" t="s">
        <v>48</v>
      </c>
      <c r="C67" s="17" t="s">
        <v>125</v>
      </c>
      <c r="D67" s="15" t="s">
        <v>53</v>
      </c>
      <c r="E67" s="81">
        <v>22639</v>
      </c>
      <c r="F67" s="13">
        <f>SUM(E67/100)</f>
        <v>226.39</v>
      </c>
      <c r="G67" s="13">
        <v>212.15</v>
      </c>
      <c r="H67" s="98">
        <f t="shared" si="9"/>
        <v>48.0286385</v>
      </c>
      <c r="I67" s="13">
        <f>F67*G67</f>
        <v>48028.638500000001</v>
      </c>
    </row>
    <row r="68" spans="1:22" ht="15.75" hidden="1" customHeight="1">
      <c r="A68" s="30">
        <v>27</v>
      </c>
      <c r="B68" s="15" t="s">
        <v>49</v>
      </c>
      <c r="C68" s="17" t="s">
        <v>126</v>
      </c>
      <c r="D68" s="15"/>
      <c r="E68" s="81">
        <v>22639</v>
      </c>
      <c r="F68" s="13">
        <f>SUM(E68/1000)</f>
        <v>22.638999999999999</v>
      </c>
      <c r="G68" s="13">
        <v>165.21</v>
      </c>
      <c r="H68" s="98">
        <f t="shared" si="9"/>
        <v>3.7401891900000002</v>
      </c>
      <c r="I68" s="13">
        <f t="shared" ref="I68:I72" si="10">F68*G68</f>
        <v>3740.1891900000001</v>
      </c>
    </row>
    <row r="69" spans="1:22" ht="15.75" hidden="1" customHeight="1">
      <c r="A69" s="30">
        <v>28</v>
      </c>
      <c r="B69" s="15" t="s">
        <v>50</v>
      </c>
      <c r="C69" s="17" t="s">
        <v>77</v>
      </c>
      <c r="D69" s="15" t="s">
        <v>53</v>
      </c>
      <c r="E69" s="81">
        <v>3145</v>
      </c>
      <c r="F69" s="13">
        <f>SUM(E69/100)</f>
        <v>31.45</v>
      </c>
      <c r="G69" s="13">
        <v>2074.63</v>
      </c>
      <c r="H69" s="98">
        <f t="shared" si="9"/>
        <v>65.247113499999998</v>
      </c>
      <c r="I69" s="13">
        <f t="shared" si="10"/>
        <v>65247.113499999999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29</v>
      </c>
      <c r="B70" s="99" t="s">
        <v>127</v>
      </c>
      <c r="C70" s="17" t="s">
        <v>33</v>
      </c>
      <c r="D70" s="15"/>
      <c r="E70" s="81">
        <v>20.28</v>
      </c>
      <c r="F70" s="13">
        <f>SUM(E70)</f>
        <v>20.28</v>
      </c>
      <c r="G70" s="13">
        <v>42.67</v>
      </c>
      <c r="H70" s="98">
        <f t="shared" si="9"/>
        <v>0.86534760000000011</v>
      </c>
      <c r="I70" s="13">
        <f t="shared" si="10"/>
        <v>865.34760000000006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30</v>
      </c>
      <c r="B71" s="99" t="s">
        <v>153</v>
      </c>
      <c r="C71" s="17" t="s">
        <v>33</v>
      </c>
      <c r="D71" s="15"/>
      <c r="E71" s="81">
        <v>20.28</v>
      </c>
      <c r="F71" s="13">
        <f>SUM(E71)</f>
        <v>20.28</v>
      </c>
      <c r="G71" s="13">
        <v>39.81</v>
      </c>
      <c r="H71" s="98">
        <f t="shared" si="9"/>
        <v>0.80734680000000014</v>
      </c>
      <c r="I71" s="13">
        <f t="shared" si="10"/>
        <v>807.34680000000014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hidden="1" customHeight="1">
      <c r="A72" s="30">
        <v>12</v>
      </c>
      <c r="B72" s="15" t="s">
        <v>57</v>
      </c>
      <c r="C72" s="17" t="s">
        <v>58</v>
      </c>
      <c r="D72" s="15" t="s">
        <v>53</v>
      </c>
      <c r="E72" s="19">
        <v>15</v>
      </c>
      <c r="F72" s="82">
        <f>SUM(E72)</f>
        <v>15</v>
      </c>
      <c r="G72" s="13">
        <v>49.88</v>
      </c>
      <c r="H72" s="98">
        <f t="shared" si="9"/>
        <v>0.74820000000000009</v>
      </c>
      <c r="I72" s="13">
        <f t="shared" si="10"/>
        <v>748.2</v>
      </c>
      <c r="J72" s="5"/>
      <c r="K72" s="5"/>
      <c r="L72" s="5"/>
      <c r="M72" s="5"/>
      <c r="N72" s="5"/>
      <c r="O72" s="5"/>
      <c r="P72" s="5"/>
      <c r="Q72" s="5"/>
      <c r="R72" s="161"/>
      <c r="S72" s="161"/>
      <c r="T72" s="161"/>
      <c r="U72" s="161"/>
    </row>
    <row r="73" spans="1:22" ht="16.5" customHeight="1">
      <c r="A73" s="30"/>
      <c r="B73" s="48" t="s">
        <v>73</v>
      </c>
      <c r="C73" s="48"/>
      <c r="D73" s="48"/>
      <c r="E73" s="48"/>
      <c r="F73" s="19"/>
      <c r="G73" s="30"/>
      <c r="H73" s="30"/>
      <c r="I73" s="19"/>
    </row>
    <row r="74" spans="1:22" ht="18.75" customHeight="1">
      <c r="A74" s="30">
        <v>17</v>
      </c>
      <c r="B74" s="15" t="s">
        <v>74</v>
      </c>
      <c r="C74" s="17" t="s">
        <v>31</v>
      </c>
      <c r="D74" s="15"/>
      <c r="E74" s="19">
        <v>5</v>
      </c>
      <c r="F74" s="100">
        <v>0.5</v>
      </c>
      <c r="G74" s="13">
        <v>501.62</v>
      </c>
      <c r="H74" s="98">
        <f>F74*G74/1000</f>
        <v>0.25080999999999998</v>
      </c>
      <c r="I74" s="13">
        <f>G74*0.1</f>
        <v>50.162000000000006</v>
      </c>
    </row>
    <row r="75" spans="1:22" ht="19.5" hidden="1" customHeight="1">
      <c r="A75" s="30">
        <v>14</v>
      </c>
      <c r="B75" s="15" t="s">
        <v>131</v>
      </c>
      <c r="C75" s="17" t="s">
        <v>30</v>
      </c>
      <c r="D75" s="15"/>
      <c r="E75" s="19">
        <v>1</v>
      </c>
      <c r="F75" s="13">
        <v>1</v>
      </c>
      <c r="G75" s="13">
        <v>120.26</v>
      </c>
      <c r="H75" s="98">
        <f>G75*F75/1000</f>
        <v>0.12026000000000001</v>
      </c>
      <c r="I75" s="13">
        <f>G75</f>
        <v>120.26</v>
      </c>
    </row>
    <row r="76" spans="1:22" ht="21" hidden="1" customHeight="1">
      <c r="A76" s="30"/>
      <c r="B76" s="15" t="s">
        <v>130</v>
      </c>
      <c r="C76" s="17" t="s">
        <v>30</v>
      </c>
      <c r="D76" s="15"/>
      <c r="E76" s="19">
        <v>1</v>
      </c>
      <c r="F76" s="100">
        <v>1</v>
      </c>
      <c r="G76" s="13">
        <v>99.85</v>
      </c>
      <c r="H76" s="98">
        <f>G76*F76/1000</f>
        <v>9.9849999999999994E-2</v>
      </c>
      <c r="I76" s="13">
        <v>0</v>
      </c>
    </row>
    <row r="77" spans="1:22" ht="17.25" hidden="1" customHeight="1">
      <c r="A77" s="30"/>
      <c r="B77" s="15" t="s">
        <v>88</v>
      </c>
      <c r="C77" s="17" t="s">
        <v>30</v>
      </c>
      <c r="D77" s="15"/>
      <c r="E77" s="19">
        <v>2</v>
      </c>
      <c r="F77" s="82">
        <f>SUM(E77)</f>
        <v>2</v>
      </c>
      <c r="G77" s="13">
        <v>358.51</v>
      </c>
      <c r="H77" s="98">
        <f t="shared" ref="H77" si="11">SUM(F77*G77/1000)</f>
        <v>0.71701999999999999</v>
      </c>
      <c r="I77" s="13">
        <v>0</v>
      </c>
    </row>
    <row r="78" spans="1:22" ht="21" hidden="1" customHeight="1">
      <c r="A78" s="30">
        <v>18</v>
      </c>
      <c r="B78" s="15" t="s">
        <v>75</v>
      </c>
      <c r="C78" s="17" t="s">
        <v>30</v>
      </c>
      <c r="D78" s="15"/>
      <c r="E78" s="19">
        <v>2</v>
      </c>
      <c r="F78" s="13">
        <v>2</v>
      </c>
      <c r="G78" s="13">
        <v>852.99</v>
      </c>
      <c r="H78" s="98">
        <f>F78*G78/1000</f>
        <v>1.7059800000000001</v>
      </c>
      <c r="I78" s="13">
        <f>G78</f>
        <v>852.99</v>
      </c>
    </row>
    <row r="79" spans="1:22" ht="16.5" hidden="1" customHeight="1">
      <c r="A79" s="30"/>
      <c r="B79" s="49" t="s">
        <v>76</v>
      </c>
      <c r="C79" s="38"/>
      <c r="D79" s="30"/>
      <c r="E79" s="30"/>
      <c r="F79" s="19"/>
      <c r="G79" s="36"/>
      <c r="H79" s="36"/>
      <c r="I79" s="19"/>
    </row>
    <row r="80" spans="1:22" ht="15.75" hidden="1" customHeight="1">
      <c r="A80" s="30">
        <v>39</v>
      </c>
      <c r="B80" s="51" t="s">
        <v>132</v>
      </c>
      <c r="C80" s="17" t="s">
        <v>77</v>
      </c>
      <c r="D80" s="15"/>
      <c r="E80" s="19"/>
      <c r="F80" s="13">
        <v>1.35</v>
      </c>
      <c r="G80" s="13">
        <v>2759.44</v>
      </c>
      <c r="H80" s="98">
        <f t="shared" ref="H80" si="12">SUM(F80*G80/1000)</f>
        <v>3.725244</v>
      </c>
      <c r="I80" s="13">
        <v>0</v>
      </c>
    </row>
    <row r="81" spans="1:21" ht="18" hidden="1" customHeight="1">
      <c r="A81" s="111"/>
      <c r="B81" s="110" t="s">
        <v>128</v>
      </c>
      <c r="C81" s="110"/>
      <c r="D81" s="110"/>
      <c r="E81" s="110"/>
      <c r="F81" s="110"/>
      <c r="G81" s="110"/>
      <c r="H81" s="110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9.5" hidden="1" customHeight="1">
      <c r="A82" s="30">
        <v>12</v>
      </c>
      <c r="B82" s="79" t="s">
        <v>129</v>
      </c>
      <c r="C82" s="17"/>
      <c r="D82" s="15"/>
      <c r="E82" s="101"/>
      <c r="F82" s="13">
        <v>1</v>
      </c>
      <c r="G82" s="13">
        <v>25286</v>
      </c>
      <c r="H82" s="98">
        <f>G82*F82/1000</f>
        <v>25.286000000000001</v>
      </c>
      <c r="I82" s="13">
        <f>G82</f>
        <v>25286</v>
      </c>
    </row>
    <row r="83" spans="1:21" ht="15.75" customHeight="1">
      <c r="A83" s="170" t="s">
        <v>146</v>
      </c>
      <c r="B83" s="171"/>
      <c r="C83" s="171"/>
      <c r="D83" s="171"/>
      <c r="E83" s="171"/>
      <c r="F83" s="171"/>
      <c r="G83" s="171"/>
      <c r="H83" s="171"/>
      <c r="I83" s="172"/>
    </row>
    <row r="84" spans="1:21" ht="15.75" customHeight="1">
      <c r="A84" s="30">
        <v>18</v>
      </c>
      <c r="B84" s="79" t="s">
        <v>133</v>
      </c>
      <c r="C84" s="17" t="s">
        <v>54</v>
      </c>
      <c r="D84" s="103" t="s">
        <v>55</v>
      </c>
      <c r="E84" s="13">
        <v>5836.1</v>
      </c>
      <c r="F84" s="13">
        <f>SUM(E84*12)</f>
        <v>70033.200000000012</v>
      </c>
      <c r="G84" s="13">
        <v>2.1</v>
      </c>
      <c r="H84" s="98">
        <f>SUM(F84*G84/1000)</f>
        <v>147.06972000000002</v>
      </c>
      <c r="I84" s="13">
        <f>F84/12*G84</f>
        <v>12255.810000000003</v>
      </c>
    </row>
    <row r="85" spans="1:21" ht="31.5" customHeight="1">
      <c r="A85" s="30">
        <v>19</v>
      </c>
      <c r="B85" s="15" t="s">
        <v>78</v>
      </c>
      <c r="C85" s="17"/>
      <c r="D85" s="103" t="s">
        <v>55</v>
      </c>
      <c r="E85" s="81">
        <v>5836.1</v>
      </c>
      <c r="F85" s="13">
        <f>E85*12</f>
        <v>70033.200000000012</v>
      </c>
      <c r="G85" s="13">
        <v>1.63</v>
      </c>
      <c r="H85" s="98">
        <f>F85*G85/1000</f>
        <v>114.15411600000002</v>
      </c>
      <c r="I85" s="13">
        <f>F85/12*G85</f>
        <v>9512.8430000000008</v>
      </c>
    </row>
    <row r="86" spans="1:21" ht="15.75" customHeight="1">
      <c r="A86" s="111"/>
      <c r="B86" s="39" t="s">
        <v>81</v>
      </c>
      <c r="C86" s="40"/>
      <c r="D86" s="16"/>
      <c r="E86" s="16"/>
      <c r="F86" s="16"/>
      <c r="G86" s="19"/>
      <c r="H86" s="19"/>
      <c r="I86" s="32">
        <f>I85+I84+I74+I65+I62+I59+I51+I45+I44+I43+I42+I40+I39+I27+I21+I20+I18+I17+I16</f>
        <v>63731.710937333344</v>
      </c>
    </row>
    <row r="87" spans="1:21" ht="15.75" customHeight="1">
      <c r="A87" s="173" t="s">
        <v>60</v>
      </c>
      <c r="B87" s="174"/>
      <c r="C87" s="174"/>
      <c r="D87" s="174"/>
      <c r="E87" s="174"/>
      <c r="F87" s="174"/>
      <c r="G87" s="174"/>
      <c r="H87" s="174"/>
      <c r="I87" s="175"/>
    </row>
    <row r="88" spans="1:21" ht="33" customHeight="1">
      <c r="A88" s="30">
        <v>20</v>
      </c>
      <c r="B88" s="115" t="s">
        <v>275</v>
      </c>
      <c r="C88" s="116" t="s">
        <v>123</v>
      </c>
      <c r="D88" s="51"/>
      <c r="E88" s="36"/>
      <c r="F88" s="36">
        <f>(3+3+30+25+15+20+20+3+15+15+20+10+3+10+15+3+10)/3</f>
        <v>73.333333333333329</v>
      </c>
      <c r="G88" s="36">
        <v>8539.51</v>
      </c>
      <c r="H88" s="102">
        <f t="shared" ref="H88" si="13">G88*F88/1000</f>
        <v>626.23073333333332</v>
      </c>
      <c r="I88" s="19">
        <f>G88*1</f>
        <v>8539.51</v>
      </c>
    </row>
    <row r="89" spans="1:21" ht="32.25" customHeight="1">
      <c r="A89" s="30">
        <v>21</v>
      </c>
      <c r="B89" s="115" t="s">
        <v>267</v>
      </c>
      <c r="C89" s="116" t="s">
        <v>29</v>
      </c>
      <c r="D89" s="51"/>
      <c r="E89" s="36"/>
      <c r="F89" s="36">
        <v>13</v>
      </c>
      <c r="G89" s="36">
        <v>18798.34</v>
      </c>
      <c r="H89" s="102">
        <f>G89*F89/1000</f>
        <v>244.37842000000001</v>
      </c>
      <c r="I89" s="19">
        <f>G89*0.599*15/1000</f>
        <v>168.90308489999998</v>
      </c>
    </row>
    <row r="90" spans="1:21" ht="16.5" customHeight="1">
      <c r="A90" s="30">
        <v>22</v>
      </c>
      <c r="B90" s="115" t="s">
        <v>171</v>
      </c>
      <c r="C90" s="116" t="s">
        <v>172</v>
      </c>
      <c r="D90" s="51"/>
      <c r="E90" s="36"/>
      <c r="F90" s="36"/>
      <c r="G90" s="36">
        <v>134.12</v>
      </c>
      <c r="H90" s="102"/>
      <c r="I90" s="19">
        <f>G90*12</f>
        <v>1609.44</v>
      </c>
    </row>
    <row r="91" spans="1:21" ht="33.75" customHeight="1">
      <c r="A91" s="30">
        <v>23</v>
      </c>
      <c r="B91" s="55" t="s">
        <v>158</v>
      </c>
      <c r="C91" s="63" t="s">
        <v>37</v>
      </c>
      <c r="D91" s="51"/>
      <c r="E91" s="36"/>
      <c r="F91" s="36"/>
      <c r="G91" s="36">
        <v>3724.37</v>
      </c>
      <c r="H91" s="102"/>
      <c r="I91" s="19">
        <f>G91*0.01</f>
        <v>37.243699999999997</v>
      </c>
    </row>
    <row r="92" spans="1:21" ht="16.5" customHeight="1">
      <c r="A92" s="30">
        <v>24</v>
      </c>
      <c r="B92" s="115" t="s">
        <v>221</v>
      </c>
      <c r="C92" s="116" t="s">
        <v>166</v>
      </c>
      <c r="D92" s="51"/>
      <c r="E92" s="36"/>
      <c r="F92" s="36"/>
      <c r="G92" s="36">
        <v>203.68</v>
      </c>
      <c r="H92" s="102"/>
      <c r="I92" s="19">
        <f>G92*1</f>
        <v>203.68</v>
      </c>
    </row>
    <row r="93" spans="1:21" ht="31.5" customHeight="1">
      <c r="A93" s="30">
        <v>25</v>
      </c>
      <c r="B93" s="55" t="s">
        <v>80</v>
      </c>
      <c r="C93" s="63" t="s">
        <v>123</v>
      </c>
      <c r="D93" s="51"/>
      <c r="E93" s="36"/>
      <c r="F93" s="36"/>
      <c r="G93" s="36">
        <v>86.69</v>
      </c>
      <c r="H93" s="102"/>
      <c r="I93" s="19">
        <f>G93*1</f>
        <v>86.69</v>
      </c>
    </row>
    <row r="94" spans="1:21" ht="28.5" customHeight="1">
      <c r="A94" s="30">
        <v>26</v>
      </c>
      <c r="B94" s="115" t="s">
        <v>250</v>
      </c>
      <c r="C94" s="116" t="s">
        <v>251</v>
      </c>
      <c r="D94" s="51"/>
      <c r="E94" s="36"/>
      <c r="F94" s="36"/>
      <c r="G94" s="36">
        <v>24829.08</v>
      </c>
      <c r="H94" s="102"/>
      <c r="I94" s="19">
        <f>G94*0.01</f>
        <v>248.29080000000002</v>
      </c>
    </row>
    <row r="95" spans="1:21" ht="33" customHeight="1">
      <c r="A95" s="30">
        <v>27</v>
      </c>
      <c r="B95" s="115" t="s">
        <v>276</v>
      </c>
      <c r="C95" s="116" t="s">
        <v>29</v>
      </c>
      <c r="D95" s="51"/>
      <c r="E95" s="36"/>
      <c r="F95" s="36">
        <v>4</v>
      </c>
      <c r="G95" s="36">
        <v>1655.27</v>
      </c>
      <c r="H95" s="102">
        <f>G95*F95/1000</f>
        <v>6.6210800000000001</v>
      </c>
      <c r="I95" s="19">
        <f>G95*0.196</f>
        <v>324.43292000000002</v>
      </c>
    </row>
    <row r="96" spans="1:21" ht="15.75" customHeight="1">
      <c r="A96" s="30"/>
      <c r="B96" s="45" t="s">
        <v>51</v>
      </c>
      <c r="C96" s="41"/>
      <c r="D96" s="53"/>
      <c r="E96" s="53"/>
      <c r="F96" s="41">
        <v>1</v>
      </c>
      <c r="G96" s="41"/>
      <c r="H96" s="41"/>
      <c r="I96" s="32">
        <f>SUM(I88:I95)</f>
        <v>11218.190504900002</v>
      </c>
    </row>
    <row r="97" spans="1:9" ht="15.75" customHeight="1">
      <c r="A97" s="30"/>
      <c r="B97" s="51" t="s">
        <v>79</v>
      </c>
      <c r="C97" s="16"/>
      <c r="D97" s="16"/>
      <c r="E97" s="16"/>
      <c r="F97" s="42"/>
      <c r="G97" s="43"/>
      <c r="H97" s="43"/>
      <c r="I97" s="18">
        <v>0</v>
      </c>
    </row>
    <row r="98" spans="1:9" ht="15.75" customHeight="1">
      <c r="A98" s="54"/>
      <c r="B98" s="46" t="s">
        <v>147</v>
      </c>
      <c r="C98" s="34"/>
      <c r="D98" s="34"/>
      <c r="E98" s="34"/>
      <c r="F98" s="34"/>
      <c r="G98" s="34"/>
      <c r="H98" s="34"/>
      <c r="I98" s="44">
        <f>I86+I96</f>
        <v>74949.901442233342</v>
      </c>
    </row>
    <row r="99" spans="1:9" ht="15.75" customHeight="1">
      <c r="A99" s="167" t="s">
        <v>277</v>
      </c>
      <c r="B99" s="167"/>
      <c r="C99" s="167"/>
      <c r="D99" s="167"/>
      <c r="E99" s="167"/>
      <c r="F99" s="167"/>
      <c r="G99" s="167"/>
      <c r="H99" s="167"/>
      <c r="I99" s="167"/>
    </row>
    <row r="100" spans="1:9" ht="15.75" customHeight="1">
      <c r="A100" s="70"/>
      <c r="B100" s="168" t="s">
        <v>278</v>
      </c>
      <c r="C100" s="168"/>
      <c r="D100" s="168"/>
      <c r="E100" s="168"/>
      <c r="F100" s="168"/>
      <c r="G100" s="168"/>
      <c r="H100" s="77"/>
      <c r="I100" s="3"/>
    </row>
    <row r="101" spans="1:9" ht="15.75" customHeight="1">
      <c r="A101" s="108"/>
      <c r="B101" s="166" t="s">
        <v>6</v>
      </c>
      <c r="C101" s="166"/>
      <c r="D101" s="166"/>
      <c r="E101" s="166"/>
      <c r="F101" s="166"/>
      <c r="G101" s="166"/>
      <c r="H101" s="25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169" t="s">
        <v>7</v>
      </c>
      <c r="B103" s="169"/>
      <c r="C103" s="169"/>
      <c r="D103" s="169"/>
      <c r="E103" s="169"/>
      <c r="F103" s="169"/>
      <c r="G103" s="169"/>
      <c r="H103" s="169"/>
      <c r="I103" s="169"/>
    </row>
    <row r="104" spans="1:9" ht="15.75" customHeight="1">
      <c r="A104" s="169" t="s">
        <v>8</v>
      </c>
      <c r="B104" s="169"/>
      <c r="C104" s="169"/>
      <c r="D104" s="169"/>
      <c r="E104" s="169"/>
      <c r="F104" s="169"/>
      <c r="G104" s="169"/>
      <c r="H104" s="169"/>
      <c r="I104" s="169"/>
    </row>
    <row r="105" spans="1:9" ht="15.75" customHeight="1">
      <c r="A105" s="163" t="s">
        <v>61</v>
      </c>
      <c r="B105" s="163"/>
      <c r="C105" s="163"/>
      <c r="D105" s="163"/>
      <c r="E105" s="163"/>
      <c r="F105" s="163"/>
      <c r="G105" s="163"/>
      <c r="H105" s="163"/>
      <c r="I105" s="163"/>
    </row>
    <row r="106" spans="1:9" ht="15.75" customHeight="1">
      <c r="A106" s="11"/>
    </row>
    <row r="107" spans="1:9" ht="15.75" customHeight="1">
      <c r="A107" s="164" t="s">
        <v>9</v>
      </c>
      <c r="B107" s="164"/>
      <c r="C107" s="164"/>
      <c r="D107" s="164"/>
      <c r="E107" s="164"/>
      <c r="F107" s="164"/>
      <c r="G107" s="164"/>
      <c r="H107" s="164"/>
      <c r="I107" s="164"/>
    </row>
    <row r="108" spans="1:9" ht="15.75" customHeight="1">
      <c r="A108" s="4"/>
    </row>
    <row r="109" spans="1:9" ht="15.75" customHeight="1">
      <c r="B109" s="113" t="s">
        <v>10</v>
      </c>
      <c r="C109" s="165" t="s">
        <v>90</v>
      </c>
      <c r="D109" s="165"/>
      <c r="E109" s="165"/>
      <c r="F109" s="165"/>
      <c r="I109" s="114"/>
    </row>
    <row r="110" spans="1:9" ht="15.75" customHeight="1">
      <c r="A110" s="108"/>
      <c r="C110" s="166" t="s">
        <v>11</v>
      </c>
      <c r="D110" s="166"/>
      <c r="E110" s="166"/>
      <c r="F110" s="166"/>
      <c r="I110" s="112" t="s">
        <v>12</v>
      </c>
    </row>
    <row r="111" spans="1:9" ht="15.75" customHeight="1">
      <c r="A111" s="26"/>
      <c r="C111" s="12"/>
      <c r="D111" s="12"/>
      <c r="E111" s="12"/>
      <c r="G111" s="12"/>
      <c r="H111" s="12"/>
    </row>
    <row r="112" spans="1:9" ht="15.75" customHeight="1">
      <c r="B112" s="113" t="s">
        <v>13</v>
      </c>
      <c r="C112" s="160"/>
      <c r="D112" s="160"/>
      <c r="E112" s="160"/>
      <c r="F112" s="160"/>
      <c r="I112" s="114"/>
    </row>
    <row r="113" spans="1:9" ht="15.75" customHeight="1">
      <c r="A113" s="108"/>
      <c r="C113" s="161" t="s">
        <v>11</v>
      </c>
      <c r="D113" s="161"/>
      <c r="E113" s="161"/>
      <c r="F113" s="161"/>
      <c r="I113" s="112" t="s">
        <v>12</v>
      </c>
    </row>
    <row r="114" spans="1:9" ht="15.75" customHeight="1">
      <c r="A114" s="4" t="s">
        <v>14</v>
      </c>
    </row>
    <row r="115" spans="1:9" ht="15.75" customHeight="1">
      <c r="A115" s="162" t="s">
        <v>15</v>
      </c>
      <c r="B115" s="162"/>
      <c r="C115" s="162"/>
      <c r="D115" s="162"/>
      <c r="E115" s="162"/>
      <c r="F115" s="162"/>
      <c r="G115" s="162"/>
      <c r="H115" s="162"/>
      <c r="I115" s="162"/>
    </row>
    <row r="116" spans="1:9" ht="45" customHeight="1">
      <c r="A116" s="159" t="s">
        <v>16</v>
      </c>
      <c r="B116" s="159"/>
      <c r="C116" s="159"/>
      <c r="D116" s="159"/>
      <c r="E116" s="159"/>
      <c r="F116" s="159"/>
      <c r="G116" s="159"/>
      <c r="H116" s="159"/>
      <c r="I116" s="159"/>
    </row>
    <row r="117" spans="1:9" ht="30" customHeight="1">
      <c r="A117" s="159" t="s">
        <v>17</v>
      </c>
      <c r="B117" s="159"/>
      <c r="C117" s="159"/>
      <c r="D117" s="159"/>
      <c r="E117" s="159"/>
      <c r="F117" s="159"/>
      <c r="G117" s="159"/>
      <c r="H117" s="159"/>
      <c r="I117" s="159"/>
    </row>
    <row r="118" spans="1:9" ht="30" customHeight="1">
      <c r="A118" s="159" t="s">
        <v>21</v>
      </c>
      <c r="B118" s="159"/>
      <c r="C118" s="159"/>
      <c r="D118" s="159"/>
      <c r="E118" s="159"/>
      <c r="F118" s="159"/>
      <c r="G118" s="159"/>
      <c r="H118" s="159"/>
      <c r="I118" s="159"/>
    </row>
    <row r="119" spans="1:9" ht="15" customHeight="1">
      <c r="A119" s="159" t="s">
        <v>20</v>
      </c>
      <c r="B119" s="159"/>
      <c r="C119" s="159"/>
      <c r="D119" s="159"/>
      <c r="E119" s="159"/>
      <c r="F119" s="159"/>
      <c r="G119" s="159"/>
      <c r="H119" s="159"/>
      <c r="I119" s="159"/>
    </row>
  </sheetData>
  <autoFilter ref="I12:I67"/>
  <mergeCells count="29">
    <mergeCell ref="A115:I115"/>
    <mergeCell ref="A116:I116"/>
    <mergeCell ref="A117:I117"/>
    <mergeCell ref="A118:I118"/>
    <mergeCell ref="A119:I119"/>
    <mergeCell ref="R72:U72"/>
    <mergeCell ref="C113:F113"/>
    <mergeCell ref="A87:I87"/>
    <mergeCell ref="A99:I99"/>
    <mergeCell ref="B100:G100"/>
    <mergeCell ref="B101:G101"/>
    <mergeCell ref="A103:I103"/>
    <mergeCell ref="A104:I104"/>
    <mergeCell ref="A105:I105"/>
    <mergeCell ref="A107:I107"/>
    <mergeCell ref="C109:F109"/>
    <mergeCell ref="C110:F110"/>
    <mergeCell ref="C112:F112"/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2"/>
  <sheetViews>
    <sheetView topLeftCell="A89" workbookViewId="0">
      <selection activeCell="J85" sqref="J8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86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76" t="s">
        <v>154</v>
      </c>
      <c r="B3" s="176"/>
      <c r="C3" s="176"/>
      <c r="D3" s="176"/>
      <c r="E3" s="176"/>
      <c r="F3" s="176"/>
      <c r="G3" s="176"/>
      <c r="H3" s="176"/>
      <c r="I3" s="176"/>
      <c r="J3" s="3"/>
      <c r="K3" s="3"/>
      <c r="L3" s="3"/>
    </row>
    <row r="4" spans="1:13" ht="31.5" customHeight="1">
      <c r="A4" s="177" t="s">
        <v>134</v>
      </c>
      <c r="B4" s="177"/>
      <c r="C4" s="177"/>
      <c r="D4" s="177"/>
      <c r="E4" s="177"/>
      <c r="F4" s="177"/>
      <c r="G4" s="177"/>
      <c r="H4" s="177"/>
      <c r="I4" s="177"/>
    </row>
    <row r="5" spans="1:13" ht="15.75" customHeight="1">
      <c r="A5" s="176" t="s">
        <v>175</v>
      </c>
      <c r="B5" s="180"/>
      <c r="C5" s="180"/>
      <c r="D5" s="180"/>
      <c r="E5" s="180"/>
      <c r="F5" s="180"/>
      <c r="G5" s="180"/>
      <c r="H5" s="180"/>
      <c r="I5" s="180"/>
      <c r="J5" s="2"/>
      <c r="K5" s="2"/>
      <c r="L5" s="2"/>
      <c r="M5" s="2"/>
    </row>
    <row r="6" spans="1:13" ht="15.75" customHeight="1">
      <c r="A6" s="2"/>
      <c r="B6" s="68"/>
      <c r="C6" s="68"/>
      <c r="D6" s="68"/>
      <c r="E6" s="68"/>
      <c r="F6" s="68"/>
      <c r="G6" s="68"/>
      <c r="H6" s="68"/>
      <c r="I6" s="31">
        <v>43159</v>
      </c>
      <c r="J6" s="2"/>
      <c r="K6" s="2"/>
      <c r="L6" s="2"/>
      <c r="M6" s="2"/>
    </row>
    <row r="7" spans="1:13" ht="15.75" customHeight="1">
      <c r="B7" s="64"/>
      <c r="C7" s="64"/>
      <c r="D7" s="64"/>
      <c r="E7" s="64"/>
      <c r="F7" s="3"/>
      <c r="G7" s="3"/>
      <c r="H7" s="3"/>
      <c r="J7" s="3"/>
      <c r="K7" s="3"/>
      <c r="L7" s="3"/>
      <c r="M7" s="3"/>
    </row>
    <row r="8" spans="1:13" ht="78.75" customHeight="1">
      <c r="A8" s="178" t="s">
        <v>142</v>
      </c>
      <c r="B8" s="178"/>
      <c r="C8" s="178"/>
      <c r="D8" s="178"/>
      <c r="E8" s="178"/>
      <c r="F8" s="178"/>
      <c r="G8" s="178"/>
      <c r="H8" s="178"/>
      <c r="I8" s="17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9" t="s">
        <v>143</v>
      </c>
      <c r="B10" s="179"/>
      <c r="C10" s="179"/>
      <c r="D10" s="179"/>
      <c r="E10" s="179"/>
      <c r="F10" s="179"/>
      <c r="G10" s="179"/>
      <c r="H10" s="179"/>
      <c r="I10" s="17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81" t="s">
        <v>59</v>
      </c>
      <c r="B14" s="181"/>
      <c r="C14" s="181"/>
      <c r="D14" s="181"/>
      <c r="E14" s="181"/>
      <c r="F14" s="181"/>
      <c r="G14" s="181"/>
      <c r="H14" s="181"/>
      <c r="I14" s="181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0">
        <v>1</v>
      </c>
      <c r="B16" s="79" t="s">
        <v>87</v>
      </c>
      <c r="C16" s="80" t="s">
        <v>104</v>
      </c>
      <c r="D16" s="79" t="s">
        <v>105</v>
      </c>
      <c r="E16" s="81">
        <v>164.38</v>
      </c>
      <c r="F16" s="82">
        <f>SUM(E16*156/100)</f>
        <v>256.43279999999999</v>
      </c>
      <c r="G16" s="82">
        <v>175.38</v>
      </c>
      <c r="H16" s="83">
        <f t="shared" ref="H16:H28" si="0">SUM(F16*G16/1000)</f>
        <v>44.973184463999999</v>
      </c>
      <c r="I16" s="13">
        <f>F16/12*G16</f>
        <v>3747.7653719999998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93</v>
      </c>
      <c r="C17" s="80" t="s">
        <v>104</v>
      </c>
      <c r="D17" s="79" t="s">
        <v>106</v>
      </c>
      <c r="E17" s="81">
        <v>657.52</v>
      </c>
      <c r="F17" s="82">
        <f>SUM(E17*104/100)</f>
        <v>683.82079999999996</v>
      </c>
      <c r="G17" s="82">
        <v>175.38</v>
      </c>
      <c r="H17" s="83">
        <f t="shared" si="0"/>
        <v>119.928491904</v>
      </c>
      <c r="I17" s="13">
        <f>F17/12*G17</f>
        <v>9994.0409919999984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94</v>
      </c>
      <c r="C18" s="80" t="s">
        <v>104</v>
      </c>
      <c r="D18" s="79" t="s">
        <v>107</v>
      </c>
      <c r="E18" s="81">
        <f>SUM(E16+E17)</f>
        <v>821.9</v>
      </c>
      <c r="F18" s="82">
        <f>SUM(E18*24/100)</f>
        <v>197.25599999999997</v>
      </c>
      <c r="G18" s="82">
        <v>504.5</v>
      </c>
      <c r="H18" s="83">
        <f t="shared" si="0"/>
        <v>99.515651999999989</v>
      </c>
      <c r="I18" s="13">
        <f>F18/12*G18</f>
        <v>8292.9709999999995</v>
      </c>
      <c r="J18" s="23"/>
      <c r="K18" s="8"/>
      <c r="L18" s="8"/>
      <c r="M18" s="8"/>
    </row>
    <row r="19" spans="1:13" ht="15.75" hidden="1" customHeight="1">
      <c r="A19" s="30"/>
      <c r="B19" s="79" t="s">
        <v>108</v>
      </c>
      <c r="C19" s="80" t="s">
        <v>109</v>
      </c>
      <c r="D19" s="79" t="s">
        <v>110</v>
      </c>
      <c r="E19" s="81">
        <v>51.2</v>
      </c>
      <c r="F19" s="82">
        <f>SUM(E19/10)</f>
        <v>5.12</v>
      </c>
      <c r="G19" s="82">
        <v>170.16</v>
      </c>
      <c r="H19" s="83">
        <f t="shared" si="0"/>
        <v>0.87121919999999997</v>
      </c>
      <c r="I19" s="13">
        <v>0</v>
      </c>
      <c r="J19" s="23"/>
      <c r="K19" s="8"/>
      <c r="L19" s="8"/>
      <c r="M19" s="8"/>
    </row>
    <row r="20" spans="1:13" ht="21.75" customHeight="1">
      <c r="A20" s="30">
        <v>4</v>
      </c>
      <c r="B20" s="79" t="s">
        <v>98</v>
      </c>
      <c r="C20" s="80" t="s">
        <v>104</v>
      </c>
      <c r="D20" s="79" t="s">
        <v>53</v>
      </c>
      <c r="E20" s="81">
        <v>58.4</v>
      </c>
      <c r="F20" s="82">
        <v>6.9</v>
      </c>
      <c r="G20" s="136">
        <v>193.55</v>
      </c>
      <c r="H20" s="83">
        <f t="shared" ref="H20:H21" si="1">SUM(F20*G20/1000)</f>
        <v>1.3354950000000001</v>
      </c>
      <c r="I20" s="13">
        <f>G20*F20/12</f>
        <v>111.29125000000001</v>
      </c>
      <c r="J20" s="23"/>
      <c r="K20" s="8"/>
      <c r="L20" s="8"/>
      <c r="M20" s="8"/>
    </row>
    <row r="21" spans="1:13" ht="20.25" customHeight="1">
      <c r="A21" s="30">
        <v>5</v>
      </c>
      <c r="B21" s="79" t="s">
        <v>99</v>
      </c>
      <c r="C21" s="80" t="s">
        <v>104</v>
      </c>
      <c r="D21" s="79" t="s">
        <v>53</v>
      </c>
      <c r="E21" s="81">
        <v>13.41</v>
      </c>
      <c r="F21" s="82">
        <v>1.61</v>
      </c>
      <c r="G21" s="136">
        <v>191.98</v>
      </c>
      <c r="H21" s="83">
        <f t="shared" si="1"/>
        <v>0.30908780000000002</v>
      </c>
      <c r="I21" s="13">
        <f>G21*F21/12</f>
        <v>25.757316666666668</v>
      </c>
      <c r="J21" s="23"/>
      <c r="K21" s="8"/>
      <c r="L21" s="8"/>
      <c r="M21" s="8"/>
    </row>
    <row r="22" spans="1:13" ht="18" hidden="1" customHeight="1">
      <c r="A22" s="30"/>
      <c r="B22" s="79" t="s">
        <v>111</v>
      </c>
      <c r="C22" s="80" t="s">
        <v>52</v>
      </c>
      <c r="D22" s="79" t="s">
        <v>110</v>
      </c>
      <c r="E22" s="81">
        <v>1025.5999999999999</v>
      </c>
      <c r="F22" s="82">
        <f>SUM(E22/100)</f>
        <v>10.255999999999998</v>
      </c>
      <c r="G22" s="82">
        <v>269.26</v>
      </c>
      <c r="H22" s="83">
        <f t="shared" si="0"/>
        <v>2.7615305599999997</v>
      </c>
      <c r="I22" s="13">
        <v>0</v>
      </c>
      <c r="J22" s="23"/>
      <c r="K22" s="8"/>
      <c r="L22" s="8"/>
      <c r="M22" s="8"/>
    </row>
    <row r="23" spans="1:13" ht="19.5" hidden="1" customHeight="1">
      <c r="A23" s="30"/>
      <c r="B23" s="79" t="s">
        <v>112</v>
      </c>
      <c r="C23" s="80" t="s">
        <v>52</v>
      </c>
      <c r="D23" s="79" t="s">
        <v>110</v>
      </c>
      <c r="E23" s="84">
        <v>60.5</v>
      </c>
      <c r="F23" s="82">
        <f>SUM(E23/100)</f>
        <v>0.60499999999999998</v>
      </c>
      <c r="G23" s="82">
        <v>44.29</v>
      </c>
      <c r="H23" s="83">
        <f t="shared" si="0"/>
        <v>2.6795449999999998E-2</v>
      </c>
      <c r="I23" s="13">
        <v>0</v>
      </c>
      <c r="J23" s="23"/>
      <c r="K23" s="8"/>
      <c r="L23" s="8"/>
      <c r="M23" s="8"/>
    </row>
    <row r="24" spans="1:13" ht="18" hidden="1" customHeight="1">
      <c r="A24" s="30"/>
      <c r="B24" s="79" t="s">
        <v>102</v>
      </c>
      <c r="C24" s="80" t="s">
        <v>52</v>
      </c>
      <c r="D24" s="79" t="s">
        <v>53</v>
      </c>
      <c r="E24" s="85">
        <v>19.149999999999999</v>
      </c>
      <c r="F24" s="82">
        <f>E24/100</f>
        <v>0.19149999999999998</v>
      </c>
      <c r="G24" s="82">
        <v>389.42</v>
      </c>
      <c r="H24" s="83">
        <f>G24*F24/100</f>
        <v>0.74573929999999988</v>
      </c>
      <c r="I24" s="13">
        <v>0</v>
      </c>
      <c r="J24" s="23"/>
      <c r="K24" s="8"/>
      <c r="L24" s="8"/>
      <c r="M24" s="8"/>
    </row>
    <row r="25" spans="1:13" ht="17.25" hidden="1" customHeight="1">
      <c r="A25" s="40">
        <v>6</v>
      </c>
      <c r="B25" s="79" t="s">
        <v>135</v>
      </c>
      <c r="C25" s="80" t="s">
        <v>52</v>
      </c>
      <c r="D25" s="79" t="s">
        <v>53</v>
      </c>
      <c r="E25" s="86">
        <v>31.5</v>
      </c>
      <c r="F25" s="82">
        <f>E25/100</f>
        <v>0.315</v>
      </c>
      <c r="G25" s="82">
        <v>216.12</v>
      </c>
      <c r="H25" s="83">
        <f>G25*F25/1000</f>
        <v>6.8077799999999994E-2</v>
      </c>
      <c r="I25" s="13">
        <v>0</v>
      </c>
      <c r="J25" s="23"/>
      <c r="K25" s="8"/>
      <c r="L25" s="8"/>
      <c r="M25" s="8"/>
    </row>
    <row r="26" spans="1:13" ht="15.75" hidden="1" customHeight="1">
      <c r="A26" s="40"/>
      <c r="B26" s="79" t="s">
        <v>103</v>
      </c>
      <c r="C26" s="80" t="s">
        <v>52</v>
      </c>
      <c r="D26" s="79" t="s">
        <v>53</v>
      </c>
      <c r="E26" s="81">
        <v>37.5</v>
      </c>
      <c r="F26" s="82">
        <f>SUM(E26/100)</f>
        <v>0.375</v>
      </c>
      <c r="G26" s="82">
        <v>520.79999999999995</v>
      </c>
      <c r="H26" s="83">
        <f t="shared" si="0"/>
        <v>0.19529999999999997</v>
      </c>
      <c r="I26" s="13">
        <v>0</v>
      </c>
      <c r="J26" s="23"/>
      <c r="K26" s="8"/>
      <c r="L26" s="8"/>
      <c r="M26" s="8"/>
    </row>
    <row r="27" spans="1:13" ht="15.75" customHeight="1">
      <c r="A27" s="40">
        <v>6</v>
      </c>
      <c r="B27" s="79" t="s">
        <v>64</v>
      </c>
      <c r="C27" s="80" t="s">
        <v>33</v>
      </c>
      <c r="D27" s="79"/>
      <c r="E27" s="81">
        <v>0.1</v>
      </c>
      <c r="F27" s="82">
        <f>SUM(E27*365)</f>
        <v>36.5</v>
      </c>
      <c r="G27" s="82">
        <v>147.03</v>
      </c>
      <c r="H27" s="83">
        <f t="shared" si="0"/>
        <v>5.3665950000000002</v>
      </c>
      <c r="I27" s="13">
        <f>F27/12*G27</f>
        <v>447.21625</v>
      </c>
      <c r="J27" s="23"/>
      <c r="K27" s="8"/>
      <c r="L27" s="8"/>
      <c r="M27" s="8"/>
    </row>
    <row r="28" spans="1:13" ht="15.75" customHeight="1">
      <c r="A28" s="40">
        <v>7</v>
      </c>
      <c r="B28" s="87" t="s">
        <v>23</v>
      </c>
      <c r="C28" s="80" t="s">
        <v>24</v>
      </c>
      <c r="D28" s="79"/>
      <c r="E28" s="81">
        <v>5836.1</v>
      </c>
      <c r="F28" s="82">
        <f>SUM(E28*12)</f>
        <v>70033.200000000012</v>
      </c>
      <c r="G28" s="82">
        <v>3.33</v>
      </c>
      <c r="H28" s="83">
        <f t="shared" si="0"/>
        <v>233.21055600000005</v>
      </c>
      <c r="I28" s="13">
        <f>F28/12*G28</f>
        <v>19434.213000000003</v>
      </c>
      <c r="J28" s="23"/>
      <c r="K28" s="8"/>
      <c r="L28" s="8"/>
      <c r="M28" s="8"/>
    </row>
    <row r="29" spans="1:13" ht="15.75" customHeight="1">
      <c r="A29" s="182" t="s">
        <v>85</v>
      </c>
      <c r="B29" s="182"/>
      <c r="C29" s="182"/>
      <c r="D29" s="182"/>
      <c r="E29" s="182"/>
      <c r="F29" s="182"/>
      <c r="G29" s="182"/>
      <c r="H29" s="182"/>
      <c r="I29" s="182"/>
      <c r="J29" s="23"/>
      <c r="K29" s="8"/>
      <c r="L29" s="8"/>
      <c r="M29" s="8"/>
    </row>
    <row r="30" spans="1:13" ht="15.75" hidden="1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9"/>
      <c r="J30" s="23"/>
      <c r="K30" s="8"/>
      <c r="L30" s="8"/>
      <c r="M30" s="8"/>
    </row>
    <row r="31" spans="1:13" ht="15.75" hidden="1" customHeight="1">
      <c r="A31" s="40">
        <v>2</v>
      </c>
      <c r="B31" s="79" t="s">
        <v>113</v>
      </c>
      <c r="C31" s="80" t="s">
        <v>114</v>
      </c>
      <c r="D31" s="79" t="s">
        <v>115</v>
      </c>
      <c r="E31" s="82">
        <v>659.5</v>
      </c>
      <c r="F31" s="82">
        <f>SUM(E31*52/1000)</f>
        <v>34.293999999999997</v>
      </c>
      <c r="G31" s="82">
        <v>155.88999999999999</v>
      </c>
      <c r="H31" s="83">
        <f t="shared" ref="H31:H33" si="2">SUM(F31*G31/1000)</f>
        <v>5.346091659999999</v>
      </c>
      <c r="I31" s="13">
        <f>F31/6*G31</f>
        <v>891.01527666666652</v>
      </c>
      <c r="J31" s="23"/>
      <c r="K31" s="8"/>
      <c r="L31" s="8"/>
      <c r="M31" s="8"/>
    </row>
    <row r="32" spans="1:13" ht="31.5" hidden="1" customHeight="1">
      <c r="A32" s="40">
        <v>3</v>
      </c>
      <c r="B32" s="79" t="s">
        <v>149</v>
      </c>
      <c r="C32" s="80" t="s">
        <v>114</v>
      </c>
      <c r="D32" s="79" t="s">
        <v>116</v>
      </c>
      <c r="E32" s="82">
        <v>567.9</v>
      </c>
      <c r="F32" s="82">
        <f>SUM(E32*78/1000)</f>
        <v>44.296199999999999</v>
      </c>
      <c r="G32" s="82">
        <v>258.63</v>
      </c>
      <c r="H32" s="83">
        <f t="shared" si="2"/>
        <v>11.456326206</v>
      </c>
      <c r="I32" s="13">
        <f t="shared" ref="I32:I35" si="3">F32/6*G32</f>
        <v>1909.3877009999999</v>
      </c>
      <c r="J32" s="23"/>
      <c r="K32" s="8"/>
      <c r="L32" s="8"/>
      <c r="M32" s="8"/>
    </row>
    <row r="33" spans="1:14" ht="15.75" hidden="1" customHeight="1">
      <c r="A33" s="40">
        <v>4</v>
      </c>
      <c r="B33" s="79" t="s">
        <v>27</v>
      </c>
      <c r="C33" s="80" t="s">
        <v>114</v>
      </c>
      <c r="D33" s="79" t="s">
        <v>53</v>
      </c>
      <c r="E33" s="82">
        <v>659.5</v>
      </c>
      <c r="F33" s="82">
        <f>SUM(E33/1000)</f>
        <v>0.65949999999999998</v>
      </c>
      <c r="G33" s="82">
        <v>3020.33</v>
      </c>
      <c r="H33" s="83">
        <f t="shared" si="2"/>
        <v>1.9919076349999998</v>
      </c>
      <c r="I33" s="13">
        <f>F33*G33</f>
        <v>1991.9076349999998</v>
      </c>
      <c r="J33" s="23"/>
      <c r="K33" s="8"/>
      <c r="L33" s="8"/>
      <c r="M33" s="8"/>
    </row>
    <row r="34" spans="1:14" ht="15.75" hidden="1" customHeight="1">
      <c r="A34" s="40"/>
      <c r="B34" s="79" t="s">
        <v>136</v>
      </c>
      <c r="C34" s="80" t="s">
        <v>39</v>
      </c>
      <c r="D34" s="79" t="s">
        <v>148</v>
      </c>
      <c r="E34" s="82">
        <v>8</v>
      </c>
      <c r="F34" s="82">
        <v>12.4</v>
      </c>
      <c r="G34" s="82">
        <v>1302.02</v>
      </c>
      <c r="H34" s="83">
        <v>16.145</v>
      </c>
      <c r="I34" s="13">
        <f t="shared" si="3"/>
        <v>2690.8413333333338</v>
      </c>
      <c r="J34" s="23"/>
      <c r="K34" s="8"/>
      <c r="L34" s="8"/>
      <c r="M34" s="8"/>
    </row>
    <row r="35" spans="1:14" ht="15.75" hidden="1" customHeight="1">
      <c r="A35" s="40">
        <v>5</v>
      </c>
      <c r="B35" s="79" t="s">
        <v>117</v>
      </c>
      <c r="C35" s="80" t="s">
        <v>30</v>
      </c>
      <c r="D35" s="79" t="s">
        <v>63</v>
      </c>
      <c r="E35" s="88">
        <v>0.33</v>
      </c>
      <c r="F35" s="82">
        <v>51.666666666666664</v>
      </c>
      <c r="G35" s="82">
        <v>56.69</v>
      </c>
      <c r="H35" s="83">
        <f>SUM(G35*155/3/1000)</f>
        <v>2.9289833333333331</v>
      </c>
      <c r="I35" s="13">
        <f t="shared" si="3"/>
        <v>488.16388888888883</v>
      </c>
      <c r="J35" s="23"/>
      <c r="K35" s="8"/>
    </row>
    <row r="36" spans="1:14" ht="15.75" hidden="1" customHeight="1">
      <c r="A36" s="40">
        <v>4</v>
      </c>
      <c r="B36" s="79" t="s">
        <v>65</v>
      </c>
      <c r="C36" s="80" t="s">
        <v>33</v>
      </c>
      <c r="D36" s="79" t="s">
        <v>67</v>
      </c>
      <c r="E36" s="81"/>
      <c r="F36" s="82">
        <v>4</v>
      </c>
      <c r="G36" s="82">
        <v>191.32</v>
      </c>
      <c r="H36" s="83">
        <f t="shared" ref="H36:H37" si="4">SUM(F36*G36/1000)</f>
        <v>0.76527999999999996</v>
      </c>
      <c r="I36" s="13">
        <v>0</v>
      </c>
      <c r="J36" s="24"/>
    </row>
    <row r="37" spans="1:14" ht="15.75" hidden="1" customHeight="1">
      <c r="A37" s="30">
        <v>8</v>
      </c>
      <c r="B37" s="79" t="s">
        <v>66</v>
      </c>
      <c r="C37" s="80" t="s">
        <v>32</v>
      </c>
      <c r="D37" s="79" t="s">
        <v>67</v>
      </c>
      <c r="E37" s="81"/>
      <c r="F37" s="82">
        <v>3</v>
      </c>
      <c r="G37" s="82">
        <v>1136.32</v>
      </c>
      <c r="H37" s="83">
        <f t="shared" si="4"/>
        <v>3.40896</v>
      </c>
      <c r="I37" s="13">
        <v>0</v>
      </c>
      <c r="J37" s="24"/>
    </row>
    <row r="38" spans="1:14" ht="15.75" customHeight="1">
      <c r="A38" s="40"/>
      <c r="B38" s="48" t="s">
        <v>5</v>
      </c>
      <c r="C38" s="48"/>
      <c r="D38" s="48"/>
      <c r="E38" s="48"/>
      <c r="F38" s="13"/>
      <c r="G38" s="14"/>
      <c r="H38" s="14"/>
      <c r="I38" s="19"/>
      <c r="J38" s="24"/>
    </row>
    <row r="39" spans="1:14" ht="15.75" customHeight="1">
      <c r="A39" s="33">
        <v>8</v>
      </c>
      <c r="B39" s="79" t="s">
        <v>26</v>
      </c>
      <c r="C39" s="80" t="s">
        <v>32</v>
      </c>
      <c r="D39" s="79"/>
      <c r="E39" s="81"/>
      <c r="F39" s="82">
        <v>10</v>
      </c>
      <c r="G39" s="82">
        <v>1527.22</v>
      </c>
      <c r="H39" s="83">
        <f t="shared" ref="H39:H45" si="5">SUM(F39*G39/1000)</f>
        <v>15.272200000000002</v>
      </c>
      <c r="I39" s="13">
        <f>F39/6*G39</f>
        <v>2545.3666666666668</v>
      </c>
      <c r="J39" s="24"/>
    </row>
    <row r="40" spans="1:14" ht="15.75" customHeight="1">
      <c r="A40" s="33">
        <v>9</v>
      </c>
      <c r="B40" s="79" t="s">
        <v>68</v>
      </c>
      <c r="C40" s="80" t="s">
        <v>29</v>
      </c>
      <c r="D40" s="79" t="s">
        <v>137</v>
      </c>
      <c r="E40" s="82">
        <v>567.9</v>
      </c>
      <c r="F40" s="82">
        <f>SUM(E40*50/1000)</f>
        <v>28.395</v>
      </c>
      <c r="G40" s="82">
        <v>2102.71</v>
      </c>
      <c r="H40" s="83">
        <f t="shared" si="5"/>
        <v>59.706450449999998</v>
      </c>
      <c r="I40" s="13">
        <f>F40/6*G40</f>
        <v>9951.0750750000007</v>
      </c>
      <c r="J40" s="24"/>
    </row>
    <row r="41" spans="1:14" ht="15.75" hidden="1" customHeight="1">
      <c r="A41" s="33">
        <v>8</v>
      </c>
      <c r="B41" s="79" t="s">
        <v>95</v>
      </c>
      <c r="C41" s="80" t="s">
        <v>150</v>
      </c>
      <c r="D41" s="79" t="s">
        <v>67</v>
      </c>
      <c r="E41" s="81"/>
      <c r="F41" s="82">
        <v>66</v>
      </c>
      <c r="G41" s="82">
        <v>213.2</v>
      </c>
      <c r="H41" s="83">
        <f t="shared" si="5"/>
        <v>14.071199999999999</v>
      </c>
      <c r="I41" s="13">
        <v>0</v>
      </c>
      <c r="J41" s="24"/>
    </row>
    <row r="42" spans="1:14" ht="15.75" customHeight="1">
      <c r="A42" s="33">
        <v>10</v>
      </c>
      <c r="B42" s="79" t="s">
        <v>69</v>
      </c>
      <c r="C42" s="80" t="s">
        <v>29</v>
      </c>
      <c r="D42" s="79" t="s">
        <v>118</v>
      </c>
      <c r="E42" s="82">
        <v>108</v>
      </c>
      <c r="F42" s="82">
        <f>SUM(E42*155/1000)</f>
        <v>16.739999999999998</v>
      </c>
      <c r="G42" s="82">
        <v>350.75</v>
      </c>
      <c r="H42" s="83">
        <f t="shared" si="5"/>
        <v>5.871554999999999</v>
      </c>
      <c r="I42" s="13">
        <f>F42/6*G42</f>
        <v>978.59249999999986</v>
      </c>
      <c r="J42" s="24"/>
    </row>
    <row r="43" spans="1:14" ht="47.25" customHeight="1">
      <c r="A43" s="33">
        <v>11</v>
      </c>
      <c r="B43" s="79" t="s">
        <v>84</v>
      </c>
      <c r="C43" s="80" t="s">
        <v>114</v>
      </c>
      <c r="D43" s="79" t="s">
        <v>138</v>
      </c>
      <c r="E43" s="82">
        <v>108</v>
      </c>
      <c r="F43" s="82">
        <f>SUM(E43*20/1000)</f>
        <v>2.16</v>
      </c>
      <c r="G43" s="82">
        <v>5803.28</v>
      </c>
      <c r="H43" s="83">
        <f t="shared" si="5"/>
        <v>12.5350848</v>
      </c>
      <c r="I43" s="13">
        <f>F43/6*G43</f>
        <v>2089.1808000000001</v>
      </c>
      <c r="J43" s="24"/>
    </row>
    <row r="44" spans="1:14" ht="15.75" customHeight="1">
      <c r="A44" s="33">
        <v>12</v>
      </c>
      <c r="B44" s="79" t="s">
        <v>119</v>
      </c>
      <c r="C44" s="80" t="s">
        <v>114</v>
      </c>
      <c r="D44" s="79" t="s">
        <v>70</v>
      </c>
      <c r="E44" s="82">
        <v>108</v>
      </c>
      <c r="F44" s="82">
        <f>SUM(E44*45/1000)</f>
        <v>4.8600000000000003</v>
      </c>
      <c r="G44" s="82">
        <v>428.7</v>
      </c>
      <c r="H44" s="83">
        <f t="shared" si="5"/>
        <v>2.0834820000000001</v>
      </c>
      <c r="I44" s="13">
        <f>F44/7.5*G44</f>
        <v>277.79759999999999</v>
      </c>
      <c r="J44" s="24"/>
      <c r="L44" s="20"/>
      <c r="M44" s="21"/>
      <c r="N44" s="22"/>
    </row>
    <row r="45" spans="1:14" ht="15.75" customHeight="1">
      <c r="A45" s="33">
        <v>13</v>
      </c>
      <c r="B45" s="79" t="s">
        <v>71</v>
      </c>
      <c r="C45" s="80" t="s">
        <v>33</v>
      </c>
      <c r="D45" s="79"/>
      <c r="E45" s="81"/>
      <c r="F45" s="82">
        <v>0.9</v>
      </c>
      <c r="G45" s="82">
        <v>798</v>
      </c>
      <c r="H45" s="83">
        <f t="shared" si="5"/>
        <v>0.71820000000000006</v>
      </c>
      <c r="I45" s="13">
        <f>F45/7.5*G45</f>
        <v>95.76</v>
      </c>
      <c r="J45" s="24"/>
      <c r="L45" s="20"/>
      <c r="M45" s="21"/>
      <c r="N45" s="22"/>
    </row>
    <row r="46" spans="1:14" ht="15.75" customHeight="1">
      <c r="A46" s="183" t="s">
        <v>144</v>
      </c>
      <c r="B46" s="184"/>
      <c r="C46" s="184"/>
      <c r="D46" s="184"/>
      <c r="E46" s="184"/>
      <c r="F46" s="184"/>
      <c r="G46" s="184"/>
      <c r="H46" s="184"/>
      <c r="I46" s="185"/>
      <c r="J46" s="24"/>
      <c r="L46" s="20"/>
      <c r="M46" s="21"/>
      <c r="N46" s="22"/>
    </row>
    <row r="47" spans="1:14" ht="15.75" hidden="1" customHeight="1">
      <c r="A47" s="40">
        <v>15</v>
      </c>
      <c r="B47" s="79" t="s">
        <v>120</v>
      </c>
      <c r="C47" s="80" t="s">
        <v>114</v>
      </c>
      <c r="D47" s="79" t="s">
        <v>41</v>
      </c>
      <c r="E47" s="81">
        <v>1571.3</v>
      </c>
      <c r="F47" s="82">
        <f>SUM(E47*2/1000)</f>
        <v>3.1425999999999998</v>
      </c>
      <c r="G47" s="13">
        <v>849.49</v>
      </c>
      <c r="H47" s="83">
        <f t="shared" ref="H47:H55" si="6">SUM(F47*G47/1000)</f>
        <v>2.6696072740000001</v>
      </c>
      <c r="I47" s="13">
        <v>0</v>
      </c>
      <c r="J47" s="24"/>
      <c r="L47" s="20"/>
      <c r="M47" s="21"/>
      <c r="N47" s="22"/>
    </row>
    <row r="48" spans="1:14" ht="15.75" hidden="1" customHeight="1">
      <c r="A48" s="40"/>
      <c r="B48" s="79" t="s">
        <v>34</v>
      </c>
      <c r="C48" s="80" t="s">
        <v>114</v>
      </c>
      <c r="D48" s="79" t="s">
        <v>41</v>
      </c>
      <c r="E48" s="81">
        <v>92.8</v>
      </c>
      <c r="F48" s="82">
        <f>SUM(E48*2/1000)</f>
        <v>0.18559999999999999</v>
      </c>
      <c r="G48" s="13">
        <v>579.48</v>
      </c>
      <c r="H48" s="83">
        <f t="shared" si="6"/>
        <v>0.10755148799999999</v>
      </c>
      <c r="I48" s="13">
        <v>0</v>
      </c>
      <c r="J48" s="24"/>
      <c r="L48" s="20"/>
      <c r="M48" s="21"/>
      <c r="N48" s="22"/>
    </row>
    <row r="49" spans="1:14" ht="15.75" hidden="1" customHeight="1">
      <c r="A49" s="40">
        <v>16</v>
      </c>
      <c r="B49" s="79" t="s">
        <v>35</v>
      </c>
      <c r="C49" s="80" t="s">
        <v>114</v>
      </c>
      <c r="D49" s="79" t="s">
        <v>41</v>
      </c>
      <c r="E49" s="81">
        <v>4737.7</v>
      </c>
      <c r="F49" s="82">
        <f>SUM(E49*2/1000)</f>
        <v>9.4754000000000005</v>
      </c>
      <c r="G49" s="13">
        <v>579.48</v>
      </c>
      <c r="H49" s="83">
        <f t="shared" si="6"/>
        <v>5.4908047920000005</v>
      </c>
      <c r="I49" s="13">
        <v>0</v>
      </c>
      <c r="J49" s="24"/>
      <c r="L49" s="20"/>
      <c r="M49" s="21"/>
      <c r="N49" s="22"/>
    </row>
    <row r="50" spans="1:14" ht="15.75" hidden="1" customHeight="1">
      <c r="A50" s="40">
        <v>17</v>
      </c>
      <c r="B50" s="79" t="s">
        <v>36</v>
      </c>
      <c r="C50" s="80" t="s">
        <v>114</v>
      </c>
      <c r="D50" s="79" t="s">
        <v>41</v>
      </c>
      <c r="E50" s="81">
        <v>2811.99</v>
      </c>
      <c r="F50" s="82">
        <f>SUM(E50*2/1000)</f>
        <v>5.6239799999999995</v>
      </c>
      <c r="G50" s="13">
        <v>606.77</v>
      </c>
      <c r="H50" s="83">
        <f t="shared" si="6"/>
        <v>3.4124623445999998</v>
      </c>
      <c r="I50" s="13">
        <v>0</v>
      </c>
      <c r="J50" s="24"/>
      <c r="L50" s="20"/>
      <c r="M50" s="21"/>
      <c r="N50" s="22"/>
    </row>
    <row r="51" spans="1:14" ht="15.75" customHeight="1">
      <c r="A51" s="40">
        <v>14</v>
      </c>
      <c r="B51" s="79" t="s">
        <v>56</v>
      </c>
      <c r="C51" s="80" t="s">
        <v>114</v>
      </c>
      <c r="D51" s="79" t="s">
        <v>151</v>
      </c>
      <c r="E51" s="81">
        <v>1571.3</v>
      </c>
      <c r="F51" s="82">
        <f>SUM(E51*5/1000)</f>
        <v>7.8564999999999996</v>
      </c>
      <c r="G51" s="13">
        <v>1213.55</v>
      </c>
      <c r="H51" s="83">
        <f t="shared" si="6"/>
        <v>9.5342555749999995</v>
      </c>
      <c r="I51" s="13">
        <f>F51/5*G51</f>
        <v>1906.8511149999999</v>
      </c>
      <c r="J51" s="24"/>
      <c r="L51" s="20"/>
      <c r="M51" s="21"/>
      <c r="N51" s="22"/>
    </row>
    <row r="52" spans="1:14" ht="31.5" hidden="1" customHeight="1">
      <c r="A52" s="40">
        <v>13</v>
      </c>
      <c r="B52" s="79" t="s">
        <v>121</v>
      </c>
      <c r="C52" s="80" t="s">
        <v>114</v>
      </c>
      <c r="D52" s="79" t="s">
        <v>41</v>
      </c>
      <c r="E52" s="81">
        <v>1571.3</v>
      </c>
      <c r="F52" s="82">
        <f>SUM(E52*2/1000)</f>
        <v>3.1425999999999998</v>
      </c>
      <c r="G52" s="13">
        <v>1213.55</v>
      </c>
      <c r="H52" s="83">
        <f t="shared" si="6"/>
        <v>3.8137022300000001</v>
      </c>
      <c r="I52" s="13">
        <v>0</v>
      </c>
      <c r="J52" s="24"/>
      <c r="L52" s="20"/>
      <c r="M52" s="21"/>
      <c r="N52" s="22"/>
    </row>
    <row r="53" spans="1:14" ht="31.5" hidden="1" customHeight="1">
      <c r="A53" s="40">
        <v>14</v>
      </c>
      <c r="B53" s="79" t="s">
        <v>122</v>
      </c>
      <c r="C53" s="80" t="s">
        <v>37</v>
      </c>
      <c r="D53" s="79" t="s">
        <v>41</v>
      </c>
      <c r="E53" s="81">
        <v>40</v>
      </c>
      <c r="F53" s="82">
        <f>SUM(E53*2/100)</f>
        <v>0.8</v>
      </c>
      <c r="G53" s="13">
        <v>2730.49</v>
      </c>
      <c r="H53" s="83">
        <f t="shared" si="6"/>
        <v>2.1843919999999999</v>
      </c>
      <c r="I53" s="13">
        <v>0</v>
      </c>
      <c r="J53" s="24"/>
      <c r="L53" s="20"/>
      <c r="M53" s="21"/>
      <c r="N53" s="22"/>
    </row>
    <row r="54" spans="1:14" ht="15.75" hidden="1" customHeight="1">
      <c r="A54" s="40">
        <v>15</v>
      </c>
      <c r="B54" s="79" t="s">
        <v>38</v>
      </c>
      <c r="C54" s="80" t="s">
        <v>39</v>
      </c>
      <c r="D54" s="79" t="s">
        <v>41</v>
      </c>
      <c r="E54" s="81">
        <v>1</v>
      </c>
      <c r="F54" s="82">
        <v>0.02</v>
      </c>
      <c r="G54" s="13">
        <v>5652.13</v>
      </c>
      <c r="H54" s="83">
        <f t="shared" si="6"/>
        <v>0.11304260000000001</v>
      </c>
      <c r="I54" s="13">
        <v>0</v>
      </c>
      <c r="J54" s="24"/>
      <c r="L54" s="20"/>
      <c r="M54" s="21"/>
      <c r="N54" s="22"/>
    </row>
    <row r="55" spans="1:14" ht="15.75" hidden="1" customHeight="1">
      <c r="A55" s="40">
        <v>13</v>
      </c>
      <c r="B55" s="79" t="s">
        <v>40</v>
      </c>
      <c r="C55" s="80" t="s">
        <v>123</v>
      </c>
      <c r="D55" s="79" t="s">
        <v>72</v>
      </c>
      <c r="E55" s="81">
        <v>238</v>
      </c>
      <c r="F55" s="82">
        <f>SUM(E55)*3</f>
        <v>714</v>
      </c>
      <c r="G55" s="13">
        <v>65.67</v>
      </c>
      <c r="H55" s="83">
        <f t="shared" si="6"/>
        <v>46.888380000000005</v>
      </c>
      <c r="I55" s="13">
        <f>E55*G55</f>
        <v>15629.460000000001</v>
      </c>
      <c r="J55" s="24"/>
      <c r="L55" s="20"/>
      <c r="M55" s="21"/>
      <c r="N55" s="22"/>
    </row>
    <row r="56" spans="1:14" ht="15.75" customHeight="1">
      <c r="A56" s="170" t="s">
        <v>145</v>
      </c>
      <c r="B56" s="171"/>
      <c r="C56" s="171"/>
      <c r="D56" s="171"/>
      <c r="E56" s="171"/>
      <c r="F56" s="171"/>
      <c r="G56" s="171"/>
      <c r="H56" s="171"/>
      <c r="I56" s="172"/>
      <c r="J56" s="24"/>
      <c r="L56" s="20"/>
      <c r="M56" s="21"/>
      <c r="N56" s="22"/>
    </row>
    <row r="57" spans="1:14" ht="15.75" customHeight="1">
      <c r="A57" s="52"/>
      <c r="B57" s="47" t="s">
        <v>42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customHeight="1">
      <c r="A58" s="40">
        <v>15</v>
      </c>
      <c r="B58" s="79" t="s">
        <v>139</v>
      </c>
      <c r="C58" s="80" t="s">
        <v>104</v>
      </c>
      <c r="D58" s="79" t="s">
        <v>231</v>
      </c>
      <c r="E58" s="81">
        <v>48</v>
      </c>
      <c r="F58" s="82">
        <f>E58*6/100</f>
        <v>2.88</v>
      </c>
      <c r="G58" s="89">
        <v>1547.28</v>
      </c>
      <c r="H58" s="83">
        <f>F58*G58/1000</f>
        <v>4.4561663999999999</v>
      </c>
      <c r="I58" s="13">
        <f>G58*0.7</f>
        <v>1083.096</v>
      </c>
      <c r="J58" s="24"/>
      <c r="L58" s="20"/>
      <c r="M58" s="21"/>
      <c r="N58" s="22"/>
    </row>
    <row r="59" spans="1:14" ht="15.75" customHeight="1">
      <c r="A59" s="40">
        <v>16</v>
      </c>
      <c r="B59" s="90" t="s">
        <v>96</v>
      </c>
      <c r="C59" s="91" t="s">
        <v>104</v>
      </c>
      <c r="D59" s="90" t="s">
        <v>140</v>
      </c>
      <c r="E59" s="92">
        <v>56</v>
      </c>
      <c r="F59" s="93">
        <f>E59*4/100</f>
        <v>2.2400000000000002</v>
      </c>
      <c r="G59" s="89">
        <v>1547.28</v>
      </c>
      <c r="H59" s="94">
        <f>F59*G59/1000</f>
        <v>3.4659072000000002</v>
      </c>
      <c r="I59" s="13">
        <f>F59/6*G59</f>
        <v>577.65120000000002</v>
      </c>
      <c r="J59" s="24"/>
      <c r="L59" s="20"/>
      <c r="M59" s="21"/>
      <c r="N59" s="22"/>
    </row>
    <row r="60" spans="1:14" ht="15.75" hidden="1" customHeight="1">
      <c r="A60" s="40"/>
      <c r="B60" s="90" t="s">
        <v>100</v>
      </c>
      <c r="C60" s="91" t="s">
        <v>101</v>
      </c>
      <c r="D60" s="90" t="s">
        <v>41</v>
      </c>
      <c r="E60" s="92">
        <v>8</v>
      </c>
      <c r="F60" s="93">
        <v>16</v>
      </c>
      <c r="G60" s="95">
        <v>180.78</v>
      </c>
      <c r="H60" s="94">
        <f>F60*G60/1000</f>
        <v>2.8924799999999999</v>
      </c>
      <c r="I60" s="13">
        <v>0</v>
      </c>
      <c r="J60" s="24"/>
      <c r="L60" s="20"/>
      <c r="M60" s="21"/>
      <c r="N60" s="22"/>
    </row>
    <row r="61" spans="1:14" ht="15.75" customHeight="1">
      <c r="A61" s="40"/>
      <c r="B61" s="69" t="s">
        <v>43</v>
      </c>
      <c r="C61" s="69"/>
      <c r="D61" s="69"/>
      <c r="E61" s="69"/>
      <c r="F61" s="69"/>
      <c r="G61" s="69"/>
      <c r="H61" s="69"/>
      <c r="I61" s="35"/>
      <c r="J61" s="24"/>
      <c r="L61" s="20"/>
      <c r="M61" s="21"/>
      <c r="N61" s="22"/>
    </row>
    <row r="62" spans="1:14" ht="15.75" customHeight="1">
      <c r="A62" s="40">
        <v>17</v>
      </c>
      <c r="B62" s="120" t="s">
        <v>97</v>
      </c>
      <c r="C62" s="121" t="s">
        <v>25</v>
      </c>
      <c r="D62" s="120" t="s">
        <v>152</v>
      </c>
      <c r="E62" s="122">
        <v>200</v>
      </c>
      <c r="F62" s="123">
        <f>E62*12</f>
        <v>2400</v>
      </c>
      <c r="G62" s="124">
        <v>1.2</v>
      </c>
      <c r="H62" s="94">
        <f>G62*F62/1000</f>
        <v>2.88</v>
      </c>
      <c r="I62" s="13">
        <f>F62/12*G62</f>
        <v>240</v>
      </c>
      <c r="J62" s="24"/>
      <c r="L62" s="20"/>
      <c r="M62" s="21"/>
      <c r="N62" s="22"/>
    </row>
    <row r="63" spans="1:14" ht="15.75" hidden="1" customHeight="1">
      <c r="A63" s="40">
        <v>14</v>
      </c>
      <c r="B63" s="90" t="s">
        <v>44</v>
      </c>
      <c r="C63" s="91" t="s">
        <v>25</v>
      </c>
      <c r="D63" s="90" t="s">
        <v>53</v>
      </c>
      <c r="E63" s="92">
        <v>1571.3</v>
      </c>
      <c r="F63" s="93">
        <f>E63/100</f>
        <v>15.712999999999999</v>
      </c>
      <c r="G63" s="97">
        <v>793.61</v>
      </c>
      <c r="H63" s="94">
        <f>G63*F63/1000</f>
        <v>12.469993929999999</v>
      </c>
      <c r="I63" s="13">
        <v>0</v>
      </c>
      <c r="J63" s="24"/>
      <c r="L63" s="20"/>
      <c r="M63" s="21"/>
      <c r="N63" s="22"/>
    </row>
    <row r="64" spans="1:14" ht="15.75" customHeight="1">
      <c r="A64" s="40"/>
      <c r="B64" s="69" t="s">
        <v>45</v>
      </c>
      <c r="C64" s="17"/>
      <c r="D64" s="37"/>
      <c r="E64" s="37"/>
      <c r="F64" s="16"/>
      <c r="G64" s="30"/>
      <c r="H64" s="30"/>
      <c r="I64" s="19"/>
      <c r="J64" s="24"/>
      <c r="L64" s="20"/>
      <c r="M64" s="21"/>
      <c r="N64" s="22"/>
    </row>
    <row r="65" spans="1:22" ht="15.75" customHeight="1">
      <c r="A65" s="40">
        <v>18</v>
      </c>
      <c r="B65" s="15" t="s">
        <v>46</v>
      </c>
      <c r="C65" s="17" t="s">
        <v>123</v>
      </c>
      <c r="D65" s="15" t="s">
        <v>67</v>
      </c>
      <c r="E65" s="19">
        <v>35</v>
      </c>
      <c r="F65" s="82">
        <v>35</v>
      </c>
      <c r="G65" s="13">
        <v>222.4</v>
      </c>
      <c r="H65" s="98">
        <f t="shared" ref="H65:H72" si="7">SUM(F65*G65/1000)</f>
        <v>7.7839999999999998</v>
      </c>
      <c r="I65" s="13">
        <f>G65*3</f>
        <v>667.2</v>
      </c>
      <c r="J65" s="24"/>
      <c r="L65" s="20"/>
    </row>
    <row r="66" spans="1:22" ht="15.75" hidden="1" customHeight="1">
      <c r="A66" s="30">
        <v>29</v>
      </c>
      <c r="B66" s="15" t="s">
        <v>47</v>
      </c>
      <c r="C66" s="17" t="s">
        <v>123</v>
      </c>
      <c r="D66" s="15" t="s">
        <v>67</v>
      </c>
      <c r="E66" s="19">
        <v>17</v>
      </c>
      <c r="F66" s="82">
        <v>20</v>
      </c>
      <c r="G66" s="13">
        <v>76.25</v>
      </c>
      <c r="H66" s="98">
        <f t="shared" si="7"/>
        <v>1.5249999999999999</v>
      </c>
      <c r="I66" s="13">
        <v>0</v>
      </c>
    </row>
    <row r="67" spans="1:22" ht="15.75" hidden="1" customHeight="1">
      <c r="A67" s="30">
        <v>8</v>
      </c>
      <c r="B67" s="15" t="s">
        <v>48</v>
      </c>
      <c r="C67" s="17" t="s">
        <v>125</v>
      </c>
      <c r="D67" s="15" t="s">
        <v>53</v>
      </c>
      <c r="E67" s="81">
        <v>22639</v>
      </c>
      <c r="F67" s="13">
        <f>SUM(E67/100)</f>
        <v>226.39</v>
      </c>
      <c r="G67" s="13">
        <v>212.15</v>
      </c>
      <c r="H67" s="98">
        <f t="shared" si="7"/>
        <v>48.0286385</v>
      </c>
      <c r="I67" s="13">
        <v>0</v>
      </c>
    </row>
    <row r="68" spans="1:22" ht="15.75" hidden="1" customHeight="1">
      <c r="A68" s="30">
        <v>9</v>
      </c>
      <c r="B68" s="15" t="s">
        <v>49</v>
      </c>
      <c r="C68" s="17" t="s">
        <v>126</v>
      </c>
      <c r="D68" s="15"/>
      <c r="E68" s="81">
        <v>22639</v>
      </c>
      <c r="F68" s="13">
        <f>SUM(E68/1000)</f>
        <v>22.638999999999999</v>
      </c>
      <c r="G68" s="13">
        <v>165.21</v>
      </c>
      <c r="H68" s="98">
        <f t="shared" si="7"/>
        <v>3.7401891900000002</v>
      </c>
      <c r="I68" s="13">
        <v>0</v>
      </c>
    </row>
    <row r="69" spans="1:22" ht="15.75" hidden="1" customHeight="1">
      <c r="A69" s="30">
        <v>10</v>
      </c>
      <c r="B69" s="15" t="s">
        <v>50</v>
      </c>
      <c r="C69" s="17" t="s">
        <v>77</v>
      </c>
      <c r="D69" s="15" t="s">
        <v>53</v>
      </c>
      <c r="E69" s="81">
        <v>3145</v>
      </c>
      <c r="F69" s="13">
        <f>SUM(E69/100)</f>
        <v>31.45</v>
      </c>
      <c r="G69" s="13">
        <v>2074.63</v>
      </c>
      <c r="H69" s="98">
        <f t="shared" si="7"/>
        <v>65.247113499999998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11</v>
      </c>
      <c r="B70" s="99" t="s">
        <v>127</v>
      </c>
      <c r="C70" s="17" t="s">
        <v>33</v>
      </c>
      <c r="D70" s="15"/>
      <c r="E70" s="81">
        <v>20.28</v>
      </c>
      <c r="F70" s="13">
        <f>SUM(E70)</f>
        <v>20.28</v>
      </c>
      <c r="G70" s="13">
        <v>42.67</v>
      </c>
      <c r="H70" s="98">
        <f t="shared" si="7"/>
        <v>0.86534760000000011</v>
      </c>
      <c r="I70" s="13">
        <v>0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12</v>
      </c>
      <c r="B71" s="99" t="s">
        <v>153</v>
      </c>
      <c r="C71" s="17" t="s">
        <v>33</v>
      </c>
      <c r="D71" s="15"/>
      <c r="E71" s="81">
        <v>20.28</v>
      </c>
      <c r="F71" s="13">
        <f>SUM(E71)</f>
        <v>20.28</v>
      </c>
      <c r="G71" s="13">
        <v>39.81</v>
      </c>
      <c r="H71" s="98">
        <f t="shared" si="7"/>
        <v>0.80734680000000014</v>
      </c>
      <c r="I71" s="13">
        <v>0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hidden="1" customHeight="1">
      <c r="A72" s="30">
        <v>13</v>
      </c>
      <c r="B72" s="15" t="s">
        <v>57</v>
      </c>
      <c r="C72" s="17" t="s">
        <v>58</v>
      </c>
      <c r="D72" s="15" t="s">
        <v>53</v>
      </c>
      <c r="E72" s="19">
        <v>15</v>
      </c>
      <c r="F72" s="82">
        <f>SUM(E72)</f>
        <v>15</v>
      </c>
      <c r="G72" s="13">
        <v>49.88</v>
      </c>
      <c r="H72" s="98">
        <f t="shared" si="7"/>
        <v>0.74820000000000009</v>
      </c>
      <c r="I72" s="13">
        <v>0</v>
      </c>
      <c r="J72" s="5"/>
      <c r="K72" s="5"/>
      <c r="L72" s="5"/>
      <c r="M72" s="5"/>
      <c r="N72" s="5"/>
      <c r="O72" s="5"/>
      <c r="P72" s="5"/>
      <c r="Q72" s="5"/>
      <c r="R72" s="161"/>
      <c r="S72" s="161"/>
      <c r="T72" s="161"/>
      <c r="U72" s="161"/>
    </row>
    <row r="73" spans="1:22" ht="15.75" customHeight="1">
      <c r="A73" s="30"/>
      <c r="B73" s="48" t="s">
        <v>73</v>
      </c>
      <c r="C73" s="48"/>
      <c r="D73" s="48"/>
      <c r="E73" s="48"/>
      <c r="F73" s="19"/>
      <c r="G73" s="30"/>
      <c r="H73" s="30"/>
      <c r="I73" s="19"/>
    </row>
    <row r="74" spans="1:22" ht="15.75" customHeight="1">
      <c r="A74" s="30">
        <v>19</v>
      </c>
      <c r="B74" s="15" t="s">
        <v>74</v>
      </c>
      <c r="C74" s="17" t="s">
        <v>31</v>
      </c>
      <c r="D74" s="15"/>
      <c r="E74" s="19">
        <v>5</v>
      </c>
      <c r="F74" s="100">
        <v>0.5</v>
      </c>
      <c r="G74" s="13">
        <v>501.62</v>
      </c>
      <c r="H74" s="98">
        <f>F74*G74/1000</f>
        <v>0.25080999999999998</v>
      </c>
      <c r="I74" s="13">
        <f>G74*0.1</f>
        <v>50.162000000000006</v>
      </c>
    </row>
    <row r="75" spans="1:22" ht="15.75" hidden="1" customHeight="1">
      <c r="A75" s="30"/>
      <c r="B75" s="15" t="s">
        <v>131</v>
      </c>
      <c r="C75" s="17" t="s">
        <v>30</v>
      </c>
      <c r="D75" s="15"/>
      <c r="E75" s="19">
        <v>1</v>
      </c>
      <c r="F75" s="13">
        <v>1</v>
      </c>
      <c r="G75" s="13">
        <v>120.26</v>
      </c>
      <c r="H75" s="98">
        <f>G75*F75/1000</f>
        <v>0.12026000000000001</v>
      </c>
      <c r="I75" s="13">
        <v>0</v>
      </c>
    </row>
    <row r="76" spans="1:22" ht="15.75" hidden="1" customHeight="1">
      <c r="A76" s="30"/>
      <c r="B76" s="15" t="s">
        <v>130</v>
      </c>
      <c r="C76" s="17" t="s">
        <v>30</v>
      </c>
      <c r="D76" s="15"/>
      <c r="E76" s="19">
        <v>1</v>
      </c>
      <c r="F76" s="100">
        <v>1</v>
      </c>
      <c r="G76" s="13">
        <v>99.85</v>
      </c>
      <c r="H76" s="98">
        <f>G76*F76/1000</f>
        <v>9.9849999999999994E-2</v>
      </c>
      <c r="I76" s="13">
        <v>0</v>
      </c>
    </row>
    <row r="77" spans="1:22" ht="15.75" hidden="1" customHeight="1">
      <c r="A77" s="30"/>
      <c r="B77" s="15" t="s">
        <v>88</v>
      </c>
      <c r="C77" s="17" t="s">
        <v>30</v>
      </c>
      <c r="D77" s="15"/>
      <c r="E77" s="19">
        <v>2</v>
      </c>
      <c r="F77" s="82">
        <f>SUM(E77)</f>
        <v>2</v>
      </c>
      <c r="G77" s="13">
        <v>358.51</v>
      </c>
      <c r="H77" s="98">
        <f t="shared" ref="H77" si="8">SUM(F77*G77/1000)</f>
        <v>0.71701999999999999</v>
      </c>
      <c r="I77" s="13">
        <v>0</v>
      </c>
    </row>
    <row r="78" spans="1:22" ht="15.75" hidden="1" customHeight="1">
      <c r="A78" s="30">
        <v>17</v>
      </c>
      <c r="B78" s="15" t="s">
        <v>75</v>
      </c>
      <c r="C78" s="17" t="s">
        <v>30</v>
      </c>
      <c r="D78" s="15"/>
      <c r="E78" s="19">
        <v>2</v>
      </c>
      <c r="F78" s="13">
        <v>2</v>
      </c>
      <c r="G78" s="13">
        <v>852.99</v>
      </c>
      <c r="H78" s="98">
        <f>F78*G78/1000</f>
        <v>1.7059800000000001</v>
      </c>
      <c r="I78" s="13">
        <v>0</v>
      </c>
    </row>
    <row r="79" spans="1:22" ht="15.75" hidden="1" customHeight="1">
      <c r="A79" s="30"/>
      <c r="B79" s="49" t="s">
        <v>76</v>
      </c>
      <c r="C79" s="38"/>
      <c r="D79" s="30"/>
      <c r="E79" s="30"/>
      <c r="F79" s="19"/>
      <c r="G79" s="36"/>
      <c r="H79" s="36"/>
      <c r="I79" s="19"/>
    </row>
    <row r="80" spans="1:22" ht="15.75" hidden="1" customHeight="1">
      <c r="A80" s="30">
        <v>39</v>
      </c>
      <c r="B80" s="51" t="s">
        <v>132</v>
      </c>
      <c r="C80" s="17" t="s">
        <v>77</v>
      </c>
      <c r="D80" s="15"/>
      <c r="E80" s="19"/>
      <c r="F80" s="13">
        <v>1.35</v>
      </c>
      <c r="G80" s="13">
        <v>2759.44</v>
      </c>
      <c r="H80" s="98">
        <f t="shared" ref="H80" si="9">SUM(F80*G80/1000)</f>
        <v>3.725244</v>
      </c>
      <c r="I80" s="13">
        <v>0</v>
      </c>
    </row>
    <row r="81" spans="1:21" ht="15.75" hidden="1" customHeight="1">
      <c r="A81" s="52"/>
      <c r="B81" s="69" t="s">
        <v>128</v>
      </c>
      <c r="C81" s="69"/>
      <c r="D81" s="69"/>
      <c r="E81" s="69"/>
      <c r="F81" s="69"/>
      <c r="G81" s="69"/>
      <c r="H81" s="69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36</v>
      </c>
      <c r="B82" s="79" t="s">
        <v>129</v>
      </c>
      <c r="C82" s="17"/>
      <c r="D82" s="15"/>
      <c r="E82" s="101"/>
      <c r="F82" s="13">
        <v>1</v>
      </c>
      <c r="G82" s="13">
        <v>25286</v>
      </c>
      <c r="H82" s="98">
        <f>G82*F82/1000</f>
        <v>25.286000000000001</v>
      </c>
      <c r="I82" s="13">
        <v>0</v>
      </c>
    </row>
    <row r="83" spans="1:21" ht="15.75" customHeight="1">
      <c r="A83" s="170" t="s">
        <v>146</v>
      </c>
      <c r="B83" s="171"/>
      <c r="C83" s="171"/>
      <c r="D83" s="171"/>
      <c r="E83" s="171"/>
      <c r="F83" s="171"/>
      <c r="G83" s="171"/>
      <c r="H83" s="171"/>
      <c r="I83" s="172"/>
    </row>
    <row r="84" spans="1:21" ht="15.75" customHeight="1">
      <c r="A84" s="30">
        <v>20</v>
      </c>
      <c r="B84" s="79" t="s">
        <v>133</v>
      </c>
      <c r="C84" s="17" t="s">
        <v>54</v>
      </c>
      <c r="D84" s="103" t="s">
        <v>55</v>
      </c>
      <c r="E84" s="13">
        <v>5836.1</v>
      </c>
      <c r="F84" s="13">
        <f>SUM(E84*12)</f>
        <v>70033.200000000012</v>
      </c>
      <c r="G84" s="13">
        <v>2.1</v>
      </c>
      <c r="H84" s="98">
        <f>SUM(F84*G84/1000)</f>
        <v>147.06972000000002</v>
      </c>
      <c r="I84" s="13">
        <f>F84/12*G84</f>
        <v>12255.810000000003</v>
      </c>
    </row>
    <row r="85" spans="1:21" ht="31.5" customHeight="1">
      <c r="A85" s="30">
        <v>21</v>
      </c>
      <c r="B85" s="15" t="s">
        <v>78</v>
      </c>
      <c r="C85" s="17"/>
      <c r="D85" s="103" t="s">
        <v>55</v>
      </c>
      <c r="E85" s="81">
        <v>5836.1</v>
      </c>
      <c r="F85" s="13">
        <f>E85*12</f>
        <v>70033.200000000012</v>
      </c>
      <c r="G85" s="13">
        <v>1.63</v>
      </c>
      <c r="H85" s="98">
        <f>F85*G85/1000</f>
        <v>114.15411600000002</v>
      </c>
      <c r="I85" s="13">
        <f>F85/12*G85</f>
        <v>9512.8430000000008</v>
      </c>
    </row>
    <row r="86" spans="1:21" ht="15.75" customHeight="1">
      <c r="A86" s="52"/>
      <c r="B86" s="39" t="s">
        <v>81</v>
      </c>
      <c r="C86" s="40"/>
      <c r="D86" s="16"/>
      <c r="E86" s="16"/>
      <c r="F86" s="16"/>
      <c r="G86" s="19"/>
      <c r="H86" s="19"/>
      <c r="I86" s="32">
        <f>I85+I84+I74+I65+I62+I59+I58+I51+I45+I44+I43+I42+I40+I39+I28+I27+I21+I20+I18+I17+I16</f>
        <v>84284.641137333339</v>
      </c>
    </row>
    <row r="87" spans="1:21" ht="15.75" customHeight="1">
      <c r="A87" s="173" t="s">
        <v>60</v>
      </c>
      <c r="B87" s="174"/>
      <c r="C87" s="174"/>
      <c r="D87" s="174"/>
      <c r="E87" s="174"/>
      <c r="F87" s="174"/>
      <c r="G87" s="174"/>
      <c r="H87" s="174"/>
      <c r="I87" s="175"/>
    </row>
    <row r="88" spans="1:21" s="129" customFormat="1" ht="31.5" customHeight="1">
      <c r="A88" s="30">
        <v>22</v>
      </c>
      <c r="B88" s="55" t="s">
        <v>89</v>
      </c>
      <c r="C88" s="63" t="s">
        <v>92</v>
      </c>
      <c r="D88" s="37"/>
      <c r="E88" s="18"/>
      <c r="F88" s="36">
        <v>5</v>
      </c>
      <c r="G88" s="36">
        <v>613.44000000000005</v>
      </c>
      <c r="H88" s="102">
        <f t="shared" ref="H88" si="10">G88*F88/1000</f>
        <v>3.0672000000000001</v>
      </c>
      <c r="I88" s="13">
        <f>G88*(2+1+1+1)</f>
        <v>3067.2000000000003</v>
      </c>
    </row>
    <row r="89" spans="1:21" ht="15.75" customHeight="1">
      <c r="A89" s="30"/>
      <c r="B89" s="45" t="s">
        <v>51</v>
      </c>
      <c r="C89" s="41"/>
      <c r="D89" s="53"/>
      <c r="E89" s="53"/>
      <c r="F89" s="41">
        <v>1</v>
      </c>
      <c r="G89" s="41"/>
      <c r="H89" s="41"/>
      <c r="I89" s="32">
        <f>SUM(I88:I88)</f>
        <v>3067.2000000000003</v>
      </c>
    </row>
    <row r="90" spans="1:21" ht="15.75" customHeight="1">
      <c r="A90" s="30"/>
      <c r="B90" s="51" t="s">
        <v>79</v>
      </c>
      <c r="C90" s="16"/>
      <c r="D90" s="16"/>
      <c r="E90" s="16"/>
      <c r="F90" s="42"/>
      <c r="G90" s="43"/>
      <c r="H90" s="43"/>
      <c r="I90" s="18">
        <v>0</v>
      </c>
    </row>
    <row r="91" spans="1:21" ht="15.75" customHeight="1">
      <c r="A91" s="54"/>
      <c r="B91" s="46" t="s">
        <v>147</v>
      </c>
      <c r="C91" s="34"/>
      <c r="D91" s="34"/>
      <c r="E91" s="34"/>
      <c r="F91" s="34"/>
      <c r="G91" s="34"/>
      <c r="H91" s="34"/>
      <c r="I91" s="44">
        <f>I86+I89</f>
        <v>87351.841137333337</v>
      </c>
    </row>
    <row r="92" spans="1:21" ht="15.75" customHeight="1">
      <c r="A92" s="167" t="s">
        <v>232</v>
      </c>
      <c r="B92" s="167"/>
      <c r="C92" s="167"/>
      <c r="D92" s="167"/>
      <c r="E92" s="167"/>
      <c r="F92" s="167"/>
      <c r="G92" s="167"/>
      <c r="H92" s="167"/>
      <c r="I92" s="167"/>
    </row>
    <row r="93" spans="1:21" ht="15.75" customHeight="1">
      <c r="A93" s="70"/>
      <c r="B93" s="168" t="s">
        <v>233</v>
      </c>
      <c r="C93" s="168"/>
      <c r="D93" s="168"/>
      <c r="E93" s="168"/>
      <c r="F93" s="168"/>
      <c r="G93" s="168"/>
      <c r="H93" s="77"/>
      <c r="I93" s="3"/>
    </row>
    <row r="94" spans="1:21" ht="15.75" customHeight="1">
      <c r="A94" s="65"/>
      <c r="B94" s="166" t="s">
        <v>6</v>
      </c>
      <c r="C94" s="166"/>
      <c r="D94" s="166"/>
      <c r="E94" s="166"/>
      <c r="F94" s="166"/>
      <c r="G94" s="166"/>
      <c r="H94" s="25"/>
      <c r="I94" s="5"/>
    </row>
    <row r="95" spans="1:21" ht="8.2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21" ht="15.75" customHeight="1">
      <c r="A96" s="169" t="s">
        <v>7</v>
      </c>
      <c r="B96" s="169"/>
      <c r="C96" s="169"/>
      <c r="D96" s="169"/>
      <c r="E96" s="169"/>
      <c r="F96" s="169"/>
      <c r="G96" s="169"/>
      <c r="H96" s="169"/>
      <c r="I96" s="169"/>
    </row>
    <row r="97" spans="1:9" ht="15.75" customHeight="1">
      <c r="A97" s="169" t="s">
        <v>8</v>
      </c>
      <c r="B97" s="169"/>
      <c r="C97" s="169"/>
      <c r="D97" s="169"/>
      <c r="E97" s="169"/>
      <c r="F97" s="169"/>
      <c r="G97" s="169"/>
      <c r="H97" s="169"/>
      <c r="I97" s="169"/>
    </row>
    <row r="98" spans="1:9" ht="15.75" customHeight="1">
      <c r="A98" s="163" t="s">
        <v>61</v>
      </c>
      <c r="B98" s="163"/>
      <c r="C98" s="163"/>
      <c r="D98" s="163"/>
      <c r="E98" s="163"/>
      <c r="F98" s="163"/>
      <c r="G98" s="163"/>
      <c r="H98" s="163"/>
      <c r="I98" s="163"/>
    </row>
    <row r="99" spans="1:9" ht="15.75" customHeight="1">
      <c r="A99" s="11"/>
    </row>
    <row r="100" spans="1:9" ht="15.75" customHeight="1">
      <c r="A100" s="164" t="s">
        <v>9</v>
      </c>
      <c r="B100" s="164"/>
      <c r="C100" s="164"/>
      <c r="D100" s="164"/>
      <c r="E100" s="164"/>
      <c r="F100" s="164"/>
      <c r="G100" s="164"/>
      <c r="H100" s="164"/>
      <c r="I100" s="164"/>
    </row>
    <row r="101" spans="1:9" ht="15.75" customHeight="1">
      <c r="A101" s="4"/>
    </row>
    <row r="102" spans="1:9" ht="15.75" customHeight="1">
      <c r="B102" s="64" t="s">
        <v>10</v>
      </c>
      <c r="C102" s="165" t="s">
        <v>90</v>
      </c>
      <c r="D102" s="165"/>
      <c r="E102" s="165"/>
      <c r="F102" s="165"/>
      <c r="I102" s="67"/>
    </row>
    <row r="103" spans="1:9" ht="15.75" customHeight="1">
      <c r="A103" s="65"/>
      <c r="C103" s="166" t="s">
        <v>11</v>
      </c>
      <c r="D103" s="166"/>
      <c r="E103" s="166"/>
      <c r="F103" s="166"/>
      <c r="I103" s="66" t="s">
        <v>12</v>
      </c>
    </row>
    <row r="104" spans="1:9" ht="15.75" customHeight="1">
      <c r="A104" s="26"/>
      <c r="C104" s="12"/>
      <c r="D104" s="12"/>
      <c r="E104" s="12"/>
      <c r="G104" s="12"/>
      <c r="H104" s="12"/>
    </row>
    <row r="105" spans="1:9" ht="15.75" customHeight="1">
      <c r="B105" s="64" t="s">
        <v>13</v>
      </c>
      <c r="C105" s="160"/>
      <c r="D105" s="160"/>
      <c r="E105" s="160"/>
      <c r="F105" s="160"/>
      <c r="I105" s="67"/>
    </row>
    <row r="106" spans="1:9" ht="15.75" customHeight="1">
      <c r="A106" s="65"/>
      <c r="C106" s="161" t="s">
        <v>11</v>
      </c>
      <c r="D106" s="161"/>
      <c r="E106" s="161"/>
      <c r="F106" s="161"/>
      <c r="I106" s="66" t="s">
        <v>12</v>
      </c>
    </row>
    <row r="107" spans="1:9" ht="15.75" customHeight="1">
      <c r="A107" s="4" t="s">
        <v>14</v>
      </c>
    </row>
    <row r="108" spans="1:9" ht="15.75" customHeight="1">
      <c r="A108" s="162" t="s">
        <v>15</v>
      </c>
      <c r="B108" s="162"/>
      <c r="C108" s="162"/>
      <c r="D108" s="162"/>
      <c r="E108" s="162"/>
      <c r="F108" s="162"/>
      <c r="G108" s="162"/>
      <c r="H108" s="162"/>
      <c r="I108" s="162"/>
    </row>
    <row r="109" spans="1:9" ht="45" customHeight="1">
      <c r="A109" s="159" t="s">
        <v>16</v>
      </c>
      <c r="B109" s="159"/>
      <c r="C109" s="159"/>
      <c r="D109" s="159"/>
      <c r="E109" s="159"/>
      <c r="F109" s="159"/>
      <c r="G109" s="159"/>
      <c r="H109" s="159"/>
      <c r="I109" s="159"/>
    </row>
    <row r="110" spans="1:9" ht="30" customHeight="1">
      <c r="A110" s="159" t="s">
        <v>17</v>
      </c>
      <c r="B110" s="159"/>
      <c r="C110" s="159"/>
      <c r="D110" s="159"/>
      <c r="E110" s="159"/>
      <c r="F110" s="159"/>
      <c r="G110" s="159"/>
      <c r="H110" s="159"/>
      <c r="I110" s="159"/>
    </row>
    <row r="111" spans="1:9" ht="30" customHeight="1">
      <c r="A111" s="159" t="s">
        <v>21</v>
      </c>
      <c r="B111" s="159"/>
      <c r="C111" s="159"/>
      <c r="D111" s="159"/>
      <c r="E111" s="159"/>
      <c r="F111" s="159"/>
      <c r="G111" s="159"/>
      <c r="H111" s="159"/>
      <c r="I111" s="159"/>
    </row>
    <row r="112" spans="1:9" ht="15" customHeight="1">
      <c r="A112" s="159" t="s">
        <v>20</v>
      </c>
      <c r="B112" s="159"/>
      <c r="C112" s="159"/>
      <c r="D112" s="159"/>
      <c r="E112" s="159"/>
      <c r="F112" s="159"/>
      <c r="G112" s="159"/>
      <c r="H112" s="159"/>
      <c r="I112" s="159"/>
    </row>
  </sheetData>
  <autoFilter ref="I12:I67"/>
  <mergeCells count="29">
    <mergeCell ref="A108:I108"/>
    <mergeCell ref="A109:I109"/>
    <mergeCell ref="A110:I110"/>
    <mergeCell ref="A111:I111"/>
    <mergeCell ref="A112:I112"/>
    <mergeCell ref="R72:U72"/>
    <mergeCell ref="C106:F106"/>
    <mergeCell ref="A87:I87"/>
    <mergeCell ref="A92:I92"/>
    <mergeCell ref="B93:G93"/>
    <mergeCell ref="B94:G94"/>
    <mergeCell ref="A96:I96"/>
    <mergeCell ref="A97:I97"/>
    <mergeCell ref="A98:I98"/>
    <mergeCell ref="A100:I100"/>
    <mergeCell ref="C102:F102"/>
    <mergeCell ref="C103:F103"/>
    <mergeCell ref="C105:F105"/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2"/>
  <sheetViews>
    <sheetView topLeftCell="A85" workbookViewId="0">
      <selection activeCell="B103" sqref="B103:G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86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76" t="s">
        <v>155</v>
      </c>
      <c r="B3" s="176"/>
      <c r="C3" s="176"/>
      <c r="D3" s="176"/>
      <c r="E3" s="176"/>
      <c r="F3" s="176"/>
      <c r="G3" s="176"/>
      <c r="H3" s="176"/>
      <c r="I3" s="176"/>
      <c r="J3" s="3"/>
      <c r="K3" s="3"/>
      <c r="L3" s="3"/>
    </row>
    <row r="4" spans="1:13" ht="31.5" customHeight="1">
      <c r="A4" s="177" t="s">
        <v>134</v>
      </c>
      <c r="B4" s="177"/>
      <c r="C4" s="177"/>
      <c r="D4" s="177"/>
      <c r="E4" s="177"/>
      <c r="F4" s="177"/>
      <c r="G4" s="177"/>
      <c r="H4" s="177"/>
      <c r="I4" s="177"/>
    </row>
    <row r="5" spans="1:13" ht="15.75" customHeight="1">
      <c r="A5" s="176" t="s">
        <v>176</v>
      </c>
      <c r="B5" s="180"/>
      <c r="C5" s="180"/>
      <c r="D5" s="180"/>
      <c r="E5" s="180"/>
      <c r="F5" s="180"/>
      <c r="G5" s="180"/>
      <c r="H5" s="180"/>
      <c r="I5" s="180"/>
      <c r="J5" s="2"/>
      <c r="K5" s="2"/>
      <c r="L5" s="2"/>
      <c r="M5" s="2"/>
    </row>
    <row r="6" spans="1:13" ht="15.75" customHeight="1">
      <c r="A6" s="2"/>
      <c r="B6" s="68"/>
      <c r="C6" s="68"/>
      <c r="D6" s="68"/>
      <c r="E6" s="68"/>
      <c r="F6" s="68"/>
      <c r="G6" s="68"/>
      <c r="H6" s="68"/>
      <c r="I6" s="31">
        <v>43190</v>
      </c>
      <c r="J6" s="2"/>
      <c r="K6" s="2"/>
      <c r="L6" s="2"/>
      <c r="M6" s="2"/>
    </row>
    <row r="7" spans="1:13" ht="15.75" customHeight="1">
      <c r="B7" s="64"/>
      <c r="C7" s="64"/>
      <c r="D7" s="64"/>
      <c r="E7" s="64"/>
      <c r="F7" s="3"/>
      <c r="G7" s="3"/>
      <c r="H7" s="3"/>
      <c r="J7" s="3"/>
      <c r="K7" s="3"/>
      <c r="L7" s="3"/>
      <c r="M7" s="3"/>
    </row>
    <row r="8" spans="1:13" ht="78.75" customHeight="1">
      <c r="A8" s="178" t="s">
        <v>142</v>
      </c>
      <c r="B8" s="178"/>
      <c r="C8" s="178"/>
      <c r="D8" s="178"/>
      <c r="E8" s="178"/>
      <c r="F8" s="178"/>
      <c r="G8" s="178"/>
      <c r="H8" s="178"/>
      <c r="I8" s="17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9" t="s">
        <v>143</v>
      </c>
      <c r="B10" s="179"/>
      <c r="C10" s="179"/>
      <c r="D10" s="179"/>
      <c r="E10" s="179"/>
      <c r="F10" s="179"/>
      <c r="G10" s="179"/>
      <c r="H10" s="179"/>
      <c r="I10" s="17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81" t="s">
        <v>59</v>
      </c>
      <c r="B14" s="181"/>
      <c r="C14" s="181"/>
      <c r="D14" s="181"/>
      <c r="E14" s="181"/>
      <c r="F14" s="181"/>
      <c r="G14" s="181"/>
      <c r="H14" s="181"/>
      <c r="I14" s="181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0">
        <v>1</v>
      </c>
      <c r="B16" s="79" t="s">
        <v>87</v>
      </c>
      <c r="C16" s="80" t="s">
        <v>104</v>
      </c>
      <c r="D16" s="79" t="s">
        <v>105</v>
      </c>
      <c r="E16" s="81">
        <v>164.38</v>
      </c>
      <c r="F16" s="82">
        <f>SUM(E16*156/100)</f>
        <v>256.43279999999999</v>
      </c>
      <c r="G16" s="82">
        <v>175.38</v>
      </c>
      <c r="H16" s="83">
        <f t="shared" ref="H16:H30" si="0">SUM(F16*G16/1000)</f>
        <v>44.973184463999999</v>
      </c>
      <c r="I16" s="13">
        <f>F16/12*G16</f>
        <v>3747.7653719999998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93</v>
      </c>
      <c r="C17" s="80" t="s">
        <v>104</v>
      </c>
      <c r="D17" s="79" t="s">
        <v>106</v>
      </c>
      <c r="E17" s="81">
        <v>657.52</v>
      </c>
      <c r="F17" s="82">
        <f>SUM(E17*104/100)</f>
        <v>683.82079999999996</v>
      </c>
      <c r="G17" s="82">
        <v>175.38</v>
      </c>
      <c r="H17" s="83">
        <f t="shared" si="0"/>
        <v>119.928491904</v>
      </c>
      <c r="I17" s="13">
        <f>F17/12*G17</f>
        <v>9994.0409919999984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94</v>
      </c>
      <c r="C18" s="80" t="s">
        <v>104</v>
      </c>
      <c r="D18" s="79" t="s">
        <v>107</v>
      </c>
      <c r="E18" s="81">
        <f>SUM(E16+E17)</f>
        <v>821.9</v>
      </c>
      <c r="F18" s="82">
        <f>SUM(E18*24/100)</f>
        <v>197.25599999999997</v>
      </c>
      <c r="G18" s="82">
        <v>504.5</v>
      </c>
      <c r="H18" s="83">
        <f t="shared" si="0"/>
        <v>99.515651999999989</v>
      </c>
      <c r="I18" s="13">
        <f>F18/12*G18</f>
        <v>8292.9709999999995</v>
      </c>
      <c r="J18" s="23"/>
      <c r="K18" s="8"/>
      <c r="L18" s="8"/>
      <c r="M18" s="8"/>
    </row>
    <row r="19" spans="1:13" ht="15.75" hidden="1" customHeight="1">
      <c r="A19" s="30"/>
      <c r="B19" s="79" t="s">
        <v>108</v>
      </c>
      <c r="C19" s="80" t="s">
        <v>109</v>
      </c>
      <c r="D19" s="79" t="s">
        <v>110</v>
      </c>
      <c r="E19" s="81">
        <v>51.2</v>
      </c>
      <c r="F19" s="82">
        <f>SUM(E19/10)</f>
        <v>5.12</v>
      </c>
      <c r="G19" s="82">
        <v>170.16</v>
      </c>
      <c r="H19" s="83">
        <f t="shared" si="0"/>
        <v>0.87121919999999997</v>
      </c>
      <c r="I19" s="13">
        <v>0</v>
      </c>
      <c r="J19" s="23"/>
      <c r="K19" s="8"/>
      <c r="L19" s="8"/>
      <c r="M19" s="8"/>
    </row>
    <row r="20" spans="1:13" ht="15.75" hidden="1" customHeight="1">
      <c r="A20" s="30">
        <v>4</v>
      </c>
      <c r="B20" s="79" t="s">
        <v>98</v>
      </c>
      <c r="C20" s="80" t="s">
        <v>104</v>
      </c>
      <c r="D20" s="79" t="s">
        <v>53</v>
      </c>
      <c r="E20" s="81">
        <v>58.4</v>
      </c>
      <c r="F20" s="82">
        <f>SUM(E20/100)</f>
        <v>0.58399999999999996</v>
      </c>
      <c r="G20" s="82">
        <v>217.88</v>
      </c>
      <c r="H20" s="83">
        <f t="shared" si="0"/>
        <v>0.12724191999999998</v>
      </c>
      <c r="I20" s="13">
        <v>0</v>
      </c>
      <c r="J20" s="23"/>
      <c r="K20" s="8"/>
      <c r="L20" s="8"/>
      <c r="M20" s="8"/>
    </row>
    <row r="21" spans="1:13" ht="15.75" hidden="1" customHeight="1">
      <c r="A21" s="30">
        <v>5</v>
      </c>
      <c r="B21" s="79" t="s">
        <v>99</v>
      </c>
      <c r="C21" s="80" t="s">
        <v>104</v>
      </c>
      <c r="D21" s="79" t="s">
        <v>53</v>
      </c>
      <c r="E21" s="81">
        <v>13.41</v>
      </c>
      <c r="F21" s="82">
        <f>SUM(E21/100)</f>
        <v>0.1341</v>
      </c>
      <c r="G21" s="82">
        <v>216.12</v>
      </c>
      <c r="H21" s="83">
        <f t="shared" si="0"/>
        <v>2.8981692E-2</v>
      </c>
      <c r="I21" s="13">
        <v>0</v>
      </c>
      <c r="J21" s="23"/>
      <c r="K21" s="8"/>
      <c r="L21" s="8"/>
      <c r="M21" s="8"/>
    </row>
    <row r="22" spans="1:13" ht="15.75" hidden="1" customHeight="1">
      <c r="A22" s="30"/>
      <c r="B22" s="79" t="s">
        <v>111</v>
      </c>
      <c r="C22" s="80" t="s">
        <v>52</v>
      </c>
      <c r="D22" s="79" t="s">
        <v>110</v>
      </c>
      <c r="E22" s="81">
        <v>1025.5999999999999</v>
      </c>
      <c r="F22" s="82">
        <f>SUM(E22/100)</f>
        <v>10.255999999999998</v>
      </c>
      <c r="G22" s="82">
        <v>269.26</v>
      </c>
      <c r="H22" s="83">
        <f t="shared" si="0"/>
        <v>2.7615305599999997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79" t="s">
        <v>112</v>
      </c>
      <c r="C23" s="80" t="s">
        <v>52</v>
      </c>
      <c r="D23" s="79" t="s">
        <v>110</v>
      </c>
      <c r="E23" s="84">
        <v>60.5</v>
      </c>
      <c r="F23" s="82">
        <f>SUM(E23/100)</f>
        <v>0.60499999999999998</v>
      </c>
      <c r="G23" s="82">
        <v>44.29</v>
      </c>
      <c r="H23" s="83">
        <f t="shared" si="0"/>
        <v>2.6795449999999998E-2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79" t="s">
        <v>102</v>
      </c>
      <c r="C24" s="80" t="s">
        <v>52</v>
      </c>
      <c r="D24" s="79" t="s">
        <v>53</v>
      </c>
      <c r="E24" s="85">
        <v>19.149999999999999</v>
      </c>
      <c r="F24" s="82">
        <f>E24/100</f>
        <v>0.19149999999999998</v>
      </c>
      <c r="G24" s="82">
        <v>389.42</v>
      </c>
      <c r="H24" s="83">
        <f>G24*F24/100</f>
        <v>0.74573929999999988</v>
      </c>
      <c r="I24" s="13">
        <v>0</v>
      </c>
      <c r="J24" s="23"/>
      <c r="K24" s="8"/>
      <c r="L24" s="8"/>
      <c r="M24" s="8"/>
    </row>
    <row r="25" spans="1:13" ht="15.75" hidden="1" customHeight="1">
      <c r="A25" s="40">
        <v>6</v>
      </c>
      <c r="B25" s="79" t="s">
        <v>135</v>
      </c>
      <c r="C25" s="80" t="s">
        <v>52</v>
      </c>
      <c r="D25" s="79" t="s">
        <v>53</v>
      </c>
      <c r="E25" s="86">
        <v>31.5</v>
      </c>
      <c r="F25" s="82">
        <f>E25/100</f>
        <v>0.315</v>
      </c>
      <c r="G25" s="82">
        <v>216.12</v>
      </c>
      <c r="H25" s="83">
        <f>G25*F25/1000</f>
        <v>6.8077799999999994E-2</v>
      </c>
      <c r="I25" s="13">
        <v>0</v>
      </c>
      <c r="J25" s="23"/>
      <c r="K25" s="8"/>
      <c r="L25" s="8"/>
      <c r="M25" s="8"/>
    </row>
    <row r="26" spans="1:13" ht="15.75" hidden="1" customHeight="1">
      <c r="A26" s="40"/>
      <c r="B26" s="79" t="s">
        <v>103</v>
      </c>
      <c r="C26" s="80" t="s">
        <v>52</v>
      </c>
      <c r="D26" s="79" t="s">
        <v>53</v>
      </c>
      <c r="E26" s="81">
        <v>37.5</v>
      </c>
      <c r="F26" s="82">
        <f>SUM(E26/100)</f>
        <v>0.375</v>
      </c>
      <c r="G26" s="82">
        <v>520.79999999999995</v>
      </c>
      <c r="H26" s="83">
        <f t="shared" si="0"/>
        <v>0.19529999999999997</v>
      </c>
      <c r="I26" s="13">
        <v>0</v>
      </c>
      <c r="J26" s="23"/>
      <c r="K26" s="8"/>
      <c r="L26" s="8"/>
      <c r="M26" s="8"/>
    </row>
    <row r="27" spans="1:13" ht="15.75" customHeight="1">
      <c r="A27" s="40">
        <v>4</v>
      </c>
      <c r="B27" s="79" t="s">
        <v>64</v>
      </c>
      <c r="C27" s="80" t="s">
        <v>33</v>
      </c>
      <c r="D27" s="79"/>
      <c r="E27" s="81">
        <v>0.1</v>
      </c>
      <c r="F27" s="82">
        <f>SUM(E27*365)</f>
        <v>36.5</v>
      </c>
      <c r="G27" s="82">
        <v>147.03</v>
      </c>
      <c r="H27" s="83">
        <f t="shared" si="0"/>
        <v>5.3665950000000002</v>
      </c>
      <c r="I27" s="13">
        <f>F27/12*G27</f>
        <v>447.21625</v>
      </c>
      <c r="J27" s="23"/>
      <c r="K27" s="8"/>
      <c r="L27" s="8"/>
      <c r="M27" s="8"/>
    </row>
    <row r="28" spans="1:13" ht="15.75" customHeight="1">
      <c r="A28" s="40">
        <v>5</v>
      </c>
      <c r="B28" s="134" t="s">
        <v>98</v>
      </c>
      <c r="C28" s="135" t="s">
        <v>104</v>
      </c>
      <c r="D28" s="134" t="s">
        <v>180</v>
      </c>
      <c r="E28" s="81"/>
      <c r="F28" s="82"/>
      <c r="G28" s="136">
        <v>193.55</v>
      </c>
      <c r="H28" s="83"/>
      <c r="I28" s="137">
        <f>G28/12*6.9</f>
        <v>111.29125000000001</v>
      </c>
      <c r="J28" s="23"/>
      <c r="K28" s="8"/>
      <c r="L28" s="8"/>
      <c r="M28" s="8"/>
    </row>
    <row r="29" spans="1:13" ht="15.75" customHeight="1">
      <c r="A29" s="40">
        <v>6</v>
      </c>
      <c r="B29" s="134" t="s">
        <v>99</v>
      </c>
      <c r="C29" s="135" t="s">
        <v>104</v>
      </c>
      <c r="D29" s="134" t="s">
        <v>181</v>
      </c>
      <c r="E29" s="81"/>
      <c r="F29" s="82"/>
      <c r="G29" s="136">
        <v>191.98</v>
      </c>
      <c r="H29" s="83"/>
      <c r="I29" s="137">
        <f>G29/12*1.61</f>
        <v>25.757316666666668</v>
      </c>
      <c r="J29" s="23"/>
      <c r="K29" s="8"/>
      <c r="L29" s="8"/>
      <c r="M29" s="8"/>
    </row>
    <row r="30" spans="1:13" ht="15.75" customHeight="1">
      <c r="A30" s="40">
        <v>7</v>
      </c>
      <c r="B30" s="87" t="s">
        <v>23</v>
      </c>
      <c r="C30" s="80" t="s">
        <v>24</v>
      </c>
      <c r="D30" s="79"/>
      <c r="E30" s="81">
        <v>5836.1</v>
      </c>
      <c r="F30" s="82">
        <f>SUM(E30*12)</f>
        <v>70033.200000000012</v>
      </c>
      <c r="G30" s="82">
        <v>3.33</v>
      </c>
      <c r="H30" s="83">
        <f t="shared" si="0"/>
        <v>233.21055600000005</v>
      </c>
      <c r="I30" s="13">
        <f>F30/12*G30</f>
        <v>19434.213000000003</v>
      </c>
      <c r="J30" s="23"/>
      <c r="K30" s="8"/>
      <c r="L30" s="8"/>
      <c r="M30" s="8"/>
    </row>
    <row r="31" spans="1:13" ht="15.75" customHeight="1">
      <c r="A31" s="182" t="s">
        <v>85</v>
      </c>
      <c r="B31" s="182"/>
      <c r="C31" s="182"/>
      <c r="D31" s="182"/>
      <c r="E31" s="182"/>
      <c r="F31" s="182"/>
      <c r="G31" s="182"/>
      <c r="H31" s="182"/>
      <c r="I31" s="182"/>
      <c r="J31" s="23"/>
      <c r="K31" s="8"/>
      <c r="L31" s="8"/>
      <c r="M31" s="8"/>
    </row>
    <row r="32" spans="1:13" ht="15.75" hidden="1" customHeight="1">
      <c r="A32" s="40"/>
      <c r="B32" s="50" t="s">
        <v>28</v>
      </c>
      <c r="C32" s="50"/>
      <c r="D32" s="50"/>
      <c r="E32" s="50"/>
      <c r="F32" s="50"/>
      <c r="G32" s="50"/>
      <c r="H32" s="50"/>
      <c r="I32" s="19"/>
      <c r="J32" s="23"/>
      <c r="K32" s="8"/>
      <c r="L32" s="8"/>
      <c r="M32" s="8"/>
    </row>
    <row r="33" spans="1:14" ht="15.75" hidden="1" customHeight="1">
      <c r="A33" s="40">
        <v>2</v>
      </c>
      <c r="B33" s="79" t="s">
        <v>113</v>
      </c>
      <c r="C33" s="80" t="s">
        <v>114</v>
      </c>
      <c r="D33" s="79" t="s">
        <v>115</v>
      </c>
      <c r="E33" s="82">
        <v>659.5</v>
      </c>
      <c r="F33" s="82">
        <f>SUM(E33*52/1000)</f>
        <v>34.293999999999997</v>
      </c>
      <c r="G33" s="82">
        <v>155.88999999999999</v>
      </c>
      <c r="H33" s="83">
        <f t="shared" ref="H33:H35" si="1">SUM(F33*G33/1000)</f>
        <v>5.346091659999999</v>
      </c>
      <c r="I33" s="13">
        <f>F33/6*G33</f>
        <v>891.01527666666652</v>
      </c>
      <c r="J33" s="23"/>
      <c r="K33" s="8"/>
      <c r="L33" s="8"/>
      <c r="M33" s="8"/>
    </row>
    <row r="34" spans="1:14" ht="31.5" hidden="1" customHeight="1">
      <c r="A34" s="40">
        <v>3</v>
      </c>
      <c r="B34" s="79" t="s">
        <v>149</v>
      </c>
      <c r="C34" s="80" t="s">
        <v>114</v>
      </c>
      <c r="D34" s="79" t="s">
        <v>116</v>
      </c>
      <c r="E34" s="82">
        <v>567.9</v>
      </c>
      <c r="F34" s="82">
        <f>SUM(E34*78/1000)</f>
        <v>44.296199999999999</v>
      </c>
      <c r="G34" s="82">
        <v>258.63</v>
      </c>
      <c r="H34" s="83">
        <f t="shared" si="1"/>
        <v>11.456326206</v>
      </c>
      <c r="I34" s="13">
        <f t="shared" ref="I34:I37" si="2">F34/6*G34</f>
        <v>1909.3877009999999</v>
      </c>
      <c r="J34" s="23"/>
      <c r="K34" s="8"/>
      <c r="L34" s="8"/>
      <c r="M34" s="8"/>
    </row>
    <row r="35" spans="1:14" ht="15.75" hidden="1" customHeight="1">
      <c r="A35" s="40">
        <v>4</v>
      </c>
      <c r="B35" s="79" t="s">
        <v>27</v>
      </c>
      <c r="C35" s="80" t="s">
        <v>114</v>
      </c>
      <c r="D35" s="79" t="s">
        <v>53</v>
      </c>
      <c r="E35" s="82">
        <v>659.5</v>
      </c>
      <c r="F35" s="82">
        <f>SUM(E35/1000)</f>
        <v>0.65949999999999998</v>
      </c>
      <c r="G35" s="82">
        <v>3020.33</v>
      </c>
      <c r="H35" s="83">
        <f t="shared" si="1"/>
        <v>1.9919076349999998</v>
      </c>
      <c r="I35" s="13">
        <f>F35*G35</f>
        <v>1991.9076349999998</v>
      </c>
      <c r="J35" s="23"/>
      <c r="K35" s="8"/>
      <c r="L35" s="8"/>
      <c r="M35" s="8"/>
    </row>
    <row r="36" spans="1:14" ht="15.75" hidden="1" customHeight="1">
      <c r="A36" s="40"/>
      <c r="B36" s="79" t="s">
        <v>136</v>
      </c>
      <c r="C36" s="80" t="s">
        <v>39</v>
      </c>
      <c r="D36" s="79" t="s">
        <v>148</v>
      </c>
      <c r="E36" s="82">
        <v>8</v>
      </c>
      <c r="F36" s="82">
        <v>12.4</v>
      </c>
      <c r="G36" s="82">
        <v>1302.02</v>
      </c>
      <c r="H36" s="83">
        <v>16.145</v>
      </c>
      <c r="I36" s="13">
        <f t="shared" si="2"/>
        <v>2690.8413333333338</v>
      </c>
      <c r="J36" s="23"/>
      <c r="K36" s="8"/>
      <c r="L36" s="8"/>
      <c r="M36" s="8"/>
    </row>
    <row r="37" spans="1:14" ht="15.75" hidden="1" customHeight="1">
      <c r="A37" s="40">
        <v>5</v>
      </c>
      <c r="B37" s="79" t="s">
        <v>117</v>
      </c>
      <c r="C37" s="80" t="s">
        <v>30</v>
      </c>
      <c r="D37" s="79" t="s">
        <v>63</v>
      </c>
      <c r="E37" s="88">
        <v>0.33</v>
      </c>
      <c r="F37" s="82">
        <v>51.666666666666664</v>
      </c>
      <c r="G37" s="82">
        <v>56.69</v>
      </c>
      <c r="H37" s="83">
        <f>SUM(G37*155/3/1000)</f>
        <v>2.9289833333333331</v>
      </c>
      <c r="I37" s="13">
        <f t="shared" si="2"/>
        <v>488.16388888888883</v>
      </c>
      <c r="J37" s="23"/>
      <c r="K37" s="8"/>
    </row>
    <row r="38" spans="1:14" ht="15.75" hidden="1" customHeight="1">
      <c r="A38" s="40">
        <v>4</v>
      </c>
      <c r="B38" s="79" t="s">
        <v>65</v>
      </c>
      <c r="C38" s="80" t="s">
        <v>33</v>
      </c>
      <c r="D38" s="79" t="s">
        <v>67</v>
      </c>
      <c r="E38" s="81"/>
      <c r="F38" s="82">
        <v>4</v>
      </c>
      <c r="G38" s="82">
        <v>191.32</v>
      </c>
      <c r="H38" s="83">
        <f t="shared" ref="H38:H39" si="3">SUM(F38*G38/1000)</f>
        <v>0.76527999999999996</v>
      </c>
      <c r="I38" s="13">
        <v>0</v>
      </c>
      <c r="J38" s="24"/>
    </row>
    <row r="39" spans="1:14" ht="15.75" hidden="1" customHeight="1">
      <c r="A39" s="30">
        <v>8</v>
      </c>
      <c r="B39" s="79" t="s">
        <v>66</v>
      </c>
      <c r="C39" s="80" t="s">
        <v>32</v>
      </c>
      <c r="D39" s="79" t="s">
        <v>67</v>
      </c>
      <c r="E39" s="81"/>
      <c r="F39" s="82">
        <v>3</v>
      </c>
      <c r="G39" s="82">
        <v>1136.32</v>
      </c>
      <c r="H39" s="83">
        <f t="shared" si="3"/>
        <v>3.40896</v>
      </c>
      <c r="I39" s="13">
        <v>0</v>
      </c>
      <c r="J39" s="24"/>
    </row>
    <row r="40" spans="1:14" ht="15.75" customHeight="1">
      <c r="A40" s="40"/>
      <c r="B40" s="48" t="s">
        <v>5</v>
      </c>
      <c r="C40" s="48"/>
      <c r="D40" s="48"/>
      <c r="E40" s="48"/>
      <c r="F40" s="13"/>
      <c r="G40" s="14"/>
      <c r="H40" s="14"/>
      <c r="I40" s="19"/>
      <c r="J40" s="24"/>
    </row>
    <row r="41" spans="1:14" ht="15.75" customHeight="1">
      <c r="A41" s="33">
        <v>8</v>
      </c>
      <c r="B41" s="79" t="s">
        <v>26</v>
      </c>
      <c r="C41" s="80" t="s">
        <v>32</v>
      </c>
      <c r="D41" s="79"/>
      <c r="E41" s="81"/>
      <c r="F41" s="82">
        <v>10</v>
      </c>
      <c r="G41" s="82">
        <v>1527.22</v>
      </c>
      <c r="H41" s="83">
        <f t="shared" ref="H41:H47" si="4">SUM(F41*G41/1000)</f>
        <v>15.272200000000002</v>
      </c>
      <c r="I41" s="13">
        <f>F41/6*G41</f>
        <v>2545.3666666666668</v>
      </c>
      <c r="J41" s="24"/>
    </row>
    <row r="42" spans="1:14" ht="15.75" customHeight="1">
      <c r="A42" s="33">
        <v>9</v>
      </c>
      <c r="B42" s="79" t="s">
        <v>68</v>
      </c>
      <c r="C42" s="80" t="s">
        <v>29</v>
      </c>
      <c r="D42" s="79" t="s">
        <v>137</v>
      </c>
      <c r="E42" s="82">
        <v>567.9</v>
      </c>
      <c r="F42" s="82">
        <f>SUM(E42*50/1000)</f>
        <v>28.395</v>
      </c>
      <c r="G42" s="82">
        <v>2102.71</v>
      </c>
      <c r="H42" s="83">
        <f t="shared" si="4"/>
        <v>59.706450449999998</v>
      </c>
      <c r="I42" s="13">
        <f>F42/6*G42</f>
        <v>9951.0750750000007</v>
      </c>
      <c r="J42" s="24"/>
    </row>
    <row r="43" spans="1:14" ht="15.75" hidden="1" customHeight="1">
      <c r="A43" s="33">
        <v>8</v>
      </c>
      <c r="B43" s="79" t="s">
        <v>95</v>
      </c>
      <c r="C43" s="80" t="s">
        <v>150</v>
      </c>
      <c r="D43" s="79" t="s">
        <v>67</v>
      </c>
      <c r="E43" s="81"/>
      <c r="F43" s="82">
        <v>66</v>
      </c>
      <c r="G43" s="82">
        <v>213.2</v>
      </c>
      <c r="H43" s="83">
        <f t="shared" si="4"/>
        <v>14.071199999999999</v>
      </c>
      <c r="I43" s="13">
        <v>0</v>
      </c>
      <c r="J43" s="24"/>
    </row>
    <row r="44" spans="1:14" ht="15.75" customHeight="1">
      <c r="A44" s="33">
        <v>10</v>
      </c>
      <c r="B44" s="79" t="s">
        <v>69</v>
      </c>
      <c r="C44" s="80" t="s">
        <v>29</v>
      </c>
      <c r="D44" s="79" t="s">
        <v>118</v>
      </c>
      <c r="E44" s="82">
        <v>108</v>
      </c>
      <c r="F44" s="82">
        <f>SUM(E44*155/1000)</f>
        <v>16.739999999999998</v>
      </c>
      <c r="G44" s="82">
        <v>350.75</v>
      </c>
      <c r="H44" s="83">
        <f t="shared" si="4"/>
        <v>5.871554999999999</v>
      </c>
      <c r="I44" s="13">
        <f>F44/6*G44</f>
        <v>978.59249999999986</v>
      </c>
      <c r="J44" s="24"/>
    </row>
    <row r="45" spans="1:14" ht="47.25" customHeight="1">
      <c r="A45" s="33">
        <v>11</v>
      </c>
      <c r="B45" s="79" t="s">
        <v>84</v>
      </c>
      <c r="C45" s="80" t="s">
        <v>114</v>
      </c>
      <c r="D45" s="79" t="s">
        <v>138</v>
      </c>
      <c r="E45" s="82">
        <v>108</v>
      </c>
      <c r="F45" s="82">
        <f>SUM(E45*20/1000)</f>
        <v>2.16</v>
      </c>
      <c r="G45" s="82">
        <v>5803.28</v>
      </c>
      <c r="H45" s="83">
        <f t="shared" si="4"/>
        <v>12.5350848</v>
      </c>
      <c r="I45" s="13">
        <f>F45/6*G45</f>
        <v>2089.1808000000001</v>
      </c>
      <c r="J45" s="24"/>
    </row>
    <row r="46" spans="1:14" ht="15.75" customHeight="1">
      <c r="A46" s="33">
        <v>12</v>
      </c>
      <c r="B46" s="79" t="s">
        <v>119</v>
      </c>
      <c r="C46" s="80" t="s">
        <v>114</v>
      </c>
      <c r="D46" s="79" t="s">
        <v>70</v>
      </c>
      <c r="E46" s="82">
        <v>108</v>
      </c>
      <c r="F46" s="82">
        <f>SUM(E46*45/1000)</f>
        <v>4.8600000000000003</v>
      </c>
      <c r="G46" s="82">
        <v>428.7</v>
      </c>
      <c r="H46" s="83">
        <f t="shared" si="4"/>
        <v>2.0834820000000001</v>
      </c>
      <c r="I46" s="13">
        <f>(F46/7.5*1.5)*G46</f>
        <v>416.69639999999998</v>
      </c>
      <c r="J46" s="24"/>
      <c r="L46" s="20"/>
      <c r="M46" s="21"/>
      <c r="N46" s="22"/>
    </row>
    <row r="47" spans="1:14" ht="15.75" customHeight="1">
      <c r="A47" s="33">
        <v>13</v>
      </c>
      <c r="B47" s="79" t="s">
        <v>71</v>
      </c>
      <c r="C47" s="80" t="s">
        <v>33</v>
      </c>
      <c r="D47" s="79"/>
      <c r="E47" s="81"/>
      <c r="F47" s="82">
        <v>0.9</v>
      </c>
      <c r="G47" s="82">
        <v>798</v>
      </c>
      <c r="H47" s="83">
        <f t="shared" si="4"/>
        <v>0.71820000000000006</v>
      </c>
      <c r="I47" s="13">
        <f>(F47/7.5*1.5)*G47</f>
        <v>143.64000000000001</v>
      </c>
      <c r="J47" s="24"/>
      <c r="L47" s="20"/>
      <c r="M47" s="21"/>
      <c r="N47" s="22"/>
    </row>
    <row r="48" spans="1:14" ht="15.75" hidden="1" customHeight="1">
      <c r="A48" s="183" t="s">
        <v>144</v>
      </c>
      <c r="B48" s="184"/>
      <c r="C48" s="184"/>
      <c r="D48" s="184"/>
      <c r="E48" s="184"/>
      <c r="F48" s="184"/>
      <c r="G48" s="184"/>
      <c r="H48" s="184"/>
      <c r="I48" s="185"/>
      <c r="J48" s="24"/>
      <c r="L48" s="20"/>
      <c r="M48" s="21"/>
      <c r="N48" s="22"/>
    </row>
    <row r="49" spans="1:14" ht="15.75" hidden="1" customHeight="1">
      <c r="A49" s="40">
        <v>15</v>
      </c>
      <c r="B49" s="79" t="s">
        <v>120</v>
      </c>
      <c r="C49" s="80" t="s">
        <v>114</v>
      </c>
      <c r="D49" s="79" t="s">
        <v>41</v>
      </c>
      <c r="E49" s="81">
        <v>1571.3</v>
      </c>
      <c r="F49" s="82">
        <f>SUM(E49*2/1000)</f>
        <v>3.1425999999999998</v>
      </c>
      <c r="G49" s="13">
        <v>849.49</v>
      </c>
      <c r="H49" s="83">
        <f t="shared" ref="H49:H57" si="5">SUM(F49*G49/1000)</f>
        <v>2.6696072740000001</v>
      </c>
      <c r="I49" s="13">
        <v>0</v>
      </c>
      <c r="J49" s="24"/>
      <c r="L49" s="20"/>
      <c r="M49" s="21"/>
      <c r="N49" s="22"/>
    </row>
    <row r="50" spans="1:14" ht="15.75" hidden="1" customHeight="1">
      <c r="A50" s="40"/>
      <c r="B50" s="79" t="s">
        <v>34</v>
      </c>
      <c r="C50" s="80" t="s">
        <v>114</v>
      </c>
      <c r="D50" s="79" t="s">
        <v>41</v>
      </c>
      <c r="E50" s="81">
        <v>92.8</v>
      </c>
      <c r="F50" s="82">
        <f>SUM(E50*2/1000)</f>
        <v>0.18559999999999999</v>
      </c>
      <c r="G50" s="13">
        <v>579.48</v>
      </c>
      <c r="H50" s="83">
        <f t="shared" si="5"/>
        <v>0.10755148799999999</v>
      </c>
      <c r="I50" s="13">
        <v>0</v>
      </c>
      <c r="J50" s="24"/>
      <c r="L50" s="20"/>
      <c r="M50" s="21"/>
      <c r="N50" s="22"/>
    </row>
    <row r="51" spans="1:14" ht="15.75" hidden="1" customHeight="1">
      <c r="A51" s="40">
        <v>16</v>
      </c>
      <c r="B51" s="79" t="s">
        <v>35</v>
      </c>
      <c r="C51" s="80" t="s">
        <v>114</v>
      </c>
      <c r="D51" s="79" t="s">
        <v>41</v>
      </c>
      <c r="E51" s="81">
        <v>4737.7</v>
      </c>
      <c r="F51" s="82">
        <f>SUM(E51*2/1000)</f>
        <v>9.4754000000000005</v>
      </c>
      <c r="G51" s="13">
        <v>579.48</v>
      </c>
      <c r="H51" s="83">
        <f t="shared" si="5"/>
        <v>5.4908047920000005</v>
      </c>
      <c r="I51" s="13">
        <v>0</v>
      </c>
      <c r="J51" s="24"/>
      <c r="L51" s="20"/>
      <c r="M51" s="21"/>
      <c r="N51" s="22"/>
    </row>
    <row r="52" spans="1:14" ht="15.75" hidden="1" customHeight="1">
      <c r="A52" s="40">
        <v>17</v>
      </c>
      <c r="B52" s="79" t="s">
        <v>36</v>
      </c>
      <c r="C52" s="80" t="s">
        <v>114</v>
      </c>
      <c r="D52" s="79" t="s">
        <v>41</v>
      </c>
      <c r="E52" s="81">
        <v>2811.99</v>
      </c>
      <c r="F52" s="82">
        <f>SUM(E52*2/1000)</f>
        <v>5.6239799999999995</v>
      </c>
      <c r="G52" s="13">
        <v>606.77</v>
      </c>
      <c r="H52" s="83">
        <f t="shared" si="5"/>
        <v>3.4124623445999998</v>
      </c>
      <c r="I52" s="13">
        <v>0</v>
      </c>
      <c r="J52" s="24"/>
      <c r="L52" s="20"/>
      <c r="M52" s="21"/>
      <c r="N52" s="22"/>
    </row>
    <row r="53" spans="1:14" ht="15.75" hidden="1" customHeight="1">
      <c r="A53" s="40">
        <v>12</v>
      </c>
      <c r="B53" s="79" t="s">
        <v>56</v>
      </c>
      <c r="C53" s="80" t="s">
        <v>114</v>
      </c>
      <c r="D53" s="79" t="s">
        <v>151</v>
      </c>
      <c r="E53" s="81">
        <v>1571.3</v>
      </c>
      <c r="F53" s="82">
        <f>SUM(E53*5/1000)</f>
        <v>7.8564999999999996</v>
      </c>
      <c r="G53" s="13">
        <v>1213.55</v>
      </c>
      <c r="H53" s="83">
        <f t="shared" si="5"/>
        <v>9.5342555749999995</v>
      </c>
      <c r="I53" s="13">
        <f>F53/5*G53</f>
        <v>1906.8511149999999</v>
      </c>
      <c r="J53" s="24"/>
      <c r="L53" s="20"/>
      <c r="M53" s="21"/>
      <c r="N53" s="22"/>
    </row>
    <row r="54" spans="1:14" ht="31.5" hidden="1" customHeight="1">
      <c r="A54" s="40">
        <v>13</v>
      </c>
      <c r="B54" s="79" t="s">
        <v>121</v>
      </c>
      <c r="C54" s="80" t="s">
        <v>114</v>
      </c>
      <c r="D54" s="79" t="s">
        <v>41</v>
      </c>
      <c r="E54" s="81">
        <v>1571.3</v>
      </c>
      <c r="F54" s="82">
        <f>SUM(E54*2/1000)</f>
        <v>3.1425999999999998</v>
      </c>
      <c r="G54" s="13">
        <v>1213.55</v>
      </c>
      <c r="H54" s="83">
        <f t="shared" si="5"/>
        <v>3.8137022300000001</v>
      </c>
      <c r="I54" s="13">
        <v>0</v>
      </c>
      <c r="J54" s="24"/>
      <c r="L54" s="20"/>
      <c r="M54" s="21"/>
      <c r="N54" s="22"/>
    </row>
    <row r="55" spans="1:14" ht="31.5" hidden="1" customHeight="1">
      <c r="A55" s="40">
        <v>14</v>
      </c>
      <c r="B55" s="79" t="s">
        <v>122</v>
      </c>
      <c r="C55" s="80" t="s">
        <v>37</v>
      </c>
      <c r="D55" s="79" t="s">
        <v>41</v>
      </c>
      <c r="E55" s="81">
        <v>40</v>
      </c>
      <c r="F55" s="82">
        <f>SUM(E55*2/100)</f>
        <v>0.8</v>
      </c>
      <c r="G55" s="13">
        <v>2730.49</v>
      </c>
      <c r="H55" s="83">
        <f t="shared" si="5"/>
        <v>2.1843919999999999</v>
      </c>
      <c r="I55" s="13">
        <v>0</v>
      </c>
      <c r="J55" s="24"/>
      <c r="L55" s="20"/>
      <c r="M55" s="21"/>
      <c r="N55" s="22"/>
    </row>
    <row r="56" spans="1:14" ht="15.75" hidden="1" customHeight="1">
      <c r="A56" s="40">
        <v>12</v>
      </c>
      <c r="B56" s="79" t="s">
        <v>38</v>
      </c>
      <c r="C56" s="80" t="s">
        <v>39</v>
      </c>
      <c r="D56" s="79" t="s">
        <v>41</v>
      </c>
      <c r="E56" s="81">
        <v>1</v>
      </c>
      <c r="F56" s="82">
        <v>0.02</v>
      </c>
      <c r="G56" s="13">
        <v>5652.13</v>
      </c>
      <c r="H56" s="83">
        <f t="shared" si="5"/>
        <v>0.11304260000000001</v>
      </c>
      <c r="I56" s="13">
        <f>F56/2*G56</f>
        <v>56.521300000000004</v>
      </c>
      <c r="J56" s="24"/>
      <c r="L56" s="20"/>
      <c r="M56" s="21"/>
      <c r="N56" s="22"/>
    </row>
    <row r="57" spans="1:14" ht="15.75" hidden="1" customHeight="1">
      <c r="A57" s="40">
        <v>13</v>
      </c>
      <c r="B57" s="79" t="s">
        <v>40</v>
      </c>
      <c r="C57" s="80" t="s">
        <v>123</v>
      </c>
      <c r="D57" s="79" t="s">
        <v>72</v>
      </c>
      <c r="E57" s="81">
        <v>238</v>
      </c>
      <c r="F57" s="82">
        <f>SUM(E57)*3</f>
        <v>714</v>
      </c>
      <c r="G57" s="13">
        <v>65.67</v>
      </c>
      <c r="H57" s="83">
        <f t="shared" si="5"/>
        <v>46.888380000000005</v>
      </c>
      <c r="I57" s="13">
        <f>E57*G57</f>
        <v>15629.460000000001</v>
      </c>
      <c r="J57" s="24"/>
      <c r="L57" s="20"/>
      <c r="M57" s="21"/>
      <c r="N57" s="22"/>
    </row>
    <row r="58" spans="1:14" ht="15.75" customHeight="1">
      <c r="A58" s="170" t="s">
        <v>161</v>
      </c>
      <c r="B58" s="171"/>
      <c r="C58" s="171"/>
      <c r="D58" s="171"/>
      <c r="E58" s="171"/>
      <c r="F58" s="171"/>
      <c r="G58" s="171"/>
      <c r="H58" s="171"/>
      <c r="I58" s="172"/>
      <c r="J58" s="24"/>
      <c r="L58" s="20"/>
      <c r="M58" s="21"/>
      <c r="N58" s="22"/>
    </row>
    <row r="59" spans="1:14" ht="15.75" customHeight="1">
      <c r="A59" s="52"/>
      <c r="B59" s="47" t="s">
        <v>42</v>
      </c>
      <c r="C59" s="17"/>
      <c r="D59" s="16"/>
      <c r="E59" s="16"/>
      <c r="F59" s="16"/>
      <c r="G59" s="30"/>
      <c r="H59" s="30"/>
      <c r="I59" s="19"/>
      <c r="J59" s="24"/>
      <c r="L59" s="20"/>
      <c r="M59" s="21"/>
      <c r="N59" s="22"/>
    </row>
    <row r="60" spans="1:14" ht="31.5" customHeight="1">
      <c r="A60" s="40">
        <v>14</v>
      </c>
      <c r="B60" s="79" t="s">
        <v>139</v>
      </c>
      <c r="C60" s="80" t="s">
        <v>104</v>
      </c>
      <c r="D60" s="79" t="s">
        <v>234</v>
      </c>
      <c r="E60" s="81">
        <v>48</v>
      </c>
      <c r="F60" s="82">
        <f>E60*6/100</f>
        <v>2.88</v>
      </c>
      <c r="G60" s="89">
        <v>1547.28</v>
      </c>
      <c r="H60" s="83">
        <f>F60*G60/1000</f>
        <v>4.4561663999999999</v>
      </c>
      <c r="I60" s="13">
        <f>G60*0.6</f>
        <v>928.36799999999994</v>
      </c>
      <c r="J60" s="24"/>
      <c r="L60" s="20"/>
      <c r="M60" s="21"/>
      <c r="N60" s="22"/>
    </row>
    <row r="61" spans="1:14" ht="15.75" customHeight="1">
      <c r="A61" s="40">
        <v>15</v>
      </c>
      <c r="B61" s="90" t="s">
        <v>96</v>
      </c>
      <c r="C61" s="91" t="s">
        <v>104</v>
      </c>
      <c r="D61" s="90" t="s">
        <v>140</v>
      </c>
      <c r="E61" s="92">
        <v>56</v>
      </c>
      <c r="F61" s="93">
        <f>E61*4/100</f>
        <v>2.2400000000000002</v>
      </c>
      <c r="G61" s="89">
        <v>1547.28</v>
      </c>
      <c r="H61" s="94">
        <f>F61*G61/1000</f>
        <v>3.4659072000000002</v>
      </c>
      <c r="I61" s="13">
        <f>F61/6*G61</f>
        <v>577.65120000000002</v>
      </c>
      <c r="J61" s="24"/>
      <c r="L61" s="20"/>
      <c r="M61" s="21"/>
      <c r="N61" s="22"/>
    </row>
    <row r="62" spans="1:14" ht="15.75" customHeight="1">
      <c r="A62" s="40">
        <v>16</v>
      </c>
      <c r="B62" s="90" t="s">
        <v>100</v>
      </c>
      <c r="C62" s="91" t="s">
        <v>101</v>
      </c>
      <c r="D62" s="90" t="s">
        <v>41</v>
      </c>
      <c r="E62" s="92">
        <v>8</v>
      </c>
      <c r="F62" s="93">
        <v>16</v>
      </c>
      <c r="G62" s="95">
        <v>180.78</v>
      </c>
      <c r="H62" s="94">
        <f>F62*G62/1000</f>
        <v>2.8924799999999999</v>
      </c>
      <c r="I62" s="13">
        <f>F62/2*G62</f>
        <v>1446.24</v>
      </c>
      <c r="J62" s="24"/>
      <c r="L62" s="20"/>
      <c r="M62" s="21"/>
      <c r="N62" s="22"/>
    </row>
    <row r="63" spans="1:14" ht="15.75" customHeight="1">
      <c r="A63" s="40"/>
      <c r="B63" s="69" t="s">
        <v>43</v>
      </c>
      <c r="C63" s="69"/>
      <c r="D63" s="69"/>
      <c r="E63" s="69"/>
      <c r="F63" s="69"/>
      <c r="G63" s="69"/>
      <c r="H63" s="69"/>
      <c r="I63" s="35"/>
      <c r="J63" s="24"/>
      <c r="L63" s="20"/>
      <c r="M63" s="21"/>
      <c r="N63" s="22"/>
    </row>
    <row r="64" spans="1:14" ht="15.75" customHeight="1">
      <c r="A64" s="40">
        <v>7</v>
      </c>
      <c r="B64" s="90" t="s">
        <v>97</v>
      </c>
      <c r="C64" s="91" t="s">
        <v>25</v>
      </c>
      <c r="D64" s="120" t="s">
        <v>152</v>
      </c>
      <c r="E64" s="122">
        <v>200</v>
      </c>
      <c r="F64" s="123">
        <f>E64*12</f>
        <v>2400</v>
      </c>
      <c r="G64" s="124">
        <v>1.2</v>
      </c>
      <c r="H64" s="125">
        <f>G64*F64/1000</f>
        <v>2.88</v>
      </c>
      <c r="I64" s="13">
        <f>F64/12*G64</f>
        <v>240</v>
      </c>
      <c r="J64" s="24"/>
      <c r="L64" s="20"/>
      <c r="M64" s="21"/>
      <c r="N64" s="22"/>
    </row>
    <row r="65" spans="1:22" ht="15.75" hidden="1" customHeight="1">
      <c r="A65" s="40">
        <v>14</v>
      </c>
      <c r="B65" s="90" t="s">
        <v>44</v>
      </c>
      <c r="C65" s="91" t="s">
        <v>25</v>
      </c>
      <c r="D65" s="90" t="s">
        <v>53</v>
      </c>
      <c r="E65" s="92">
        <v>1571.3</v>
      </c>
      <c r="F65" s="93">
        <f>E65/100</f>
        <v>15.712999999999999</v>
      </c>
      <c r="G65" s="97">
        <v>793.61</v>
      </c>
      <c r="H65" s="94">
        <f>G65*F65/1000</f>
        <v>12.469993929999999</v>
      </c>
      <c r="I65" s="13">
        <v>0</v>
      </c>
      <c r="J65" s="24"/>
      <c r="L65" s="20"/>
      <c r="M65" s="21"/>
      <c r="N65" s="22"/>
    </row>
    <row r="66" spans="1:22" ht="15.75" customHeight="1">
      <c r="A66" s="40"/>
      <c r="B66" s="69" t="s">
        <v>45</v>
      </c>
      <c r="C66" s="17"/>
      <c r="D66" s="37"/>
      <c r="E66" s="37"/>
      <c r="F66" s="16"/>
      <c r="G66" s="30"/>
      <c r="H66" s="30"/>
      <c r="I66" s="19"/>
      <c r="J66" s="24"/>
      <c r="L66" s="20"/>
      <c r="M66" s="21"/>
      <c r="N66" s="22"/>
    </row>
    <row r="67" spans="1:22" ht="15.75" customHeight="1">
      <c r="A67" s="40">
        <v>18</v>
      </c>
      <c r="B67" s="15" t="s">
        <v>46</v>
      </c>
      <c r="C67" s="17" t="s">
        <v>123</v>
      </c>
      <c r="D67" s="15" t="s">
        <v>67</v>
      </c>
      <c r="E67" s="19">
        <v>35</v>
      </c>
      <c r="F67" s="82">
        <v>35</v>
      </c>
      <c r="G67" s="13">
        <v>222.4</v>
      </c>
      <c r="H67" s="98">
        <f t="shared" ref="H67:H74" si="6">SUM(F67*G67/1000)</f>
        <v>7.7839999999999998</v>
      </c>
      <c r="I67" s="13">
        <f>G67</f>
        <v>222.4</v>
      </c>
      <c r="J67" s="24"/>
      <c r="L67" s="20"/>
    </row>
    <row r="68" spans="1:22" ht="15.75" hidden="1" customHeight="1">
      <c r="A68" s="30">
        <v>29</v>
      </c>
      <c r="B68" s="15" t="s">
        <v>47</v>
      </c>
      <c r="C68" s="17" t="s">
        <v>123</v>
      </c>
      <c r="D68" s="15" t="s">
        <v>67</v>
      </c>
      <c r="E68" s="19">
        <v>17</v>
      </c>
      <c r="F68" s="82">
        <v>20</v>
      </c>
      <c r="G68" s="13">
        <v>76.25</v>
      </c>
      <c r="H68" s="98">
        <f t="shared" si="6"/>
        <v>1.5249999999999999</v>
      </c>
      <c r="I68" s="13">
        <v>0</v>
      </c>
    </row>
    <row r="69" spans="1:22" ht="15.75" hidden="1" customHeight="1">
      <c r="A69" s="30">
        <v>8</v>
      </c>
      <c r="B69" s="15" t="s">
        <v>48</v>
      </c>
      <c r="C69" s="17" t="s">
        <v>125</v>
      </c>
      <c r="D69" s="15" t="s">
        <v>53</v>
      </c>
      <c r="E69" s="81">
        <v>22639</v>
      </c>
      <c r="F69" s="13">
        <f>SUM(E69/100)</f>
        <v>226.39</v>
      </c>
      <c r="G69" s="13">
        <v>212.15</v>
      </c>
      <c r="H69" s="98">
        <f t="shared" si="6"/>
        <v>48.0286385</v>
      </c>
      <c r="I69" s="13">
        <v>0</v>
      </c>
    </row>
    <row r="70" spans="1:22" ht="15.75" hidden="1" customHeight="1">
      <c r="A70" s="30">
        <v>9</v>
      </c>
      <c r="B70" s="15" t="s">
        <v>49</v>
      </c>
      <c r="C70" s="17" t="s">
        <v>126</v>
      </c>
      <c r="D70" s="15"/>
      <c r="E70" s="81">
        <v>22639</v>
      </c>
      <c r="F70" s="13">
        <f>SUM(E70/1000)</f>
        <v>22.638999999999999</v>
      </c>
      <c r="G70" s="13">
        <v>165.21</v>
      </c>
      <c r="H70" s="98">
        <f t="shared" si="6"/>
        <v>3.7401891900000002</v>
      </c>
      <c r="I70" s="13">
        <v>0</v>
      </c>
    </row>
    <row r="71" spans="1:22" ht="15.75" hidden="1" customHeight="1">
      <c r="A71" s="30">
        <v>10</v>
      </c>
      <c r="B71" s="15" t="s">
        <v>50</v>
      </c>
      <c r="C71" s="17" t="s">
        <v>77</v>
      </c>
      <c r="D71" s="15" t="s">
        <v>53</v>
      </c>
      <c r="E71" s="81">
        <v>3145</v>
      </c>
      <c r="F71" s="13">
        <f>SUM(E71/100)</f>
        <v>31.45</v>
      </c>
      <c r="G71" s="13">
        <v>2074.63</v>
      </c>
      <c r="H71" s="98">
        <f t="shared" si="6"/>
        <v>65.247113499999998</v>
      </c>
      <c r="I71" s="13">
        <v>0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9"/>
    </row>
    <row r="72" spans="1:22" ht="15.75" hidden="1" customHeight="1">
      <c r="A72" s="30">
        <v>11</v>
      </c>
      <c r="B72" s="99" t="s">
        <v>127</v>
      </c>
      <c r="C72" s="17" t="s">
        <v>33</v>
      </c>
      <c r="D72" s="15"/>
      <c r="E72" s="81">
        <v>20.28</v>
      </c>
      <c r="F72" s="13">
        <f>SUM(E72)</f>
        <v>20.28</v>
      </c>
      <c r="G72" s="13">
        <v>42.67</v>
      </c>
      <c r="H72" s="98">
        <f t="shared" si="6"/>
        <v>0.86534760000000011</v>
      </c>
      <c r="I72" s="13">
        <v>0</v>
      </c>
      <c r="J72" s="26"/>
      <c r="K72" s="26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2" ht="15.75" hidden="1" customHeight="1">
      <c r="A73" s="30">
        <v>12</v>
      </c>
      <c r="B73" s="99" t="s">
        <v>153</v>
      </c>
      <c r="C73" s="17" t="s">
        <v>33</v>
      </c>
      <c r="D73" s="15"/>
      <c r="E73" s="81">
        <v>20.28</v>
      </c>
      <c r="F73" s="13">
        <f>SUM(E73)</f>
        <v>20.28</v>
      </c>
      <c r="G73" s="13">
        <v>39.81</v>
      </c>
      <c r="H73" s="98">
        <f t="shared" si="6"/>
        <v>0.80734680000000014</v>
      </c>
      <c r="I73" s="13">
        <v>0</v>
      </c>
      <c r="J73" s="3"/>
      <c r="K73" s="3"/>
      <c r="L73" s="3"/>
      <c r="M73" s="3"/>
      <c r="N73" s="3"/>
      <c r="O73" s="3"/>
      <c r="P73" s="3"/>
      <c r="Q73" s="3"/>
      <c r="S73" s="3"/>
      <c r="T73" s="3"/>
      <c r="U73" s="3"/>
    </row>
    <row r="74" spans="1:22" ht="15.75" hidden="1" customHeight="1">
      <c r="A74" s="30">
        <v>13</v>
      </c>
      <c r="B74" s="15" t="s">
        <v>57</v>
      </c>
      <c r="C74" s="17" t="s">
        <v>58</v>
      </c>
      <c r="D74" s="15" t="s">
        <v>53</v>
      </c>
      <c r="E74" s="19">
        <v>15</v>
      </c>
      <c r="F74" s="82">
        <f>SUM(E74)</f>
        <v>15</v>
      </c>
      <c r="G74" s="13">
        <v>49.88</v>
      </c>
      <c r="H74" s="98">
        <f t="shared" si="6"/>
        <v>0.74820000000000009</v>
      </c>
      <c r="I74" s="13">
        <v>0</v>
      </c>
      <c r="J74" s="5"/>
      <c r="K74" s="5"/>
      <c r="L74" s="5"/>
      <c r="M74" s="5"/>
      <c r="N74" s="5"/>
      <c r="O74" s="5"/>
      <c r="P74" s="5"/>
      <c r="Q74" s="5"/>
      <c r="R74" s="161"/>
      <c r="S74" s="161"/>
      <c r="T74" s="161"/>
      <c r="U74" s="161"/>
    </row>
    <row r="75" spans="1:22" ht="15.75" hidden="1" customHeight="1">
      <c r="A75" s="30"/>
      <c r="B75" s="48" t="s">
        <v>73</v>
      </c>
      <c r="C75" s="48"/>
      <c r="D75" s="48"/>
      <c r="E75" s="48"/>
      <c r="F75" s="19"/>
      <c r="G75" s="30"/>
      <c r="H75" s="30"/>
      <c r="I75" s="19"/>
    </row>
    <row r="76" spans="1:22" ht="15.75" hidden="1" customHeight="1">
      <c r="A76" s="30">
        <v>15</v>
      </c>
      <c r="B76" s="15" t="s">
        <v>74</v>
      </c>
      <c r="C76" s="17" t="s">
        <v>31</v>
      </c>
      <c r="D76" s="15"/>
      <c r="E76" s="19">
        <v>5</v>
      </c>
      <c r="F76" s="100">
        <v>0.5</v>
      </c>
      <c r="G76" s="13">
        <v>501.62</v>
      </c>
      <c r="H76" s="98">
        <f>F76*G76/1000</f>
        <v>0.25080999999999998</v>
      </c>
      <c r="I76" s="13">
        <v>0</v>
      </c>
    </row>
    <row r="77" spans="1:22" ht="15.75" hidden="1" customHeight="1">
      <c r="A77" s="30"/>
      <c r="B77" s="15" t="s">
        <v>131</v>
      </c>
      <c r="C77" s="17" t="s">
        <v>30</v>
      </c>
      <c r="D77" s="15"/>
      <c r="E77" s="19">
        <v>1</v>
      </c>
      <c r="F77" s="13">
        <v>1</v>
      </c>
      <c r="G77" s="13">
        <v>120.26</v>
      </c>
      <c r="H77" s="98">
        <f>G77*F77/1000</f>
        <v>0.12026000000000001</v>
      </c>
      <c r="I77" s="13">
        <v>0</v>
      </c>
    </row>
    <row r="78" spans="1:22" ht="15.75" hidden="1" customHeight="1">
      <c r="A78" s="30"/>
      <c r="B78" s="15" t="s">
        <v>130</v>
      </c>
      <c r="C78" s="17" t="s">
        <v>30</v>
      </c>
      <c r="D78" s="15"/>
      <c r="E78" s="19">
        <v>1</v>
      </c>
      <c r="F78" s="100">
        <v>1</v>
      </c>
      <c r="G78" s="13">
        <v>99.85</v>
      </c>
      <c r="H78" s="98">
        <f>G78*F78/1000</f>
        <v>9.9849999999999994E-2</v>
      </c>
      <c r="I78" s="13">
        <v>0</v>
      </c>
    </row>
    <row r="79" spans="1:22" ht="15.75" hidden="1" customHeight="1">
      <c r="A79" s="30"/>
      <c r="B79" s="15" t="s">
        <v>88</v>
      </c>
      <c r="C79" s="17" t="s">
        <v>30</v>
      </c>
      <c r="D79" s="15"/>
      <c r="E79" s="19">
        <v>2</v>
      </c>
      <c r="F79" s="82">
        <f>SUM(E79)</f>
        <v>2</v>
      </c>
      <c r="G79" s="13">
        <v>358.51</v>
      </c>
      <c r="H79" s="98">
        <f t="shared" ref="H79" si="7">SUM(F79*G79/1000)</f>
        <v>0.71701999999999999</v>
      </c>
      <c r="I79" s="13">
        <v>0</v>
      </c>
    </row>
    <row r="80" spans="1:22" ht="15.75" hidden="1" customHeight="1">
      <c r="A80" s="30">
        <v>18</v>
      </c>
      <c r="B80" s="15" t="s">
        <v>75</v>
      </c>
      <c r="C80" s="17" t="s">
        <v>30</v>
      </c>
      <c r="D80" s="15"/>
      <c r="E80" s="19">
        <v>2</v>
      </c>
      <c r="F80" s="13">
        <v>2</v>
      </c>
      <c r="G80" s="13">
        <v>852.99</v>
      </c>
      <c r="H80" s="98">
        <f>F80*G80/1000</f>
        <v>1.7059800000000001</v>
      </c>
      <c r="I80" s="13">
        <f>G80</f>
        <v>852.99</v>
      </c>
    </row>
    <row r="81" spans="1:21" ht="15.75" hidden="1" customHeight="1">
      <c r="A81" s="30"/>
      <c r="B81" s="49" t="s">
        <v>76</v>
      </c>
      <c r="C81" s="38"/>
      <c r="D81" s="30"/>
      <c r="E81" s="30"/>
      <c r="F81" s="19"/>
      <c r="G81" s="36"/>
      <c r="H81" s="36"/>
      <c r="I81" s="19"/>
    </row>
    <row r="82" spans="1:21" ht="15.75" hidden="1" customHeight="1">
      <c r="A82" s="30">
        <v>39</v>
      </c>
      <c r="B82" s="51" t="s">
        <v>132</v>
      </c>
      <c r="C82" s="17" t="s">
        <v>77</v>
      </c>
      <c r="D82" s="15"/>
      <c r="E82" s="19"/>
      <c r="F82" s="13">
        <v>1.35</v>
      </c>
      <c r="G82" s="13">
        <v>2759.44</v>
      </c>
      <c r="H82" s="98">
        <f t="shared" ref="H82" si="8">SUM(F82*G82/1000)</f>
        <v>3.725244</v>
      </c>
      <c r="I82" s="13">
        <v>0</v>
      </c>
    </row>
    <row r="83" spans="1:21" ht="15.75" hidden="1" customHeight="1">
      <c r="A83" s="52"/>
      <c r="B83" s="69" t="s">
        <v>128</v>
      </c>
      <c r="C83" s="69"/>
      <c r="D83" s="69"/>
      <c r="E83" s="69"/>
      <c r="F83" s="69"/>
      <c r="G83" s="69"/>
      <c r="H83" s="69"/>
      <c r="I83" s="19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 ht="15.75" hidden="1" customHeight="1">
      <c r="A84" s="30">
        <v>19</v>
      </c>
      <c r="B84" s="79" t="s">
        <v>129</v>
      </c>
      <c r="C84" s="17"/>
      <c r="D84" s="15"/>
      <c r="E84" s="101"/>
      <c r="F84" s="13">
        <v>1</v>
      </c>
      <c r="G84" s="130">
        <v>26896</v>
      </c>
      <c r="H84" s="98">
        <f>G84*F84/1000</f>
        <v>26.896000000000001</v>
      </c>
      <c r="I84" s="13">
        <f>G84</f>
        <v>26896</v>
      </c>
    </row>
    <row r="85" spans="1:21" ht="15.75" customHeight="1">
      <c r="A85" s="170" t="s">
        <v>145</v>
      </c>
      <c r="B85" s="171"/>
      <c r="C85" s="171"/>
      <c r="D85" s="171"/>
      <c r="E85" s="171"/>
      <c r="F85" s="171"/>
      <c r="G85" s="171"/>
      <c r="H85" s="171"/>
      <c r="I85" s="172"/>
    </row>
    <row r="86" spans="1:21" ht="15.75" customHeight="1">
      <c r="A86" s="30">
        <v>20</v>
      </c>
      <c r="B86" s="79" t="s">
        <v>133</v>
      </c>
      <c r="C86" s="17" t="s">
        <v>54</v>
      </c>
      <c r="D86" s="103" t="s">
        <v>55</v>
      </c>
      <c r="E86" s="13">
        <v>5836.1</v>
      </c>
      <c r="F86" s="13">
        <f>SUM(E86*12)</f>
        <v>70033.200000000012</v>
      </c>
      <c r="G86" s="13">
        <v>2.1</v>
      </c>
      <c r="H86" s="98">
        <f>SUM(F86*G86/1000)</f>
        <v>147.06972000000002</v>
      </c>
      <c r="I86" s="13">
        <f>F86/12*G86</f>
        <v>12255.810000000003</v>
      </c>
    </row>
    <row r="87" spans="1:21" ht="31.5" customHeight="1">
      <c r="A87" s="30">
        <v>21</v>
      </c>
      <c r="B87" s="15" t="s">
        <v>78</v>
      </c>
      <c r="C87" s="17"/>
      <c r="D87" s="103" t="s">
        <v>55</v>
      </c>
      <c r="E87" s="81">
        <v>5836.1</v>
      </c>
      <c r="F87" s="13">
        <f>E87*12</f>
        <v>70033.200000000012</v>
      </c>
      <c r="G87" s="13">
        <v>1.63</v>
      </c>
      <c r="H87" s="98">
        <f>F87*G87/1000</f>
        <v>114.15411600000002</v>
      </c>
      <c r="I87" s="13">
        <f>F87/12*G87</f>
        <v>9512.8430000000008</v>
      </c>
    </row>
    <row r="88" spans="1:21" ht="15.75" customHeight="1">
      <c r="A88" s="52"/>
      <c r="B88" s="39" t="s">
        <v>81</v>
      </c>
      <c r="C88" s="40"/>
      <c r="D88" s="16"/>
      <c r="E88" s="16"/>
      <c r="F88" s="16"/>
      <c r="G88" s="19"/>
      <c r="H88" s="19"/>
      <c r="I88" s="32">
        <f>I87+I86+I67+I64+I62+I61+I60+I47+I46+I45+I44+I42+I41+I30+I29+I28+I27+I18+I17+I16</f>
        <v>83361.118822333345</v>
      </c>
    </row>
    <row r="89" spans="1:21" ht="15.75" customHeight="1">
      <c r="A89" s="173" t="s">
        <v>60</v>
      </c>
      <c r="B89" s="174"/>
      <c r="C89" s="174"/>
      <c r="D89" s="174"/>
      <c r="E89" s="174"/>
      <c r="F89" s="174"/>
      <c r="G89" s="174"/>
      <c r="H89" s="174"/>
      <c r="I89" s="175"/>
    </row>
    <row r="90" spans="1:21" ht="15.75" customHeight="1">
      <c r="A90" s="41">
        <v>22</v>
      </c>
      <c r="B90" s="55" t="s">
        <v>171</v>
      </c>
      <c r="C90" s="63" t="s">
        <v>172</v>
      </c>
      <c r="D90" s="15"/>
      <c r="E90" s="19"/>
      <c r="F90" s="13">
        <v>45</v>
      </c>
      <c r="G90" s="13">
        <v>134.12</v>
      </c>
      <c r="H90" s="98">
        <f t="shared" ref="H90:H92" si="9">G90*F90/1000</f>
        <v>6.035400000000001</v>
      </c>
      <c r="I90" s="126">
        <f>G90*15</f>
        <v>2011.8000000000002</v>
      </c>
    </row>
    <row r="91" spans="1:21" ht="31.5" customHeight="1">
      <c r="A91" s="30">
        <v>23</v>
      </c>
      <c r="B91" s="55" t="s">
        <v>158</v>
      </c>
      <c r="C91" s="63" t="s">
        <v>37</v>
      </c>
      <c r="D91" s="51"/>
      <c r="E91" s="13"/>
      <c r="F91" s="13">
        <v>0.02</v>
      </c>
      <c r="G91" s="13">
        <v>3724.37</v>
      </c>
      <c r="H91" s="98">
        <f t="shared" si="9"/>
        <v>7.4487399999999995E-2</v>
      </c>
      <c r="I91" s="126">
        <f>G91*0.01</f>
        <v>37.243699999999997</v>
      </c>
    </row>
    <row r="92" spans="1:21" ht="31.5" customHeight="1">
      <c r="A92" s="30">
        <v>24</v>
      </c>
      <c r="B92" s="55" t="s">
        <v>89</v>
      </c>
      <c r="C92" s="63" t="s">
        <v>92</v>
      </c>
      <c r="D92" s="37"/>
      <c r="E92" s="18"/>
      <c r="F92" s="36">
        <v>6</v>
      </c>
      <c r="G92" s="36">
        <v>613.44000000000005</v>
      </c>
      <c r="H92" s="102">
        <f t="shared" si="9"/>
        <v>3.6806400000000004</v>
      </c>
      <c r="I92" s="13">
        <f>G92</f>
        <v>613.44000000000005</v>
      </c>
    </row>
    <row r="93" spans="1:21" ht="15.75" customHeight="1">
      <c r="A93" s="30">
        <v>25</v>
      </c>
      <c r="B93" s="55" t="s">
        <v>83</v>
      </c>
      <c r="C93" s="63" t="s">
        <v>123</v>
      </c>
      <c r="D93" s="51"/>
      <c r="E93" s="36"/>
      <c r="F93" s="36">
        <v>1</v>
      </c>
      <c r="G93" s="36">
        <v>197.48</v>
      </c>
      <c r="H93" s="102">
        <f>G93*F93/1000</f>
        <v>0.19747999999999999</v>
      </c>
      <c r="I93" s="13">
        <f>G93*2</f>
        <v>394.96</v>
      </c>
    </row>
    <row r="94" spans="1:21" ht="15.75" customHeight="1">
      <c r="A94" s="30">
        <v>26</v>
      </c>
      <c r="B94" s="104" t="s">
        <v>207</v>
      </c>
      <c r="C94" s="30" t="s">
        <v>92</v>
      </c>
      <c r="D94" s="51"/>
      <c r="E94" s="36"/>
      <c r="F94" s="36"/>
      <c r="G94" s="36">
        <v>419.84</v>
      </c>
      <c r="H94" s="102"/>
      <c r="I94" s="13">
        <f>G94*1</f>
        <v>419.84</v>
      </c>
    </row>
    <row r="95" spans="1:21" ht="31.5" customHeight="1">
      <c r="A95" s="30">
        <v>27</v>
      </c>
      <c r="B95" s="55" t="s">
        <v>80</v>
      </c>
      <c r="C95" s="63" t="s">
        <v>123</v>
      </c>
      <c r="D95" s="51"/>
      <c r="E95" s="36"/>
      <c r="F95" s="36">
        <v>1</v>
      </c>
      <c r="G95" s="36">
        <v>86.69</v>
      </c>
      <c r="H95" s="102">
        <f>G95*F95/1000</f>
        <v>8.6690000000000003E-2</v>
      </c>
      <c r="I95" s="13">
        <f t="shared" ref="I95:I97" si="10">G95</f>
        <v>86.69</v>
      </c>
    </row>
    <row r="96" spans="1:21" ht="15.75" customHeight="1">
      <c r="A96" s="30">
        <v>28</v>
      </c>
      <c r="B96" s="107" t="s">
        <v>177</v>
      </c>
      <c r="C96" s="63" t="s">
        <v>52</v>
      </c>
      <c r="D96" s="37"/>
      <c r="E96" s="18"/>
      <c r="F96" s="36">
        <f>3.6/100</f>
        <v>3.6000000000000004E-2</v>
      </c>
      <c r="G96" s="36">
        <v>75161.47</v>
      </c>
      <c r="H96" s="102">
        <f>G96*F96/1000</f>
        <v>2.7058129200000005</v>
      </c>
      <c r="I96" s="13">
        <f>G96*F96</f>
        <v>2705.8129200000003</v>
      </c>
    </row>
    <row r="97" spans="1:9" ht="15.75" customHeight="1">
      <c r="A97" s="30">
        <v>29</v>
      </c>
      <c r="B97" s="131" t="s">
        <v>178</v>
      </c>
      <c r="C97" s="132" t="s">
        <v>123</v>
      </c>
      <c r="D97" s="37"/>
      <c r="E97" s="18"/>
      <c r="F97" s="133">
        <v>1</v>
      </c>
      <c r="G97" s="118">
        <v>89.59</v>
      </c>
      <c r="H97" s="102">
        <f t="shared" ref="H97" si="11">G97*F97/1000</f>
        <v>8.9590000000000003E-2</v>
      </c>
      <c r="I97" s="13">
        <f t="shared" si="10"/>
        <v>89.59</v>
      </c>
    </row>
    <row r="98" spans="1:9" ht="15.75" customHeight="1">
      <c r="A98" s="30">
        <v>30</v>
      </c>
      <c r="B98" s="105" t="s">
        <v>179</v>
      </c>
      <c r="C98" s="106" t="s">
        <v>91</v>
      </c>
      <c r="D98" s="117"/>
      <c r="E98" s="36"/>
      <c r="F98" s="36">
        <f>7.5/3</f>
        <v>2.5</v>
      </c>
      <c r="G98" s="36">
        <v>1165.73</v>
      </c>
      <c r="H98" s="102">
        <f>G98*F98/1000</f>
        <v>2.9143249999999998</v>
      </c>
      <c r="I98" s="13">
        <f>G98*F98</f>
        <v>2914.3249999999998</v>
      </c>
    </row>
    <row r="99" spans="1:9" ht="15.75" customHeight="1">
      <c r="A99" s="30"/>
      <c r="B99" s="45" t="s">
        <v>51</v>
      </c>
      <c r="C99" s="41"/>
      <c r="D99" s="53"/>
      <c r="E99" s="53"/>
      <c r="F99" s="41">
        <v>1</v>
      </c>
      <c r="G99" s="41"/>
      <c r="H99" s="41"/>
      <c r="I99" s="32">
        <f>SUM(I90:I98)</f>
        <v>9273.7016199999998</v>
      </c>
    </row>
    <row r="100" spans="1:9" ht="15.75" customHeight="1">
      <c r="A100" s="30"/>
      <c r="B100" s="51" t="s">
        <v>79</v>
      </c>
      <c r="C100" s="16"/>
      <c r="D100" s="16"/>
      <c r="E100" s="16"/>
      <c r="F100" s="42"/>
      <c r="G100" s="43"/>
      <c r="H100" s="43"/>
      <c r="I100" s="18">
        <v>0</v>
      </c>
    </row>
    <row r="101" spans="1:9" ht="15.75" customHeight="1">
      <c r="A101" s="54"/>
      <c r="B101" s="46" t="s">
        <v>147</v>
      </c>
      <c r="C101" s="34"/>
      <c r="D101" s="34"/>
      <c r="E101" s="34"/>
      <c r="F101" s="34"/>
      <c r="G101" s="34"/>
      <c r="H101" s="34"/>
      <c r="I101" s="44">
        <f>I88+I99</f>
        <v>92634.820442333352</v>
      </c>
    </row>
    <row r="102" spans="1:9" ht="15.75" customHeight="1">
      <c r="A102" s="167" t="s">
        <v>235</v>
      </c>
      <c r="B102" s="167"/>
      <c r="C102" s="167"/>
      <c r="D102" s="167"/>
      <c r="E102" s="167"/>
      <c r="F102" s="167"/>
      <c r="G102" s="167"/>
      <c r="H102" s="167"/>
      <c r="I102" s="167"/>
    </row>
    <row r="103" spans="1:9" ht="15.75" customHeight="1">
      <c r="A103" s="70"/>
      <c r="B103" s="168" t="s">
        <v>236</v>
      </c>
      <c r="C103" s="168"/>
      <c r="D103" s="168"/>
      <c r="E103" s="168"/>
      <c r="F103" s="168"/>
      <c r="G103" s="168"/>
      <c r="H103" s="77"/>
      <c r="I103" s="3"/>
    </row>
    <row r="104" spans="1:9" ht="15.75" customHeight="1">
      <c r="A104" s="65"/>
      <c r="B104" s="166" t="s">
        <v>6</v>
      </c>
      <c r="C104" s="166"/>
      <c r="D104" s="166"/>
      <c r="E104" s="166"/>
      <c r="F104" s="166"/>
      <c r="G104" s="166"/>
      <c r="H104" s="25"/>
      <c r="I104" s="5"/>
    </row>
    <row r="105" spans="1:9" ht="15.75" customHeight="1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 customHeight="1">
      <c r="A106" s="169" t="s">
        <v>7</v>
      </c>
      <c r="B106" s="169"/>
      <c r="C106" s="169"/>
      <c r="D106" s="169"/>
      <c r="E106" s="169"/>
      <c r="F106" s="169"/>
      <c r="G106" s="169"/>
      <c r="H106" s="169"/>
      <c r="I106" s="169"/>
    </row>
    <row r="107" spans="1:9" ht="15.75" customHeight="1">
      <c r="A107" s="169" t="s">
        <v>8</v>
      </c>
      <c r="B107" s="169"/>
      <c r="C107" s="169"/>
      <c r="D107" s="169"/>
      <c r="E107" s="169"/>
      <c r="F107" s="169"/>
      <c r="G107" s="169"/>
      <c r="H107" s="169"/>
      <c r="I107" s="169"/>
    </row>
    <row r="108" spans="1:9" ht="15.75" customHeight="1">
      <c r="A108" s="163" t="s">
        <v>61</v>
      </c>
      <c r="B108" s="163"/>
      <c r="C108" s="163"/>
      <c r="D108" s="163"/>
      <c r="E108" s="163"/>
      <c r="F108" s="163"/>
      <c r="G108" s="163"/>
      <c r="H108" s="163"/>
      <c r="I108" s="163"/>
    </row>
    <row r="109" spans="1:9" ht="15.75" customHeight="1">
      <c r="A109" s="11"/>
    </row>
    <row r="110" spans="1:9" ht="15.75" customHeight="1">
      <c r="A110" s="164" t="s">
        <v>9</v>
      </c>
      <c r="B110" s="164"/>
      <c r="C110" s="164"/>
      <c r="D110" s="164"/>
      <c r="E110" s="164"/>
      <c r="F110" s="164"/>
      <c r="G110" s="164"/>
      <c r="H110" s="164"/>
      <c r="I110" s="164"/>
    </row>
    <row r="111" spans="1:9" ht="15.75" customHeight="1">
      <c r="A111" s="4"/>
    </row>
    <row r="112" spans="1:9" ht="15.75" customHeight="1">
      <c r="B112" s="64" t="s">
        <v>10</v>
      </c>
      <c r="C112" s="165" t="s">
        <v>90</v>
      </c>
      <c r="D112" s="165"/>
      <c r="E112" s="165"/>
      <c r="F112" s="165"/>
      <c r="I112" s="67"/>
    </row>
    <row r="113" spans="1:9" ht="15.75" customHeight="1">
      <c r="A113" s="65"/>
      <c r="C113" s="166" t="s">
        <v>11</v>
      </c>
      <c r="D113" s="166"/>
      <c r="E113" s="166"/>
      <c r="F113" s="166"/>
      <c r="I113" s="66" t="s">
        <v>12</v>
      </c>
    </row>
    <row r="114" spans="1:9" ht="15.75" customHeight="1">
      <c r="A114" s="26"/>
      <c r="C114" s="12"/>
      <c r="D114" s="12"/>
      <c r="E114" s="12"/>
      <c r="G114" s="12"/>
      <c r="H114" s="12"/>
    </row>
    <row r="115" spans="1:9" ht="15.75" customHeight="1">
      <c r="B115" s="64" t="s">
        <v>13</v>
      </c>
      <c r="C115" s="160"/>
      <c r="D115" s="160"/>
      <c r="E115" s="160"/>
      <c r="F115" s="160"/>
      <c r="I115" s="67"/>
    </row>
    <row r="116" spans="1:9" ht="15.75" customHeight="1">
      <c r="A116" s="65"/>
      <c r="C116" s="161" t="s">
        <v>11</v>
      </c>
      <c r="D116" s="161"/>
      <c r="E116" s="161"/>
      <c r="F116" s="161"/>
      <c r="I116" s="66" t="s">
        <v>12</v>
      </c>
    </row>
    <row r="117" spans="1:9" ht="15.75" customHeight="1">
      <c r="A117" s="4" t="s">
        <v>14</v>
      </c>
    </row>
    <row r="118" spans="1:9" ht="15.75" customHeight="1">
      <c r="A118" s="162" t="s">
        <v>15</v>
      </c>
      <c r="B118" s="162"/>
      <c r="C118" s="162"/>
      <c r="D118" s="162"/>
      <c r="E118" s="162"/>
      <c r="F118" s="162"/>
      <c r="G118" s="162"/>
      <c r="H118" s="162"/>
      <c r="I118" s="162"/>
    </row>
    <row r="119" spans="1:9" ht="45" customHeight="1">
      <c r="A119" s="159" t="s">
        <v>16</v>
      </c>
      <c r="B119" s="159"/>
      <c r="C119" s="159"/>
      <c r="D119" s="159"/>
      <c r="E119" s="159"/>
      <c r="F119" s="159"/>
      <c r="G119" s="159"/>
      <c r="H119" s="159"/>
      <c r="I119" s="159"/>
    </row>
    <row r="120" spans="1:9" ht="30" customHeight="1">
      <c r="A120" s="159" t="s">
        <v>17</v>
      </c>
      <c r="B120" s="159"/>
      <c r="C120" s="159"/>
      <c r="D120" s="159"/>
      <c r="E120" s="159"/>
      <c r="F120" s="159"/>
      <c r="G120" s="159"/>
      <c r="H120" s="159"/>
      <c r="I120" s="159"/>
    </row>
    <row r="121" spans="1:9" ht="30" customHeight="1">
      <c r="A121" s="159" t="s">
        <v>21</v>
      </c>
      <c r="B121" s="159"/>
      <c r="C121" s="159"/>
      <c r="D121" s="159"/>
      <c r="E121" s="159"/>
      <c r="F121" s="159"/>
      <c r="G121" s="159"/>
      <c r="H121" s="159"/>
      <c r="I121" s="159"/>
    </row>
    <row r="122" spans="1:9" ht="15" customHeight="1">
      <c r="A122" s="159" t="s">
        <v>20</v>
      </c>
      <c r="B122" s="159"/>
      <c r="C122" s="159"/>
      <c r="D122" s="159"/>
      <c r="E122" s="159"/>
      <c r="F122" s="159"/>
      <c r="G122" s="159"/>
      <c r="H122" s="159"/>
      <c r="I122" s="159"/>
    </row>
  </sheetData>
  <autoFilter ref="I12:I69"/>
  <mergeCells count="29">
    <mergeCell ref="A118:I118"/>
    <mergeCell ref="A119:I119"/>
    <mergeCell ref="A120:I120"/>
    <mergeCell ref="A121:I121"/>
    <mergeCell ref="A122:I122"/>
    <mergeCell ref="R74:U74"/>
    <mergeCell ref="C116:F116"/>
    <mergeCell ref="A89:I89"/>
    <mergeCell ref="A102:I102"/>
    <mergeCell ref="B103:G103"/>
    <mergeCell ref="B104:G104"/>
    <mergeCell ref="A106:I106"/>
    <mergeCell ref="A107:I107"/>
    <mergeCell ref="A108:I108"/>
    <mergeCell ref="A110:I110"/>
    <mergeCell ref="C112:F112"/>
    <mergeCell ref="C113:F113"/>
    <mergeCell ref="C115:F115"/>
    <mergeCell ref="A85:I85"/>
    <mergeCell ref="A3:I3"/>
    <mergeCell ref="A4:I4"/>
    <mergeCell ref="A5:I5"/>
    <mergeCell ref="A8:I8"/>
    <mergeCell ref="A10:I10"/>
    <mergeCell ref="A14:I14"/>
    <mergeCell ref="A15:I15"/>
    <mergeCell ref="A31:I31"/>
    <mergeCell ref="A48:I48"/>
    <mergeCell ref="A58:I5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38"/>
  <sheetViews>
    <sheetView topLeftCell="A117" workbookViewId="0">
      <selection activeCell="K113" sqref="K11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86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76" t="s">
        <v>156</v>
      </c>
      <c r="B3" s="176"/>
      <c r="C3" s="176"/>
      <c r="D3" s="176"/>
      <c r="E3" s="176"/>
      <c r="F3" s="176"/>
      <c r="G3" s="176"/>
      <c r="H3" s="176"/>
      <c r="I3" s="176"/>
      <c r="J3" s="3"/>
      <c r="K3" s="3"/>
      <c r="L3" s="3"/>
    </row>
    <row r="4" spans="1:13" ht="31.5" customHeight="1">
      <c r="A4" s="177" t="s">
        <v>134</v>
      </c>
      <c r="B4" s="177"/>
      <c r="C4" s="177"/>
      <c r="D4" s="177"/>
      <c r="E4" s="177"/>
      <c r="F4" s="177"/>
      <c r="G4" s="177"/>
      <c r="H4" s="177"/>
      <c r="I4" s="177"/>
    </row>
    <row r="5" spans="1:13" ht="15.75" customHeight="1">
      <c r="A5" s="176" t="s">
        <v>182</v>
      </c>
      <c r="B5" s="180"/>
      <c r="C5" s="180"/>
      <c r="D5" s="180"/>
      <c r="E5" s="180"/>
      <c r="F5" s="180"/>
      <c r="G5" s="180"/>
      <c r="H5" s="180"/>
      <c r="I5" s="180"/>
      <c r="J5" s="2"/>
      <c r="K5" s="2"/>
      <c r="L5" s="2"/>
      <c r="M5" s="2"/>
    </row>
    <row r="6" spans="1:13" ht="15.75" customHeight="1">
      <c r="A6" s="2"/>
      <c r="B6" s="68"/>
      <c r="C6" s="68"/>
      <c r="D6" s="68"/>
      <c r="E6" s="68"/>
      <c r="F6" s="68"/>
      <c r="G6" s="68"/>
      <c r="H6" s="68"/>
      <c r="I6" s="31">
        <v>43220</v>
      </c>
      <c r="J6" s="2"/>
      <c r="K6" s="2"/>
      <c r="L6" s="2"/>
      <c r="M6" s="2"/>
    </row>
    <row r="7" spans="1:13" ht="15.75" customHeight="1">
      <c r="B7" s="64"/>
      <c r="C7" s="64"/>
      <c r="D7" s="64"/>
      <c r="E7" s="64"/>
      <c r="F7" s="3"/>
      <c r="G7" s="3"/>
      <c r="H7" s="3"/>
      <c r="J7" s="3"/>
      <c r="K7" s="3"/>
      <c r="L7" s="3"/>
      <c r="M7" s="3"/>
    </row>
    <row r="8" spans="1:13" ht="78.75" customHeight="1">
      <c r="A8" s="178" t="s">
        <v>142</v>
      </c>
      <c r="B8" s="178"/>
      <c r="C8" s="178"/>
      <c r="D8" s="178"/>
      <c r="E8" s="178"/>
      <c r="F8" s="178"/>
      <c r="G8" s="178"/>
      <c r="H8" s="178"/>
      <c r="I8" s="17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9" t="s">
        <v>143</v>
      </c>
      <c r="B10" s="179"/>
      <c r="C10" s="179"/>
      <c r="D10" s="179"/>
      <c r="E10" s="179"/>
      <c r="F10" s="179"/>
      <c r="G10" s="179"/>
      <c r="H10" s="179"/>
      <c r="I10" s="17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81" t="s">
        <v>59</v>
      </c>
      <c r="B14" s="181"/>
      <c r="C14" s="181"/>
      <c r="D14" s="181"/>
      <c r="E14" s="181"/>
      <c r="F14" s="181"/>
      <c r="G14" s="181"/>
      <c r="H14" s="181"/>
      <c r="I14" s="181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0">
        <v>1</v>
      </c>
      <c r="B16" s="79" t="s">
        <v>87</v>
      </c>
      <c r="C16" s="80" t="s">
        <v>104</v>
      </c>
      <c r="D16" s="79" t="s">
        <v>105</v>
      </c>
      <c r="E16" s="81">
        <v>164.38</v>
      </c>
      <c r="F16" s="82">
        <f>SUM(E16*156/100)</f>
        <v>256.43279999999999</v>
      </c>
      <c r="G16" s="82">
        <v>175.38</v>
      </c>
      <c r="H16" s="83">
        <f t="shared" ref="H16:H30" si="0">SUM(F16*G16/1000)</f>
        <v>44.973184463999999</v>
      </c>
      <c r="I16" s="13">
        <f>F16/12*G16</f>
        <v>3747.7653719999998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93</v>
      </c>
      <c r="C17" s="80" t="s">
        <v>104</v>
      </c>
      <c r="D17" s="79" t="s">
        <v>106</v>
      </c>
      <c r="E17" s="81">
        <v>657.52</v>
      </c>
      <c r="F17" s="82">
        <f>SUM(E17*104/100)</f>
        <v>683.82079999999996</v>
      </c>
      <c r="G17" s="82">
        <v>175.38</v>
      </c>
      <c r="H17" s="83">
        <f t="shared" si="0"/>
        <v>119.928491904</v>
      </c>
      <c r="I17" s="13">
        <f>F17/12*G17</f>
        <v>9994.0409919999984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94</v>
      </c>
      <c r="C18" s="80" t="s">
        <v>104</v>
      </c>
      <c r="D18" s="79" t="s">
        <v>107</v>
      </c>
      <c r="E18" s="81">
        <f>SUM(E16+E17)</f>
        <v>821.9</v>
      </c>
      <c r="F18" s="82">
        <f>SUM(E18*24/100)</f>
        <v>197.25599999999997</v>
      </c>
      <c r="G18" s="82">
        <v>504.5</v>
      </c>
      <c r="H18" s="83">
        <f t="shared" si="0"/>
        <v>99.515651999999989</v>
      </c>
      <c r="I18" s="13">
        <f>F18/12*G18</f>
        <v>8292.9709999999995</v>
      </c>
      <c r="J18" s="23"/>
      <c r="K18" s="8"/>
      <c r="L18" s="8"/>
      <c r="M18" s="8"/>
    </row>
    <row r="19" spans="1:13" ht="15.75" hidden="1" customHeight="1">
      <c r="A19" s="30"/>
      <c r="B19" s="79" t="s">
        <v>108</v>
      </c>
      <c r="C19" s="80" t="s">
        <v>109</v>
      </c>
      <c r="D19" s="79" t="s">
        <v>110</v>
      </c>
      <c r="E19" s="81">
        <v>51.2</v>
      </c>
      <c r="F19" s="82">
        <f>SUM(E19/10)</f>
        <v>5.12</v>
      </c>
      <c r="G19" s="82">
        <v>170.16</v>
      </c>
      <c r="H19" s="83">
        <f t="shared" si="0"/>
        <v>0.87121919999999997</v>
      </c>
      <c r="I19" s="13">
        <v>0</v>
      </c>
      <c r="J19" s="23"/>
      <c r="K19" s="8"/>
      <c r="L19" s="8"/>
      <c r="M19" s="8"/>
    </row>
    <row r="20" spans="1:13" ht="15.75" hidden="1" customHeight="1">
      <c r="A20" s="30">
        <v>4</v>
      </c>
      <c r="B20" s="79" t="s">
        <v>98</v>
      </c>
      <c r="C20" s="80" t="s">
        <v>104</v>
      </c>
      <c r="D20" s="79" t="s">
        <v>53</v>
      </c>
      <c r="E20" s="81">
        <v>58.4</v>
      </c>
      <c r="F20" s="82">
        <f>SUM(E20/100)</f>
        <v>0.58399999999999996</v>
      </c>
      <c r="G20" s="82">
        <v>217.88</v>
      </c>
      <c r="H20" s="83">
        <f t="shared" si="0"/>
        <v>0.12724191999999998</v>
      </c>
      <c r="I20" s="13">
        <v>0</v>
      </c>
      <c r="J20" s="23"/>
      <c r="K20" s="8"/>
      <c r="L20" s="8"/>
      <c r="M20" s="8"/>
    </row>
    <row r="21" spans="1:13" ht="15.75" hidden="1" customHeight="1">
      <c r="A21" s="30">
        <v>5</v>
      </c>
      <c r="B21" s="79" t="s">
        <v>99</v>
      </c>
      <c r="C21" s="80" t="s">
        <v>104</v>
      </c>
      <c r="D21" s="79" t="s">
        <v>53</v>
      </c>
      <c r="E21" s="81">
        <v>13.41</v>
      </c>
      <c r="F21" s="82">
        <f>SUM(E21/100)</f>
        <v>0.1341</v>
      </c>
      <c r="G21" s="82">
        <v>216.12</v>
      </c>
      <c r="H21" s="83">
        <f t="shared" si="0"/>
        <v>2.8981692E-2</v>
      </c>
      <c r="I21" s="13">
        <v>0</v>
      </c>
      <c r="J21" s="23"/>
      <c r="K21" s="8"/>
      <c r="L21" s="8"/>
      <c r="M21" s="8"/>
    </row>
    <row r="22" spans="1:13" ht="15.75" hidden="1" customHeight="1">
      <c r="A22" s="30"/>
      <c r="B22" s="79" t="s">
        <v>111</v>
      </c>
      <c r="C22" s="80" t="s">
        <v>52</v>
      </c>
      <c r="D22" s="79" t="s">
        <v>110</v>
      </c>
      <c r="E22" s="81">
        <v>1025.5999999999999</v>
      </c>
      <c r="F22" s="82">
        <f>SUM(E22/100)</f>
        <v>10.255999999999998</v>
      </c>
      <c r="G22" s="82">
        <v>269.26</v>
      </c>
      <c r="H22" s="83">
        <f t="shared" si="0"/>
        <v>2.7615305599999997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79" t="s">
        <v>112</v>
      </c>
      <c r="C23" s="80" t="s">
        <v>52</v>
      </c>
      <c r="D23" s="79" t="s">
        <v>110</v>
      </c>
      <c r="E23" s="84">
        <v>60.5</v>
      </c>
      <c r="F23" s="82">
        <f>SUM(E23/100)</f>
        <v>0.60499999999999998</v>
      </c>
      <c r="G23" s="82">
        <v>44.29</v>
      </c>
      <c r="H23" s="83">
        <f t="shared" si="0"/>
        <v>2.6795449999999998E-2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79" t="s">
        <v>102</v>
      </c>
      <c r="C24" s="80" t="s">
        <v>52</v>
      </c>
      <c r="D24" s="79" t="s">
        <v>53</v>
      </c>
      <c r="E24" s="85">
        <v>19.149999999999999</v>
      </c>
      <c r="F24" s="82">
        <f>E24/100</f>
        <v>0.19149999999999998</v>
      </c>
      <c r="G24" s="82">
        <v>389.42</v>
      </c>
      <c r="H24" s="83">
        <f>G24*F24/100</f>
        <v>0.74573929999999988</v>
      </c>
      <c r="I24" s="13">
        <v>0</v>
      </c>
      <c r="J24" s="23"/>
      <c r="K24" s="8"/>
      <c r="L24" s="8"/>
      <c r="M24" s="8"/>
    </row>
    <row r="25" spans="1:13" ht="15.75" hidden="1" customHeight="1">
      <c r="A25" s="40">
        <v>6</v>
      </c>
      <c r="B25" s="79" t="s">
        <v>135</v>
      </c>
      <c r="C25" s="80" t="s">
        <v>52</v>
      </c>
      <c r="D25" s="79" t="s">
        <v>53</v>
      </c>
      <c r="E25" s="86">
        <v>31.5</v>
      </c>
      <c r="F25" s="82">
        <f>E25/100</f>
        <v>0.315</v>
      </c>
      <c r="G25" s="82">
        <v>216.12</v>
      </c>
      <c r="H25" s="83">
        <f>G25*F25/1000</f>
        <v>6.8077799999999994E-2</v>
      </c>
      <c r="I25" s="13">
        <v>0</v>
      </c>
      <c r="J25" s="23"/>
      <c r="K25" s="8"/>
      <c r="L25" s="8"/>
      <c r="M25" s="8"/>
    </row>
    <row r="26" spans="1:13" ht="15.75" hidden="1" customHeight="1">
      <c r="A26" s="40"/>
      <c r="B26" s="79" t="s">
        <v>103</v>
      </c>
      <c r="C26" s="80" t="s">
        <v>52</v>
      </c>
      <c r="D26" s="79" t="s">
        <v>53</v>
      </c>
      <c r="E26" s="81">
        <v>37.5</v>
      </c>
      <c r="F26" s="82">
        <f>SUM(E26/100)</f>
        <v>0.375</v>
      </c>
      <c r="G26" s="82">
        <v>520.79999999999995</v>
      </c>
      <c r="H26" s="83">
        <f t="shared" si="0"/>
        <v>0.19529999999999997</v>
      </c>
      <c r="I26" s="13">
        <v>0</v>
      </c>
      <c r="J26" s="23"/>
      <c r="K26" s="8"/>
      <c r="L26" s="8"/>
      <c r="M26" s="8"/>
    </row>
    <row r="27" spans="1:13" ht="15.75" customHeight="1">
      <c r="A27" s="40"/>
      <c r="B27" s="131" t="s">
        <v>98</v>
      </c>
      <c r="C27" s="132" t="s">
        <v>104</v>
      </c>
      <c r="D27" s="131" t="s">
        <v>180</v>
      </c>
      <c r="E27" s="81"/>
      <c r="F27" s="82"/>
      <c r="G27" s="133">
        <v>193.55</v>
      </c>
      <c r="H27" s="83"/>
      <c r="I27" s="13">
        <f>G27/12*6.9</f>
        <v>111.29125000000001</v>
      </c>
      <c r="J27" s="23"/>
      <c r="K27" s="8"/>
      <c r="L27" s="8"/>
      <c r="M27" s="8"/>
    </row>
    <row r="28" spans="1:13" ht="15.75" customHeight="1">
      <c r="A28" s="40"/>
      <c r="B28" s="131" t="s">
        <v>99</v>
      </c>
      <c r="C28" s="132" t="s">
        <v>104</v>
      </c>
      <c r="D28" s="131" t="s">
        <v>181</v>
      </c>
      <c r="E28" s="81"/>
      <c r="F28" s="82"/>
      <c r="G28" s="133">
        <v>191.98</v>
      </c>
      <c r="H28" s="83"/>
      <c r="I28" s="13">
        <f>G28/12*1.61</f>
        <v>25.757316666666668</v>
      </c>
      <c r="J28" s="23"/>
      <c r="K28" s="8"/>
      <c r="L28" s="8"/>
      <c r="M28" s="8"/>
    </row>
    <row r="29" spans="1:13" ht="15.75" customHeight="1">
      <c r="A29" s="40">
        <v>4</v>
      </c>
      <c r="B29" s="79" t="s">
        <v>64</v>
      </c>
      <c r="C29" s="80" t="s">
        <v>33</v>
      </c>
      <c r="D29" s="79"/>
      <c r="E29" s="81">
        <v>0.1</v>
      </c>
      <c r="F29" s="82">
        <f>SUM(E29*365)</f>
        <v>36.5</v>
      </c>
      <c r="G29" s="82">
        <v>147.03</v>
      </c>
      <c r="H29" s="83">
        <f t="shared" si="0"/>
        <v>5.3665950000000002</v>
      </c>
      <c r="I29" s="13">
        <f>F29/12*G29</f>
        <v>447.21625</v>
      </c>
      <c r="J29" s="23"/>
      <c r="K29" s="8"/>
      <c r="L29" s="8"/>
      <c r="M29" s="8"/>
    </row>
    <row r="30" spans="1:13" ht="15.75" customHeight="1">
      <c r="A30" s="40">
        <v>5</v>
      </c>
      <c r="B30" s="87" t="s">
        <v>23</v>
      </c>
      <c r="C30" s="80" t="s">
        <v>24</v>
      </c>
      <c r="D30" s="79"/>
      <c r="E30" s="81">
        <v>5836.1</v>
      </c>
      <c r="F30" s="82">
        <f>SUM(E30*12)</f>
        <v>70033.200000000012</v>
      </c>
      <c r="G30" s="82">
        <v>3.33</v>
      </c>
      <c r="H30" s="83">
        <f t="shared" si="0"/>
        <v>233.21055600000005</v>
      </c>
      <c r="I30" s="13">
        <f>F30/12*G30</f>
        <v>19434.213000000003</v>
      </c>
      <c r="J30" s="23"/>
      <c r="K30" s="8"/>
      <c r="L30" s="8"/>
      <c r="M30" s="8"/>
    </row>
    <row r="31" spans="1:13" ht="15.75" customHeight="1">
      <c r="A31" s="182" t="s">
        <v>85</v>
      </c>
      <c r="B31" s="182"/>
      <c r="C31" s="182"/>
      <c r="D31" s="182"/>
      <c r="E31" s="182"/>
      <c r="F31" s="182"/>
      <c r="G31" s="182"/>
      <c r="H31" s="182"/>
      <c r="I31" s="182"/>
      <c r="J31" s="23"/>
      <c r="K31" s="8"/>
      <c r="L31" s="8"/>
      <c r="M31" s="8"/>
    </row>
    <row r="32" spans="1:13" ht="15.75" hidden="1" customHeight="1">
      <c r="A32" s="40"/>
      <c r="B32" s="50" t="s">
        <v>28</v>
      </c>
      <c r="C32" s="50"/>
      <c r="D32" s="50"/>
      <c r="E32" s="50"/>
      <c r="F32" s="50"/>
      <c r="G32" s="50"/>
      <c r="H32" s="50"/>
      <c r="I32" s="19"/>
      <c r="J32" s="23"/>
      <c r="K32" s="8"/>
      <c r="L32" s="8"/>
      <c r="M32" s="8"/>
    </row>
    <row r="33" spans="1:14" ht="15.75" hidden="1" customHeight="1">
      <c r="A33" s="40">
        <v>2</v>
      </c>
      <c r="B33" s="79" t="s">
        <v>113</v>
      </c>
      <c r="C33" s="80" t="s">
        <v>114</v>
      </c>
      <c r="D33" s="79" t="s">
        <v>115</v>
      </c>
      <c r="E33" s="82">
        <v>659.5</v>
      </c>
      <c r="F33" s="82">
        <f>SUM(E33*52/1000)</f>
        <v>34.293999999999997</v>
      </c>
      <c r="G33" s="82">
        <v>155.88999999999999</v>
      </c>
      <c r="H33" s="83">
        <f t="shared" ref="H33:H35" si="1">SUM(F33*G33/1000)</f>
        <v>5.346091659999999</v>
      </c>
      <c r="I33" s="13">
        <f>F33/6*G33</f>
        <v>891.01527666666652</v>
      </c>
      <c r="J33" s="23"/>
      <c r="K33" s="8"/>
      <c r="L33" s="8"/>
      <c r="M33" s="8"/>
    </row>
    <row r="34" spans="1:14" ht="31.5" hidden="1" customHeight="1">
      <c r="A34" s="40">
        <v>3</v>
      </c>
      <c r="B34" s="79" t="s">
        <v>149</v>
      </c>
      <c r="C34" s="80" t="s">
        <v>114</v>
      </c>
      <c r="D34" s="79" t="s">
        <v>116</v>
      </c>
      <c r="E34" s="82">
        <v>567.9</v>
      </c>
      <c r="F34" s="82">
        <f>SUM(E34*78/1000)</f>
        <v>44.296199999999999</v>
      </c>
      <c r="G34" s="82">
        <v>258.63</v>
      </c>
      <c r="H34" s="83">
        <f t="shared" si="1"/>
        <v>11.456326206</v>
      </c>
      <c r="I34" s="13">
        <f t="shared" ref="I34:I37" si="2">F34/6*G34</f>
        <v>1909.3877009999999</v>
      </c>
      <c r="J34" s="23"/>
      <c r="K34" s="8"/>
      <c r="L34" s="8"/>
      <c r="M34" s="8"/>
    </row>
    <row r="35" spans="1:14" ht="15.75" hidden="1" customHeight="1">
      <c r="A35" s="40">
        <v>4</v>
      </c>
      <c r="B35" s="79" t="s">
        <v>27</v>
      </c>
      <c r="C35" s="80" t="s">
        <v>114</v>
      </c>
      <c r="D35" s="79" t="s">
        <v>53</v>
      </c>
      <c r="E35" s="82">
        <v>659.5</v>
      </c>
      <c r="F35" s="82">
        <f>SUM(E35/1000)</f>
        <v>0.65949999999999998</v>
      </c>
      <c r="G35" s="82">
        <v>3020.33</v>
      </c>
      <c r="H35" s="83">
        <f t="shared" si="1"/>
        <v>1.9919076349999998</v>
      </c>
      <c r="I35" s="13">
        <f>F35*G35</f>
        <v>1991.9076349999998</v>
      </c>
      <c r="J35" s="23"/>
      <c r="K35" s="8"/>
      <c r="L35" s="8"/>
      <c r="M35" s="8"/>
    </row>
    <row r="36" spans="1:14" ht="15.75" hidden="1" customHeight="1">
      <c r="A36" s="40"/>
      <c r="B36" s="79" t="s">
        <v>136</v>
      </c>
      <c r="C36" s="80" t="s">
        <v>39</v>
      </c>
      <c r="D36" s="79" t="s">
        <v>148</v>
      </c>
      <c r="E36" s="82">
        <v>8</v>
      </c>
      <c r="F36" s="82">
        <v>12.4</v>
      </c>
      <c r="G36" s="82">
        <v>1302.02</v>
      </c>
      <c r="H36" s="83">
        <v>16.145</v>
      </c>
      <c r="I36" s="13">
        <f t="shared" si="2"/>
        <v>2690.8413333333338</v>
      </c>
      <c r="J36" s="23"/>
      <c r="K36" s="8"/>
      <c r="L36" s="8"/>
      <c r="M36" s="8"/>
    </row>
    <row r="37" spans="1:14" ht="15.75" hidden="1" customHeight="1">
      <c r="A37" s="40">
        <v>5</v>
      </c>
      <c r="B37" s="79" t="s">
        <v>117</v>
      </c>
      <c r="C37" s="80" t="s">
        <v>30</v>
      </c>
      <c r="D37" s="79" t="s">
        <v>63</v>
      </c>
      <c r="E37" s="88">
        <v>0.33</v>
      </c>
      <c r="F37" s="82">
        <v>51.666666666666664</v>
      </c>
      <c r="G37" s="82">
        <v>56.69</v>
      </c>
      <c r="H37" s="83">
        <f>SUM(G37*155/3/1000)</f>
        <v>2.9289833333333331</v>
      </c>
      <c r="I37" s="13">
        <f t="shared" si="2"/>
        <v>488.16388888888883</v>
      </c>
      <c r="J37" s="23"/>
      <c r="K37" s="8"/>
    </row>
    <row r="38" spans="1:14" ht="15.75" hidden="1" customHeight="1">
      <c r="A38" s="40">
        <v>4</v>
      </c>
      <c r="B38" s="79" t="s">
        <v>65</v>
      </c>
      <c r="C38" s="80" t="s">
        <v>33</v>
      </c>
      <c r="D38" s="79" t="s">
        <v>67</v>
      </c>
      <c r="E38" s="81"/>
      <c r="F38" s="82">
        <v>4</v>
      </c>
      <c r="G38" s="82">
        <v>191.32</v>
      </c>
      <c r="H38" s="83">
        <f t="shared" ref="H38:H39" si="3">SUM(F38*G38/1000)</f>
        <v>0.76527999999999996</v>
      </c>
      <c r="I38" s="13">
        <v>0</v>
      </c>
      <c r="J38" s="24"/>
    </row>
    <row r="39" spans="1:14" ht="15.75" hidden="1" customHeight="1">
      <c r="A39" s="30">
        <v>8</v>
      </c>
      <c r="B39" s="79" t="s">
        <v>66</v>
      </c>
      <c r="C39" s="80" t="s">
        <v>32</v>
      </c>
      <c r="D39" s="79" t="s">
        <v>67</v>
      </c>
      <c r="E39" s="81"/>
      <c r="F39" s="82">
        <v>3</v>
      </c>
      <c r="G39" s="82">
        <v>1136.32</v>
      </c>
      <c r="H39" s="83">
        <f t="shared" si="3"/>
        <v>3.40896</v>
      </c>
      <c r="I39" s="13">
        <v>0</v>
      </c>
      <c r="J39" s="24"/>
    </row>
    <row r="40" spans="1:14" ht="15.75" customHeight="1">
      <c r="A40" s="40"/>
      <c r="B40" s="48" t="s">
        <v>5</v>
      </c>
      <c r="C40" s="48"/>
      <c r="D40" s="48"/>
      <c r="E40" s="48"/>
      <c r="F40" s="13"/>
      <c r="G40" s="14"/>
      <c r="H40" s="14"/>
      <c r="I40" s="19"/>
      <c r="J40" s="24"/>
    </row>
    <row r="41" spans="1:14" ht="15.75" customHeight="1">
      <c r="A41" s="33">
        <v>6</v>
      </c>
      <c r="B41" s="79" t="s">
        <v>26</v>
      </c>
      <c r="C41" s="80" t="s">
        <v>32</v>
      </c>
      <c r="D41" s="79"/>
      <c r="E41" s="81"/>
      <c r="F41" s="82">
        <v>10</v>
      </c>
      <c r="G41" s="82">
        <v>1527.22</v>
      </c>
      <c r="H41" s="83">
        <f t="shared" ref="H41:H47" si="4">SUM(F41*G41/1000)</f>
        <v>15.272200000000002</v>
      </c>
      <c r="I41" s="13">
        <f>F41/6*G41</f>
        <v>2545.3666666666668</v>
      </c>
      <c r="J41" s="24"/>
    </row>
    <row r="42" spans="1:14" ht="15.75" customHeight="1">
      <c r="A42" s="33">
        <v>7</v>
      </c>
      <c r="B42" s="79" t="s">
        <v>68</v>
      </c>
      <c r="C42" s="80" t="s">
        <v>29</v>
      </c>
      <c r="D42" s="79" t="s">
        <v>137</v>
      </c>
      <c r="E42" s="82">
        <v>567.9</v>
      </c>
      <c r="F42" s="82">
        <f>SUM(E42*50/1000)</f>
        <v>28.395</v>
      </c>
      <c r="G42" s="82">
        <v>2102.71</v>
      </c>
      <c r="H42" s="83">
        <f t="shared" si="4"/>
        <v>59.706450449999998</v>
      </c>
      <c r="I42" s="13">
        <f>F42/6*G42</f>
        <v>9951.0750750000007</v>
      </c>
      <c r="J42" s="24"/>
    </row>
    <row r="43" spans="1:14" ht="15.75" hidden="1" customHeight="1">
      <c r="A43" s="33">
        <v>8</v>
      </c>
      <c r="B43" s="79" t="s">
        <v>95</v>
      </c>
      <c r="C43" s="80" t="s">
        <v>150</v>
      </c>
      <c r="D43" s="79" t="s">
        <v>67</v>
      </c>
      <c r="E43" s="81"/>
      <c r="F43" s="82">
        <v>66</v>
      </c>
      <c r="G43" s="82">
        <v>213.2</v>
      </c>
      <c r="H43" s="83">
        <f t="shared" si="4"/>
        <v>14.071199999999999</v>
      </c>
      <c r="I43" s="13">
        <v>0</v>
      </c>
      <c r="J43" s="24"/>
    </row>
    <row r="44" spans="1:14" ht="15.75" customHeight="1">
      <c r="A44" s="33">
        <v>8</v>
      </c>
      <c r="B44" s="79" t="s">
        <v>69</v>
      </c>
      <c r="C44" s="80" t="s">
        <v>29</v>
      </c>
      <c r="D44" s="79" t="s">
        <v>118</v>
      </c>
      <c r="E44" s="82">
        <v>108</v>
      </c>
      <c r="F44" s="82">
        <f>SUM(E44*155/1000)</f>
        <v>16.739999999999998</v>
      </c>
      <c r="G44" s="82">
        <v>350.75</v>
      </c>
      <c r="H44" s="83">
        <f t="shared" si="4"/>
        <v>5.871554999999999</v>
      </c>
      <c r="I44" s="13">
        <f>F44/6*G44</f>
        <v>978.59249999999986</v>
      </c>
      <c r="J44" s="24"/>
    </row>
    <row r="45" spans="1:14" ht="43.5" customHeight="1">
      <c r="A45" s="33">
        <v>9</v>
      </c>
      <c r="B45" s="79" t="s">
        <v>84</v>
      </c>
      <c r="C45" s="80" t="s">
        <v>114</v>
      </c>
      <c r="D45" s="79" t="s">
        <v>138</v>
      </c>
      <c r="E45" s="82">
        <v>108</v>
      </c>
      <c r="F45" s="82">
        <f>SUM(E45*20/1000)</f>
        <v>2.16</v>
      </c>
      <c r="G45" s="82">
        <v>5803.28</v>
      </c>
      <c r="H45" s="83">
        <f t="shared" si="4"/>
        <v>12.5350848</v>
      </c>
      <c r="I45" s="13">
        <f>F45/6*G45</f>
        <v>2089.1808000000001</v>
      </c>
      <c r="J45" s="24"/>
    </row>
    <row r="46" spans="1:14" ht="15.75" customHeight="1">
      <c r="A46" s="33">
        <v>10</v>
      </c>
      <c r="B46" s="79" t="s">
        <v>119</v>
      </c>
      <c r="C46" s="80" t="s">
        <v>114</v>
      </c>
      <c r="D46" s="79" t="s">
        <v>70</v>
      </c>
      <c r="E46" s="82">
        <v>108</v>
      </c>
      <c r="F46" s="82">
        <f>SUM(E46*45/1000)</f>
        <v>4.8600000000000003</v>
      </c>
      <c r="G46" s="82">
        <v>428.7</v>
      </c>
      <c r="H46" s="83">
        <f t="shared" si="4"/>
        <v>2.0834820000000001</v>
      </c>
      <c r="I46" s="13">
        <f>F46/7.5*1.5*G46</f>
        <v>416.69639999999998</v>
      </c>
      <c r="J46" s="24"/>
      <c r="L46" s="20"/>
      <c r="M46" s="21"/>
      <c r="N46" s="22"/>
    </row>
    <row r="47" spans="1:14" ht="15.75" customHeight="1">
      <c r="A47" s="33">
        <v>11</v>
      </c>
      <c r="B47" s="79" t="s">
        <v>71</v>
      </c>
      <c r="C47" s="80" t="s">
        <v>33</v>
      </c>
      <c r="D47" s="79"/>
      <c r="E47" s="81"/>
      <c r="F47" s="82">
        <v>0.9</v>
      </c>
      <c r="G47" s="82">
        <v>798</v>
      </c>
      <c r="H47" s="83">
        <f t="shared" si="4"/>
        <v>0.71820000000000006</v>
      </c>
      <c r="I47" s="13">
        <f>F47/7.5*1.5*G47</f>
        <v>143.64000000000001</v>
      </c>
      <c r="J47" s="24"/>
      <c r="L47" s="20"/>
      <c r="M47" s="21"/>
      <c r="N47" s="22"/>
    </row>
    <row r="48" spans="1:14" ht="15.75" customHeight="1">
      <c r="A48" s="183" t="s">
        <v>208</v>
      </c>
      <c r="B48" s="184"/>
      <c r="C48" s="184"/>
      <c r="D48" s="184"/>
      <c r="E48" s="184"/>
      <c r="F48" s="184"/>
      <c r="G48" s="184"/>
      <c r="H48" s="184"/>
      <c r="I48" s="185"/>
      <c r="J48" s="24"/>
      <c r="L48" s="20"/>
      <c r="M48" s="21"/>
      <c r="N48" s="22"/>
    </row>
    <row r="49" spans="1:14" ht="24.75" hidden="1" customHeight="1">
      <c r="A49" s="40">
        <v>15</v>
      </c>
      <c r="B49" s="79" t="s">
        <v>120</v>
      </c>
      <c r="C49" s="80" t="s">
        <v>114</v>
      </c>
      <c r="D49" s="79" t="s">
        <v>41</v>
      </c>
      <c r="E49" s="81">
        <v>1571.3</v>
      </c>
      <c r="F49" s="82">
        <f>SUM(E49*2/1000)</f>
        <v>3.1425999999999998</v>
      </c>
      <c r="G49" s="13">
        <v>849.49</v>
      </c>
      <c r="H49" s="83">
        <f t="shared" ref="H49:H57" si="5">SUM(F49*G49/1000)</f>
        <v>2.6696072740000001</v>
      </c>
      <c r="I49" s="13">
        <v>0</v>
      </c>
      <c r="J49" s="24"/>
      <c r="L49" s="20"/>
      <c r="M49" s="21"/>
      <c r="N49" s="22"/>
    </row>
    <row r="50" spans="1:14" ht="21.75" hidden="1" customHeight="1">
      <c r="A50" s="40"/>
      <c r="B50" s="79" t="s">
        <v>34</v>
      </c>
      <c r="C50" s="80" t="s">
        <v>114</v>
      </c>
      <c r="D50" s="79" t="s">
        <v>41</v>
      </c>
      <c r="E50" s="81">
        <v>92.8</v>
      </c>
      <c r="F50" s="82">
        <f>SUM(E50*2/1000)</f>
        <v>0.18559999999999999</v>
      </c>
      <c r="G50" s="13">
        <v>579.48</v>
      </c>
      <c r="H50" s="83">
        <f t="shared" si="5"/>
        <v>0.10755148799999999</v>
      </c>
      <c r="I50" s="13">
        <v>0</v>
      </c>
      <c r="J50" s="24"/>
      <c r="L50" s="20"/>
      <c r="M50" s="21"/>
      <c r="N50" s="22"/>
    </row>
    <row r="51" spans="1:14" ht="21.75" hidden="1" customHeight="1">
      <c r="A51" s="40">
        <v>16</v>
      </c>
      <c r="B51" s="79" t="s">
        <v>35</v>
      </c>
      <c r="C51" s="80" t="s">
        <v>114</v>
      </c>
      <c r="D51" s="79" t="s">
        <v>41</v>
      </c>
      <c r="E51" s="81">
        <v>4737.7</v>
      </c>
      <c r="F51" s="82">
        <f>SUM(E51*2/1000)</f>
        <v>9.4754000000000005</v>
      </c>
      <c r="G51" s="13">
        <v>579.48</v>
      </c>
      <c r="H51" s="83">
        <f t="shared" si="5"/>
        <v>5.4908047920000005</v>
      </c>
      <c r="I51" s="13">
        <v>0</v>
      </c>
      <c r="J51" s="24"/>
      <c r="L51" s="20"/>
      <c r="M51" s="21"/>
      <c r="N51" s="22"/>
    </row>
    <row r="52" spans="1:14" ht="18.75" hidden="1" customHeight="1">
      <c r="A52" s="40">
        <v>17</v>
      </c>
      <c r="B52" s="79" t="s">
        <v>36</v>
      </c>
      <c r="C52" s="80" t="s">
        <v>114</v>
      </c>
      <c r="D52" s="79" t="s">
        <v>41</v>
      </c>
      <c r="E52" s="81">
        <v>2811.99</v>
      </c>
      <c r="F52" s="82">
        <f>SUM(E52*2/1000)</f>
        <v>5.6239799999999995</v>
      </c>
      <c r="G52" s="13">
        <v>606.77</v>
      </c>
      <c r="H52" s="83">
        <f t="shared" si="5"/>
        <v>3.4124623445999998</v>
      </c>
      <c r="I52" s="13">
        <v>0</v>
      </c>
      <c r="J52" s="24"/>
      <c r="L52" s="20"/>
      <c r="M52" s="21"/>
      <c r="N52" s="22"/>
    </row>
    <row r="53" spans="1:14" ht="18.75" hidden="1" customHeight="1">
      <c r="A53" s="40">
        <v>12</v>
      </c>
      <c r="B53" s="79" t="s">
        <v>56</v>
      </c>
      <c r="C53" s="80" t="s">
        <v>114</v>
      </c>
      <c r="D53" s="79" t="s">
        <v>151</v>
      </c>
      <c r="E53" s="81">
        <v>1571.3</v>
      </c>
      <c r="F53" s="82">
        <f>SUM(E53*5/1000)</f>
        <v>7.8564999999999996</v>
      </c>
      <c r="G53" s="13">
        <v>1213.55</v>
      </c>
      <c r="H53" s="83">
        <f t="shared" si="5"/>
        <v>9.5342555749999995</v>
      </c>
      <c r="I53" s="13">
        <f>F53/5*G53</f>
        <v>1906.8511149999999</v>
      </c>
      <c r="J53" s="24"/>
      <c r="L53" s="20"/>
      <c r="M53" s="21"/>
      <c r="N53" s="22"/>
    </row>
    <row r="54" spans="1:14" ht="33" customHeight="1">
      <c r="A54" s="40">
        <v>12</v>
      </c>
      <c r="B54" s="131" t="s">
        <v>121</v>
      </c>
      <c r="C54" s="132" t="s">
        <v>114</v>
      </c>
      <c r="D54" s="131" t="s">
        <v>41</v>
      </c>
      <c r="E54" s="81"/>
      <c r="F54" s="82"/>
      <c r="G54" s="36">
        <v>1213.55</v>
      </c>
      <c r="H54" s="83"/>
      <c r="I54" s="13">
        <f>1.5713*G54</f>
        <v>1906.8511149999999</v>
      </c>
      <c r="J54" s="24"/>
      <c r="L54" s="20"/>
      <c r="M54" s="21"/>
      <c r="N54" s="22"/>
    </row>
    <row r="55" spans="1:14" ht="30.75" customHeight="1">
      <c r="A55" s="40">
        <v>13</v>
      </c>
      <c r="B55" s="131" t="s">
        <v>122</v>
      </c>
      <c r="C55" s="132" t="s">
        <v>37</v>
      </c>
      <c r="D55" s="131" t="s">
        <v>41</v>
      </c>
      <c r="E55" s="81"/>
      <c r="F55" s="82"/>
      <c r="G55" s="36">
        <v>2730.49</v>
      </c>
      <c r="H55" s="83"/>
      <c r="I55" s="13">
        <f>0.8/2*G55</f>
        <v>1092.1959999999999</v>
      </c>
      <c r="J55" s="24"/>
      <c r="L55" s="20"/>
      <c r="M55" s="21"/>
      <c r="N55" s="22"/>
    </row>
    <row r="56" spans="1:14" ht="21.75" customHeight="1">
      <c r="A56" s="40">
        <v>14</v>
      </c>
      <c r="B56" s="79" t="s">
        <v>38</v>
      </c>
      <c r="C56" s="80" t="s">
        <v>39</v>
      </c>
      <c r="D56" s="79" t="s">
        <v>41</v>
      </c>
      <c r="E56" s="81">
        <v>1</v>
      </c>
      <c r="F56" s="82">
        <v>0.02</v>
      </c>
      <c r="G56" s="13">
        <v>5652.13</v>
      </c>
      <c r="H56" s="83">
        <f t="shared" si="5"/>
        <v>0.11304260000000001</v>
      </c>
      <c r="I56" s="13">
        <f>F56/2*G56</f>
        <v>56.521300000000004</v>
      </c>
      <c r="J56" s="24"/>
      <c r="L56" s="20"/>
      <c r="M56" s="21"/>
      <c r="N56" s="22"/>
    </row>
    <row r="57" spans="1:14" ht="27" hidden="1" customHeight="1">
      <c r="A57" s="40">
        <v>13</v>
      </c>
      <c r="B57" s="79" t="s">
        <v>40</v>
      </c>
      <c r="C57" s="80" t="s">
        <v>123</v>
      </c>
      <c r="D57" s="79" t="s">
        <v>72</v>
      </c>
      <c r="E57" s="81">
        <v>238</v>
      </c>
      <c r="F57" s="82">
        <f>SUM(E57)*3</f>
        <v>714</v>
      </c>
      <c r="G57" s="13">
        <v>65.67</v>
      </c>
      <c r="H57" s="83">
        <f t="shared" si="5"/>
        <v>46.888380000000005</v>
      </c>
      <c r="I57" s="13">
        <f>E57*G57</f>
        <v>15629.460000000001</v>
      </c>
      <c r="J57" s="24"/>
      <c r="L57" s="20"/>
      <c r="M57" s="21"/>
      <c r="N57" s="22"/>
    </row>
    <row r="58" spans="1:14" ht="15.75" customHeight="1">
      <c r="A58" s="52"/>
      <c r="B58" s="47" t="s">
        <v>42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0">
        <v>15</v>
      </c>
      <c r="B59" s="79" t="s">
        <v>139</v>
      </c>
      <c r="C59" s="80" t="s">
        <v>104</v>
      </c>
      <c r="D59" s="79" t="s">
        <v>124</v>
      </c>
      <c r="E59" s="81">
        <v>48</v>
      </c>
      <c r="F59" s="82">
        <f>E59*6/100</f>
        <v>2.88</v>
      </c>
      <c r="G59" s="89">
        <v>1547.28</v>
      </c>
      <c r="H59" s="83">
        <f>F59*G59/1000</f>
        <v>4.4561663999999999</v>
      </c>
      <c r="I59" s="13">
        <f>F59/6*G59</f>
        <v>742.69439999999997</v>
      </c>
      <c r="J59" s="24"/>
      <c r="L59" s="20"/>
      <c r="M59" s="21"/>
      <c r="N59" s="22"/>
    </row>
    <row r="60" spans="1:14" ht="15.75" customHeight="1">
      <c r="A60" s="40">
        <v>15</v>
      </c>
      <c r="B60" s="90" t="s">
        <v>96</v>
      </c>
      <c r="C60" s="91" t="s">
        <v>104</v>
      </c>
      <c r="D60" s="90" t="s">
        <v>140</v>
      </c>
      <c r="E60" s="92">
        <v>56</v>
      </c>
      <c r="F60" s="93">
        <f>E60*4/100</f>
        <v>2.2400000000000002</v>
      </c>
      <c r="G60" s="89">
        <v>1547.28</v>
      </c>
      <c r="H60" s="94">
        <f>F60*G60/1000</f>
        <v>3.4659072000000002</v>
      </c>
      <c r="I60" s="13">
        <f>F60/6*G60</f>
        <v>577.65120000000002</v>
      </c>
      <c r="J60" s="24"/>
      <c r="L60" s="20"/>
      <c r="M60" s="21"/>
      <c r="N60" s="22"/>
    </row>
    <row r="61" spans="1:14" ht="15.75" hidden="1" customHeight="1">
      <c r="A61" s="40">
        <v>15</v>
      </c>
      <c r="B61" s="90" t="s">
        <v>100</v>
      </c>
      <c r="C61" s="91" t="s">
        <v>101</v>
      </c>
      <c r="D61" s="90" t="s">
        <v>41</v>
      </c>
      <c r="E61" s="92">
        <v>8</v>
      </c>
      <c r="F61" s="93">
        <v>16</v>
      </c>
      <c r="G61" s="95">
        <v>180.78</v>
      </c>
      <c r="H61" s="94">
        <f>F61*G61/1000</f>
        <v>2.8924799999999999</v>
      </c>
      <c r="I61" s="13">
        <f>F61/2*G61</f>
        <v>1446.24</v>
      </c>
      <c r="J61" s="24"/>
      <c r="L61" s="20"/>
      <c r="M61" s="21"/>
      <c r="N61" s="22"/>
    </row>
    <row r="62" spans="1:14" ht="15.75" customHeight="1">
      <c r="A62" s="40"/>
      <c r="B62" s="69" t="s">
        <v>43</v>
      </c>
      <c r="C62" s="69"/>
      <c r="D62" s="69"/>
      <c r="E62" s="69"/>
      <c r="F62" s="69"/>
      <c r="G62" s="69"/>
      <c r="H62" s="69"/>
      <c r="I62" s="35"/>
      <c r="J62" s="24"/>
      <c r="L62" s="20"/>
      <c r="M62" s="21"/>
      <c r="N62" s="22"/>
    </row>
    <row r="63" spans="1:14" ht="17.25" customHeight="1">
      <c r="A63" s="40">
        <v>16</v>
      </c>
      <c r="B63" s="90" t="s">
        <v>97</v>
      </c>
      <c r="C63" s="91" t="s">
        <v>25</v>
      </c>
      <c r="D63" s="90" t="s">
        <v>152</v>
      </c>
      <c r="E63" s="92">
        <v>331.5</v>
      </c>
      <c r="F63" s="93">
        <f>E63*12</f>
        <v>3978</v>
      </c>
      <c r="G63" s="96">
        <v>1.2</v>
      </c>
      <c r="H63" s="94">
        <f>G63*F63/1000</f>
        <v>4.7735999999999992</v>
      </c>
      <c r="I63" s="13">
        <f>2400/12*G63</f>
        <v>240</v>
      </c>
      <c r="J63" s="24"/>
      <c r="L63" s="20"/>
      <c r="M63" s="21"/>
      <c r="N63" s="22"/>
    </row>
    <row r="64" spans="1:14" ht="15.75" hidden="1" customHeight="1">
      <c r="A64" s="40">
        <v>14</v>
      </c>
      <c r="B64" s="90" t="s">
        <v>44</v>
      </c>
      <c r="C64" s="91" t="s">
        <v>25</v>
      </c>
      <c r="D64" s="90" t="s">
        <v>53</v>
      </c>
      <c r="E64" s="92">
        <v>1571.3</v>
      </c>
      <c r="F64" s="93">
        <f>E64/100</f>
        <v>15.712999999999999</v>
      </c>
      <c r="G64" s="97">
        <v>793.61</v>
      </c>
      <c r="H64" s="94">
        <f>G64*F64/1000</f>
        <v>12.469993929999999</v>
      </c>
      <c r="I64" s="13">
        <v>0</v>
      </c>
      <c r="J64" s="24"/>
      <c r="L64" s="20"/>
      <c r="M64" s="21"/>
      <c r="N64" s="22"/>
    </row>
    <row r="65" spans="1:22" ht="15.75" hidden="1" customHeight="1">
      <c r="A65" s="40"/>
      <c r="B65" s="69" t="s">
        <v>45</v>
      </c>
      <c r="C65" s="17"/>
      <c r="D65" s="37"/>
      <c r="E65" s="37"/>
      <c r="F65" s="16"/>
      <c r="G65" s="30"/>
      <c r="H65" s="30"/>
      <c r="I65" s="19"/>
      <c r="J65" s="24"/>
      <c r="L65" s="20"/>
      <c r="M65" s="21"/>
      <c r="N65" s="22"/>
    </row>
    <row r="66" spans="1:22" ht="15.75" hidden="1" customHeight="1">
      <c r="A66" s="40">
        <v>17</v>
      </c>
      <c r="B66" s="15" t="s">
        <v>46</v>
      </c>
      <c r="C66" s="17" t="s">
        <v>123</v>
      </c>
      <c r="D66" s="15" t="s">
        <v>67</v>
      </c>
      <c r="E66" s="19">
        <v>35</v>
      </c>
      <c r="F66" s="82">
        <v>35</v>
      </c>
      <c r="G66" s="13">
        <v>222.4</v>
      </c>
      <c r="H66" s="98">
        <f t="shared" ref="H66:H73" si="6">SUM(F66*G66/1000)</f>
        <v>7.7839999999999998</v>
      </c>
      <c r="I66" s="13">
        <f>G66*2</f>
        <v>444.8</v>
      </c>
      <c r="J66" s="24"/>
      <c r="L66" s="20"/>
    </row>
    <row r="67" spans="1:22" ht="15.75" hidden="1" customHeight="1">
      <c r="A67" s="30">
        <v>29</v>
      </c>
      <c r="B67" s="15" t="s">
        <v>47</v>
      </c>
      <c r="C67" s="17" t="s">
        <v>123</v>
      </c>
      <c r="D67" s="15" t="s">
        <v>67</v>
      </c>
      <c r="E67" s="19">
        <v>17</v>
      </c>
      <c r="F67" s="82">
        <v>20</v>
      </c>
      <c r="G67" s="13">
        <v>76.25</v>
      </c>
      <c r="H67" s="98">
        <f t="shared" si="6"/>
        <v>1.5249999999999999</v>
      </c>
      <c r="I67" s="13">
        <v>0</v>
      </c>
    </row>
    <row r="68" spans="1:22" ht="15.75" hidden="1" customHeight="1">
      <c r="A68" s="30">
        <v>8</v>
      </c>
      <c r="B68" s="15" t="s">
        <v>48</v>
      </c>
      <c r="C68" s="17" t="s">
        <v>125</v>
      </c>
      <c r="D68" s="15" t="s">
        <v>53</v>
      </c>
      <c r="E68" s="81">
        <v>22639</v>
      </c>
      <c r="F68" s="13">
        <f>SUM(E68/100)</f>
        <v>226.39</v>
      </c>
      <c r="G68" s="13">
        <v>212.15</v>
      </c>
      <c r="H68" s="98">
        <f t="shared" si="6"/>
        <v>48.0286385</v>
      </c>
      <c r="I68" s="13">
        <v>0</v>
      </c>
    </row>
    <row r="69" spans="1:22" ht="15.75" hidden="1" customHeight="1">
      <c r="A69" s="30">
        <v>9</v>
      </c>
      <c r="B69" s="15" t="s">
        <v>49</v>
      </c>
      <c r="C69" s="17" t="s">
        <v>126</v>
      </c>
      <c r="D69" s="15"/>
      <c r="E69" s="81">
        <v>22639</v>
      </c>
      <c r="F69" s="13">
        <f>SUM(E69/1000)</f>
        <v>22.638999999999999</v>
      </c>
      <c r="G69" s="13">
        <v>165.21</v>
      </c>
      <c r="H69" s="98">
        <f t="shared" si="6"/>
        <v>3.7401891900000002</v>
      </c>
      <c r="I69" s="13">
        <v>0</v>
      </c>
    </row>
    <row r="70" spans="1:22" ht="15.75" hidden="1" customHeight="1">
      <c r="A70" s="30">
        <v>10</v>
      </c>
      <c r="B70" s="15" t="s">
        <v>50</v>
      </c>
      <c r="C70" s="17" t="s">
        <v>77</v>
      </c>
      <c r="D70" s="15" t="s">
        <v>53</v>
      </c>
      <c r="E70" s="81">
        <v>3145</v>
      </c>
      <c r="F70" s="13">
        <f>SUM(E70/100)</f>
        <v>31.45</v>
      </c>
      <c r="G70" s="13">
        <v>2074.63</v>
      </c>
      <c r="H70" s="98">
        <f t="shared" si="6"/>
        <v>65.247113499999998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9"/>
    </row>
    <row r="71" spans="1:22" ht="15.75" hidden="1" customHeight="1">
      <c r="A71" s="30">
        <v>11</v>
      </c>
      <c r="B71" s="99" t="s">
        <v>127</v>
      </c>
      <c r="C71" s="17" t="s">
        <v>33</v>
      </c>
      <c r="D71" s="15"/>
      <c r="E71" s="81">
        <v>20.28</v>
      </c>
      <c r="F71" s="13">
        <f>SUM(E71)</f>
        <v>20.28</v>
      </c>
      <c r="G71" s="13">
        <v>42.67</v>
      </c>
      <c r="H71" s="98">
        <f t="shared" si="6"/>
        <v>0.86534760000000011</v>
      </c>
      <c r="I71" s="13">
        <v>0</v>
      </c>
      <c r="J71" s="26"/>
      <c r="K71" s="26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2" ht="15.75" hidden="1" customHeight="1">
      <c r="A72" s="30">
        <v>12</v>
      </c>
      <c r="B72" s="99" t="s">
        <v>153</v>
      </c>
      <c r="C72" s="17" t="s">
        <v>33</v>
      </c>
      <c r="D72" s="15"/>
      <c r="E72" s="81">
        <v>20.28</v>
      </c>
      <c r="F72" s="13">
        <f>SUM(E72)</f>
        <v>20.28</v>
      </c>
      <c r="G72" s="13">
        <v>39.81</v>
      </c>
      <c r="H72" s="98">
        <f t="shared" si="6"/>
        <v>0.80734680000000014</v>
      </c>
      <c r="I72" s="13">
        <v>0</v>
      </c>
      <c r="J72" s="3"/>
      <c r="K72" s="3"/>
      <c r="L72" s="3"/>
      <c r="M72" s="3"/>
      <c r="N72" s="3"/>
      <c r="O72" s="3"/>
      <c r="P72" s="3"/>
      <c r="Q72" s="3"/>
      <c r="S72" s="3"/>
      <c r="T72" s="3"/>
      <c r="U72" s="3"/>
    </row>
    <row r="73" spans="1:22" ht="15.75" hidden="1" customHeight="1">
      <c r="A73" s="30">
        <v>13</v>
      </c>
      <c r="B73" s="15" t="s">
        <v>57</v>
      </c>
      <c r="C73" s="17" t="s">
        <v>58</v>
      </c>
      <c r="D73" s="15" t="s">
        <v>53</v>
      </c>
      <c r="E73" s="19">
        <v>15</v>
      </c>
      <c r="F73" s="82">
        <f>SUM(E73)</f>
        <v>15</v>
      </c>
      <c r="G73" s="13">
        <v>49.88</v>
      </c>
      <c r="H73" s="98">
        <f t="shared" si="6"/>
        <v>0.74820000000000009</v>
      </c>
      <c r="I73" s="13">
        <v>0</v>
      </c>
      <c r="J73" s="5"/>
      <c r="K73" s="5"/>
      <c r="L73" s="5"/>
      <c r="M73" s="5"/>
      <c r="N73" s="5"/>
      <c r="O73" s="5"/>
      <c r="P73" s="5"/>
      <c r="Q73" s="5"/>
      <c r="R73" s="161"/>
      <c r="S73" s="161"/>
      <c r="T73" s="161"/>
      <c r="U73" s="161"/>
    </row>
    <row r="74" spans="1:22" ht="15.75" hidden="1" customHeight="1">
      <c r="A74" s="30"/>
      <c r="B74" s="48" t="s">
        <v>73</v>
      </c>
      <c r="C74" s="48"/>
      <c r="D74" s="48"/>
      <c r="E74" s="48"/>
      <c r="F74" s="19"/>
      <c r="G74" s="30"/>
      <c r="H74" s="30"/>
      <c r="I74" s="19"/>
    </row>
    <row r="75" spans="1:22" ht="15.75" hidden="1" customHeight="1">
      <c r="A75" s="30">
        <v>15</v>
      </c>
      <c r="B75" s="15" t="s">
        <v>74</v>
      </c>
      <c r="C75" s="17" t="s">
        <v>31</v>
      </c>
      <c r="D75" s="15"/>
      <c r="E75" s="19">
        <v>5</v>
      </c>
      <c r="F75" s="100">
        <v>0.5</v>
      </c>
      <c r="G75" s="13">
        <v>501.62</v>
      </c>
      <c r="H75" s="98">
        <f>F75*G75/1000</f>
        <v>0.25080999999999998</v>
      </c>
      <c r="I75" s="13">
        <v>0</v>
      </c>
    </row>
    <row r="76" spans="1:22" ht="15.75" hidden="1" customHeight="1">
      <c r="A76" s="30"/>
      <c r="B76" s="15" t="s">
        <v>131</v>
      </c>
      <c r="C76" s="17" t="s">
        <v>30</v>
      </c>
      <c r="D76" s="15"/>
      <c r="E76" s="19">
        <v>1</v>
      </c>
      <c r="F76" s="13">
        <v>1</v>
      </c>
      <c r="G76" s="13">
        <v>120.26</v>
      </c>
      <c r="H76" s="98">
        <f>G76*F76/1000</f>
        <v>0.12026000000000001</v>
      </c>
      <c r="I76" s="13">
        <v>0</v>
      </c>
    </row>
    <row r="77" spans="1:22" ht="15.75" hidden="1" customHeight="1">
      <c r="A77" s="30"/>
      <c r="B77" s="15" t="s">
        <v>130</v>
      </c>
      <c r="C77" s="17" t="s">
        <v>30</v>
      </c>
      <c r="D77" s="15"/>
      <c r="E77" s="19">
        <v>1</v>
      </c>
      <c r="F77" s="100">
        <v>1</v>
      </c>
      <c r="G77" s="13">
        <v>99.85</v>
      </c>
      <c r="H77" s="98">
        <f>G77*F77/1000</f>
        <v>9.9849999999999994E-2</v>
      </c>
      <c r="I77" s="13">
        <v>0</v>
      </c>
    </row>
    <row r="78" spans="1:22" ht="15.75" hidden="1" customHeight="1">
      <c r="A78" s="30"/>
      <c r="B78" s="15" t="s">
        <v>88</v>
      </c>
      <c r="C78" s="17" t="s">
        <v>30</v>
      </c>
      <c r="D78" s="15"/>
      <c r="E78" s="19">
        <v>2</v>
      </c>
      <c r="F78" s="82">
        <f>SUM(E78)</f>
        <v>2</v>
      </c>
      <c r="G78" s="13">
        <v>358.51</v>
      </c>
      <c r="H78" s="98">
        <f t="shared" ref="H78" si="7">SUM(F78*G78/1000)</f>
        <v>0.71701999999999999</v>
      </c>
      <c r="I78" s="13">
        <v>0</v>
      </c>
    </row>
    <row r="79" spans="1:22" ht="15.75" hidden="1" customHeight="1">
      <c r="A79" s="30">
        <v>18</v>
      </c>
      <c r="B79" s="15" t="s">
        <v>75</v>
      </c>
      <c r="C79" s="17" t="s">
        <v>30</v>
      </c>
      <c r="D79" s="15"/>
      <c r="E79" s="19">
        <v>2</v>
      </c>
      <c r="F79" s="13">
        <v>2</v>
      </c>
      <c r="G79" s="13">
        <v>852.99</v>
      </c>
      <c r="H79" s="98">
        <f>F79*G79/1000</f>
        <v>1.7059800000000001</v>
      </c>
      <c r="I79" s="13">
        <f>G79</f>
        <v>852.99</v>
      </c>
    </row>
    <row r="80" spans="1:22" ht="15.75" hidden="1" customHeight="1">
      <c r="A80" s="30"/>
      <c r="B80" s="49" t="s">
        <v>76</v>
      </c>
      <c r="C80" s="38"/>
      <c r="D80" s="30"/>
      <c r="E80" s="30"/>
      <c r="F80" s="19"/>
      <c r="G80" s="36"/>
      <c r="H80" s="36"/>
      <c r="I80" s="19"/>
    </row>
    <row r="81" spans="1:21" ht="15.75" hidden="1" customHeight="1">
      <c r="A81" s="30">
        <v>39</v>
      </c>
      <c r="B81" s="51" t="s">
        <v>132</v>
      </c>
      <c r="C81" s="17" t="s">
        <v>77</v>
      </c>
      <c r="D81" s="15"/>
      <c r="E81" s="19"/>
      <c r="F81" s="13">
        <v>1.35</v>
      </c>
      <c r="G81" s="13">
        <v>2759.44</v>
      </c>
      <c r="H81" s="98">
        <f t="shared" ref="H81" si="8">SUM(F81*G81/1000)</f>
        <v>3.725244</v>
      </c>
      <c r="I81" s="13">
        <v>0</v>
      </c>
    </row>
    <row r="82" spans="1:21" ht="15.75" hidden="1" customHeight="1">
      <c r="A82" s="52"/>
      <c r="B82" s="69" t="s">
        <v>128</v>
      </c>
      <c r="C82" s="69"/>
      <c r="D82" s="69"/>
      <c r="E82" s="69"/>
      <c r="F82" s="69"/>
      <c r="G82" s="69"/>
      <c r="H82" s="69"/>
      <c r="I82" s="19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:21" ht="21" hidden="1" customHeight="1">
      <c r="A83" s="143">
        <v>36</v>
      </c>
      <c r="B83" s="90" t="s">
        <v>129</v>
      </c>
      <c r="C83" s="144"/>
      <c r="D83" s="145"/>
      <c r="E83" s="101"/>
      <c r="F83" s="126">
        <v>1</v>
      </c>
      <c r="G83" s="126">
        <v>25286</v>
      </c>
      <c r="H83" s="146">
        <f>G83*F83/1000</f>
        <v>25.286000000000001</v>
      </c>
      <c r="I83" s="126">
        <v>0</v>
      </c>
    </row>
    <row r="84" spans="1:21" ht="21" customHeight="1">
      <c r="A84" s="30"/>
      <c r="B84" s="147" t="s">
        <v>45</v>
      </c>
      <c r="C84" s="121"/>
      <c r="D84" s="120"/>
      <c r="E84" s="19"/>
      <c r="F84" s="13"/>
      <c r="G84" s="13"/>
      <c r="H84" s="13"/>
      <c r="I84" s="13"/>
    </row>
    <row r="85" spans="1:21" ht="18.75" customHeight="1">
      <c r="A85" s="30">
        <v>17</v>
      </c>
      <c r="B85" s="148" t="s">
        <v>46</v>
      </c>
      <c r="C85" s="38" t="s">
        <v>123</v>
      </c>
      <c r="D85" s="37" t="s">
        <v>206</v>
      </c>
      <c r="E85" s="19"/>
      <c r="F85" s="13"/>
      <c r="G85" s="137">
        <v>222.4</v>
      </c>
      <c r="H85" s="13"/>
      <c r="I85" s="13">
        <f>G85*1</f>
        <v>222.4</v>
      </c>
    </row>
    <row r="86" spans="1:21" ht="15.75" customHeight="1">
      <c r="A86" s="170" t="s">
        <v>146</v>
      </c>
      <c r="B86" s="171"/>
      <c r="C86" s="171"/>
      <c r="D86" s="171"/>
      <c r="E86" s="171"/>
      <c r="F86" s="171"/>
      <c r="G86" s="171"/>
      <c r="H86" s="171"/>
      <c r="I86" s="172"/>
    </row>
    <row r="87" spans="1:21" ht="15.75" customHeight="1">
      <c r="A87" s="30">
        <v>18</v>
      </c>
      <c r="B87" s="79" t="s">
        <v>133</v>
      </c>
      <c r="C87" s="17" t="s">
        <v>54</v>
      </c>
      <c r="D87" s="103" t="s">
        <v>55</v>
      </c>
      <c r="E87" s="13">
        <v>5836.1</v>
      </c>
      <c r="F87" s="13">
        <f>SUM(E87*12)</f>
        <v>70033.200000000012</v>
      </c>
      <c r="G87" s="142">
        <v>2.1</v>
      </c>
      <c r="H87" s="98">
        <f>SUM(F87*G87/1000)</f>
        <v>147.06972000000002</v>
      </c>
      <c r="I87" s="13">
        <f>70033.2/12*G87</f>
        <v>12255.81</v>
      </c>
    </row>
    <row r="88" spans="1:21" ht="31.5" customHeight="1">
      <c r="A88" s="30">
        <v>19</v>
      </c>
      <c r="B88" s="15" t="s">
        <v>78</v>
      </c>
      <c r="C88" s="17"/>
      <c r="D88" s="103" t="s">
        <v>55</v>
      </c>
      <c r="E88" s="81">
        <v>5836.1</v>
      </c>
      <c r="F88" s="13">
        <f>E88*12</f>
        <v>70033.200000000012</v>
      </c>
      <c r="G88" s="13">
        <v>1.63</v>
      </c>
      <c r="H88" s="98">
        <f>F88*G88/1000</f>
        <v>114.15411600000002</v>
      </c>
      <c r="I88" s="13">
        <f>F88/12*G88</f>
        <v>9512.8430000000008</v>
      </c>
    </row>
    <row r="89" spans="1:21" ht="15.75" customHeight="1">
      <c r="A89" s="52"/>
      <c r="B89" s="39" t="s">
        <v>81</v>
      </c>
      <c r="C89" s="40"/>
      <c r="D89" s="16"/>
      <c r="E89" s="16"/>
      <c r="F89" s="16"/>
      <c r="G89" s="19"/>
      <c r="H89" s="19"/>
      <c r="I89" s="32">
        <f>I88+I87+I85+I63+I60+I56+I55+I54+I47+I46+I45+I44+I42+I41+I30+I29+I28+I27+I18+I17+I16</f>
        <v>84042.079237333339</v>
      </c>
    </row>
    <row r="90" spans="1:21" ht="15.75" customHeight="1">
      <c r="A90" s="173" t="s">
        <v>60</v>
      </c>
      <c r="B90" s="174"/>
      <c r="C90" s="174"/>
      <c r="D90" s="174"/>
      <c r="E90" s="174"/>
      <c r="F90" s="174"/>
      <c r="G90" s="174"/>
      <c r="H90" s="174"/>
      <c r="I90" s="175"/>
    </row>
    <row r="91" spans="1:21" ht="15.75" customHeight="1">
      <c r="A91" s="30">
        <v>20</v>
      </c>
      <c r="B91" s="117" t="s">
        <v>183</v>
      </c>
      <c r="C91" s="138" t="s">
        <v>184</v>
      </c>
      <c r="D91" s="51"/>
      <c r="E91" s="36"/>
      <c r="F91" s="36">
        <f>(3+3+30+25+15+20+20+3+15+15+20+10+3)/3</f>
        <v>60.666666666666664</v>
      </c>
      <c r="G91" s="137">
        <v>377</v>
      </c>
      <c r="H91" s="102">
        <f t="shared" ref="H91:H93" si="9">G91*F91/1000</f>
        <v>22.871333333333332</v>
      </c>
      <c r="I91" s="13">
        <f>G91*1</f>
        <v>377</v>
      </c>
    </row>
    <row r="92" spans="1:21" ht="31.5" customHeight="1">
      <c r="A92" s="30">
        <v>21</v>
      </c>
      <c r="B92" s="37" t="s">
        <v>185</v>
      </c>
      <c r="C92" s="138" t="s">
        <v>172</v>
      </c>
      <c r="D92" s="51"/>
      <c r="E92" s="13"/>
      <c r="F92" s="13">
        <v>3</v>
      </c>
      <c r="G92" s="137">
        <v>1206</v>
      </c>
      <c r="H92" s="98">
        <f t="shared" si="9"/>
        <v>3.6179999999999999</v>
      </c>
      <c r="I92" s="13">
        <f>G92*2</f>
        <v>2412</v>
      </c>
    </row>
    <row r="93" spans="1:21" ht="15.75" customHeight="1">
      <c r="A93" s="30">
        <v>22</v>
      </c>
      <c r="B93" s="37" t="s">
        <v>186</v>
      </c>
      <c r="C93" s="138" t="s">
        <v>123</v>
      </c>
      <c r="D93" s="51"/>
      <c r="E93" s="36"/>
      <c r="F93" s="36">
        <v>1</v>
      </c>
      <c r="G93" s="137">
        <v>8.36</v>
      </c>
      <c r="H93" s="102">
        <f t="shared" si="9"/>
        <v>8.3599999999999994E-3</v>
      </c>
      <c r="I93" s="13">
        <f>G93*4</f>
        <v>33.44</v>
      </c>
    </row>
    <row r="94" spans="1:21" ht="15.75" customHeight="1">
      <c r="A94" s="30">
        <v>23</v>
      </c>
      <c r="B94" s="37" t="s">
        <v>187</v>
      </c>
      <c r="C94" s="138" t="s">
        <v>123</v>
      </c>
      <c r="D94" s="51"/>
      <c r="E94" s="13"/>
      <c r="F94" s="13">
        <v>14</v>
      </c>
      <c r="G94" s="137">
        <v>8.44</v>
      </c>
      <c r="H94" s="98">
        <f>G94*F94/1000</f>
        <v>0.11816</v>
      </c>
      <c r="I94" s="13">
        <f>G94*12</f>
        <v>101.28</v>
      </c>
    </row>
    <row r="95" spans="1:21" ht="15.75" customHeight="1">
      <c r="A95" s="30">
        <v>24</v>
      </c>
      <c r="B95" s="37" t="s">
        <v>188</v>
      </c>
      <c r="C95" s="138" t="s">
        <v>123</v>
      </c>
      <c r="D95" s="51"/>
      <c r="E95" s="13"/>
      <c r="F95" s="13"/>
      <c r="G95" s="137">
        <v>5.42</v>
      </c>
      <c r="H95" s="98"/>
      <c r="I95" s="13">
        <f>G95*3</f>
        <v>16.259999999999998</v>
      </c>
    </row>
    <row r="96" spans="1:21" ht="15.75" customHeight="1">
      <c r="A96" s="30">
        <v>25</v>
      </c>
      <c r="B96" s="37" t="s">
        <v>189</v>
      </c>
      <c r="C96" s="138" t="s">
        <v>123</v>
      </c>
      <c r="D96" s="51"/>
      <c r="E96" s="13"/>
      <c r="F96" s="13"/>
      <c r="G96" s="137">
        <v>5.43</v>
      </c>
      <c r="H96" s="98"/>
      <c r="I96" s="13">
        <f>G96*2</f>
        <v>10.86</v>
      </c>
    </row>
    <row r="97" spans="1:9" ht="15.75" customHeight="1">
      <c r="A97" s="30">
        <v>26</v>
      </c>
      <c r="B97" s="37" t="s">
        <v>190</v>
      </c>
      <c r="C97" s="138" t="s">
        <v>123</v>
      </c>
      <c r="D97" s="51"/>
      <c r="E97" s="13"/>
      <c r="F97" s="13"/>
      <c r="G97" s="137">
        <v>151.31</v>
      </c>
      <c r="H97" s="98"/>
      <c r="I97" s="13">
        <f>G97*4</f>
        <v>605.24</v>
      </c>
    </row>
    <row r="98" spans="1:9" ht="15.75" customHeight="1">
      <c r="A98" s="30">
        <v>27</v>
      </c>
      <c r="B98" s="37" t="s">
        <v>191</v>
      </c>
      <c r="C98" s="138" t="s">
        <v>123</v>
      </c>
      <c r="D98" s="51"/>
      <c r="E98" s="13"/>
      <c r="F98" s="13"/>
      <c r="G98" s="137">
        <v>169.24</v>
      </c>
      <c r="H98" s="98"/>
      <c r="I98" s="13">
        <f>G98*2</f>
        <v>338.48</v>
      </c>
    </row>
    <row r="99" spans="1:9" ht="15.75" customHeight="1">
      <c r="A99" s="30">
        <v>28</v>
      </c>
      <c r="B99" s="37" t="s">
        <v>192</v>
      </c>
      <c r="C99" s="138" t="s">
        <v>123</v>
      </c>
      <c r="D99" s="51"/>
      <c r="E99" s="13"/>
      <c r="F99" s="13"/>
      <c r="G99" s="137">
        <v>38.67</v>
      </c>
      <c r="H99" s="98"/>
      <c r="I99" s="13">
        <f>G99*2</f>
        <v>77.34</v>
      </c>
    </row>
    <row r="100" spans="1:9" ht="15.75" customHeight="1">
      <c r="A100" s="30">
        <v>29</v>
      </c>
      <c r="B100" s="37" t="s">
        <v>193</v>
      </c>
      <c r="C100" s="138" t="s">
        <v>172</v>
      </c>
      <c r="D100" s="51"/>
      <c r="E100" s="13"/>
      <c r="F100" s="13"/>
      <c r="G100" s="137">
        <v>1187</v>
      </c>
      <c r="H100" s="98"/>
      <c r="I100" s="13">
        <f>G100*1.5</f>
        <v>1780.5</v>
      </c>
    </row>
    <row r="101" spans="1:9" ht="15.75" customHeight="1">
      <c r="A101" s="30">
        <v>30</v>
      </c>
      <c r="B101" s="37" t="s">
        <v>194</v>
      </c>
      <c r="C101" s="138" t="s">
        <v>123</v>
      </c>
      <c r="D101" s="51"/>
      <c r="E101" s="13"/>
      <c r="F101" s="13"/>
      <c r="G101" s="137">
        <v>4.46</v>
      </c>
      <c r="H101" s="98"/>
      <c r="I101" s="13">
        <f>G101*3</f>
        <v>13.379999999999999</v>
      </c>
    </row>
    <row r="102" spans="1:9" ht="15.75" customHeight="1">
      <c r="A102" s="30">
        <v>31</v>
      </c>
      <c r="B102" s="37" t="s">
        <v>195</v>
      </c>
      <c r="C102" s="138" t="s">
        <v>123</v>
      </c>
      <c r="D102" s="51"/>
      <c r="E102" s="13"/>
      <c r="F102" s="13"/>
      <c r="G102" s="137">
        <v>6.2</v>
      </c>
      <c r="H102" s="98"/>
      <c r="I102" s="13">
        <f>G102*2</f>
        <v>12.4</v>
      </c>
    </row>
    <row r="103" spans="1:9" ht="15.75" customHeight="1">
      <c r="A103" s="30">
        <v>32</v>
      </c>
      <c r="B103" s="37" t="s">
        <v>196</v>
      </c>
      <c r="C103" s="138" t="s">
        <v>123</v>
      </c>
      <c r="D103" s="51"/>
      <c r="E103" s="13"/>
      <c r="F103" s="13"/>
      <c r="G103" s="137">
        <v>5.42</v>
      </c>
      <c r="H103" s="98"/>
      <c r="I103" s="13">
        <f>G103*5</f>
        <v>27.1</v>
      </c>
    </row>
    <row r="104" spans="1:9" ht="15.75" customHeight="1">
      <c r="A104" s="30">
        <v>33</v>
      </c>
      <c r="B104" s="37" t="s">
        <v>197</v>
      </c>
      <c r="C104" s="138" t="s">
        <v>123</v>
      </c>
      <c r="D104" s="51"/>
      <c r="E104" s="13"/>
      <c r="F104" s="13"/>
      <c r="G104" s="137">
        <v>89.92</v>
      </c>
      <c r="H104" s="98"/>
      <c r="I104" s="13">
        <f>G104*2</f>
        <v>179.84</v>
      </c>
    </row>
    <row r="105" spans="1:9" ht="15.75" customHeight="1">
      <c r="A105" s="30">
        <v>34</v>
      </c>
      <c r="B105" s="37" t="s">
        <v>198</v>
      </c>
      <c r="C105" s="138" t="s">
        <v>123</v>
      </c>
      <c r="D105" s="51"/>
      <c r="E105" s="13"/>
      <c r="F105" s="13"/>
      <c r="G105" s="137">
        <v>95.25</v>
      </c>
      <c r="H105" s="98"/>
      <c r="I105" s="13">
        <f>G105*2</f>
        <v>190.5</v>
      </c>
    </row>
    <row r="106" spans="1:9" ht="15.75" customHeight="1">
      <c r="A106" s="30">
        <v>35</v>
      </c>
      <c r="B106" s="37" t="s">
        <v>199</v>
      </c>
      <c r="C106" s="138" t="s">
        <v>123</v>
      </c>
      <c r="D106" s="51"/>
      <c r="E106" s="13"/>
      <c r="F106" s="13"/>
      <c r="G106" s="137">
        <v>176.92</v>
      </c>
      <c r="H106" s="98"/>
      <c r="I106" s="13">
        <f>G106*4</f>
        <v>707.68</v>
      </c>
    </row>
    <row r="107" spans="1:9" ht="15.75" customHeight="1">
      <c r="A107" s="30">
        <v>36</v>
      </c>
      <c r="B107" s="37" t="s">
        <v>200</v>
      </c>
      <c r="C107" s="138" t="s">
        <v>172</v>
      </c>
      <c r="D107" s="51"/>
      <c r="E107" s="13"/>
      <c r="F107" s="13"/>
      <c r="G107" s="137">
        <v>1272</v>
      </c>
      <c r="H107" s="98"/>
      <c r="I107" s="13">
        <f>G107*12</f>
        <v>15264</v>
      </c>
    </row>
    <row r="108" spans="1:9" ht="15.75" customHeight="1">
      <c r="A108" s="30">
        <v>37</v>
      </c>
      <c r="B108" s="37" t="s">
        <v>201</v>
      </c>
      <c r="C108" s="138" t="s">
        <v>166</v>
      </c>
      <c r="D108" s="51"/>
      <c r="E108" s="13"/>
      <c r="F108" s="13"/>
      <c r="G108" s="137">
        <v>203.68</v>
      </c>
      <c r="H108" s="98"/>
      <c r="I108" s="13">
        <f>G108*2</f>
        <v>407.36</v>
      </c>
    </row>
    <row r="109" spans="1:9" ht="30" customHeight="1">
      <c r="A109" s="30">
        <v>38</v>
      </c>
      <c r="B109" s="55" t="s">
        <v>158</v>
      </c>
      <c r="C109" s="139" t="s">
        <v>37</v>
      </c>
      <c r="D109" s="51"/>
      <c r="E109" s="13"/>
      <c r="F109" s="13"/>
      <c r="G109" s="137">
        <v>3724.37</v>
      </c>
      <c r="H109" s="98"/>
      <c r="I109" s="13">
        <f>G109*0.01</f>
        <v>37.243699999999997</v>
      </c>
    </row>
    <row r="110" spans="1:9" ht="30" customHeight="1">
      <c r="A110" s="30">
        <v>39</v>
      </c>
      <c r="B110" s="104" t="s">
        <v>202</v>
      </c>
      <c r="C110" s="140" t="s">
        <v>203</v>
      </c>
      <c r="D110" s="51"/>
      <c r="E110" s="13"/>
      <c r="F110" s="13"/>
      <c r="G110" s="137">
        <v>5911.12</v>
      </c>
      <c r="H110" s="98"/>
      <c r="I110" s="13">
        <f>G110*0.35</f>
        <v>2068.8919999999998</v>
      </c>
    </row>
    <row r="111" spans="1:9" ht="30" customHeight="1">
      <c r="A111" s="30">
        <v>40</v>
      </c>
      <c r="B111" s="55" t="s">
        <v>89</v>
      </c>
      <c r="C111" s="139" t="s">
        <v>92</v>
      </c>
      <c r="D111" s="51"/>
      <c r="E111" s="13"/>
      <c r="F111" s="13"/>
      <c r="G111" s="137">
        <v>613.44000000000005</v>
      </c>
      <c r="H111" s="98"/>
      <c r="I111" s="13">
        <f>G111</f>
        <v>613.44000000000005</v>
      </c>
    </row>
    <row r="112" spans="1:9" ht="18.75" customHeight="1">
      <c r="A112" s="30">
        <v>41</v>
      </c>
      <c r="B112" s="55" t="s">
        <v>83</v>
      </c>
      <c r="C112" s="139" t="s">
        <v>123</v>
      </c>
      <c r="D112" s="51"/>
      <c r="E112" s="13"/>
      <c r="F112" s="13"/>
      <c r="G112" s="137">
        <v>197.48</v>
      </c>
      <c r="H112" s="98"/>
      <c r="I112" s="13">
        <f>G112*1</f>
        <v>197.48</v>
      </c>
    </row>
    <row r="113" spans="1:9" ht="30" customHeight="1">
      <c r="A113" s="30">
        <v>42</v>
      </c>
      <c r="B113" s="55" t="s">
        <v>204</v>
      </c>
      <c r="C113" s="139" t="s">
        <v>123</v>
      </c>
      <c r="D113" s="51"/>
      <c r="E113" s="13"/>
      <c r="F113" s="13"/>
      <c r="G113" s="137">
        <v>3756.2</v>
      </c>
      <c r="H113" s="98"/>
      <c r="I113" s="13">
        <f>G113*1</f>
        <v>3756.2</v>
      </c>
    </row>
    <row r="114" spans="1:9" ht="15.75" customHeight="1">
      <c r="A114" s="30">
        <v>43</v>
      </c>
      <c r="B114" s="119" t="s">
        <v>205</v>
      </c>
      <c r="C114" s="141" t="s">
        <v>123</v>
      </c>
      <c r="D114" s="51"/>
      <c r="E114" s="13"/>
      <c r="F114" s="13"/>
      <c r="G114" s="137">
        <v>197.26</v>
      </c>
      <c r="H114" s="98"/>
      <c r="I114" s="13">
        <f>G114*1</f>
        <v>197.26</v>
      </c>
    </row>
    <row r="115" spans="1:9" ht="15.75" customHeight="1">
      <c r="A115" s="30"/>
      <c r="B115" s="45" t="s">
        <v>51</v>
      </c>
      <c r="C115" s="41"/>
      <c r="D115" s="53"/>
      <c r="E115" s="53"/>
      <c r="F115" s="41">
        <v>1</v>
      </c>
      <c r="G115" s="41"/>
      <c r="H115" s="41"/>
      <c r="I115" s="32">
        <f>SUM(I91:I114)</f>
        <v>29425.1757</v>
      </c>
    </row>
    <row r="116" spans="1:9" ht="15.75" customHeight="1">
      <c r="A116" s="30"/>
      <c r="B116" s="51" t="s">
        <v>79</v>
      </c>
      <c r="C116" s="16"/>
      <c r="D116" s="16"/>
      <c r="E116" s="16"/>
      <c r="F116" s="42"/>
      <c r="G116" s="43"/>
      <c r="H116" s="43"/>
      <c r="I116" s="18">
        <v>0</v>
      </c>
    </row>
    <row r="117" spans="1:9" ht="15.75" customHeight="1">
      <c r="A117" s="54"/>
      <c r="B117" s="46" t="s">
        <v>147</v>
      </c>
      <c r="C117" s="34"/>
      <c r="D117" s="34"/>
      <c r="E117" s="34"/>
      <c r="F117" s="34"/>
      <c r="G117" s="34"/>
      <c r="H117" s="34"/>
      <c r="I117" s="44">
        <f>I89+I115</f>
        <v>113467.25493733335</v>
      </c>
    </row>
    <row r="118" spans="1:9" ht="15.75" customHeight="1">
      <c r="A118" s="167" t="s">
        <v>237</v>
      </c>
      <c r="B118" s="167"/>
      <c r="C118" s="167"/>
      <c r="D118" s="167"/>
      <c r="E118" s="167"/>
      <c r="F118" s="167"/>
      <c r="G118" s="167"/>
      <c r="H118" s="167"/>
      <c r="I118" s="167"/>
    </row>
    <row r="119" spans="1:9" ht="15.75" customHeight="1">
      <c r="A119" s="70"/>
      <c r="B119" s="168" t="s">
        <v>238</v>
      </c>
      <c r="C119" s="168"/>
      <c r="D119" s="168"/>
      <c r="E119" s="168"/>
      <c r="F119" s="168"/>
      <c r="G119" s="168"/>
      <c r="H119" s="77"/>
      <c r="I119" s="3"/>
    </row>
    <row r="120" spans="1:9" ht="15.75" customHeight="1">
      <c r="A120" s="65"/>
      <c r="B120" s="166" t="s">
        <v>6</v>
      </c>
      <c r="C120" s="166"/>
      <c r="D120" s="166"/>
      <c r="E120" s="166"/>
      <c r="F120" s="166"/>
      <c r="G120" s="166"/>
      <c r="H120" s="25"/>
      <c r="I120" s="5"/>
    </row>
    <row r="121" spans="1:9" ht="15.75" customHeight="1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ht="15.75" customHeight="1">
      <c r="A122" s="169" t="s">
        <v>7</v>
      </c>
      <c r="B122" s="169"/>
      <c r="C122" s="169"/>
      <c r="D122" s="169"/>
      <c r="E122" s="169"/>
      <c r="F122" s="169"/>
      <c r="G122" s="169"/>
      <c r="H122" s="169"/>
      <c r="I122" s="169"/>
    </row>
    <row r="123" spans="1:9" ht="15.75" customHeight="1">
      <c r="A123" s="169" t="s">
        <v>8</v>
      </c>
      <c r="B123" s="169"/>
      <c r="C123" s="169"/>
      <c r="D123" s="169"/>
      <c r="E123" s="169"/>
      <c r="F123" s="169"/>
      <c r="G123" s="169"/>
      <c r="H123" s="169"/>
      <c r="I123" s="169"/>
    </row>
    <row r="124" spans="1:9" ht="15.75" customHeight="1">
      <c r="A124" s="163" t="s">
        <v>61</v>
      </c>
      <c r="B124" s="163"/>
      <c r="C124" s="163"/>
      <c r="D124" s="163"/>
      <c r="E124" s="163"/>
      <c r="F124" s="163"/>
      <c r="G124" s="163"/>
      <c r="H124" s="163"/>
      <c r="I124" s="163"/>
    </row>
    <row r="125" spans="1:9" ht="15.75" customHeight="1">
      <c r="A125" s="11"/>
    </row>
    <row r="126" spans="1:9" ht="15.75" customHeight="1">
      <c r="A126" s="164" t="s">
        <v>9</v>
      </c>
      <c r="B126" s="164"/>
      <c r="C126" s="164"/>
      <c r="D126" s="164"/>
      <c r="E126" s="164"/>
      <c r="F126" s="164"/>
      <c r="G126" s="164"/>
      <c r="H126" s="164"/>
      <c r="I126" s="164"/>
    </row>
    <row r="127" spans="1:9" ht="15.75" customHeight="1">
      <c r="A127" s="4"/>
    </row>
    <row r="128" spans="1:9" ht="15.75" customHeight="1">
      <c r="B128" s="64" t="s">
        <v>10</v>
      </c>
      <c r="C128" s="165" t="s">
        <v>90</v>
      </c>
      <c r="D128" s="165"/>
      <c r="E128" s="165"/>
      <c r="F128" s="165"/>
      <c r="I128" s="67"/>
    </row>
    <row r="129" spans="1:9" ht="15.75" customHeight="1">
      <c r="A129" s="65"/>
      <c r="C129" s="166" t="s">
        <v>11</v>
      </c>
      <c r="D129" s="166"/>
      <c r="E129" s="166"/>
      <c r="F129" s="166"/>
      <c r="I129" s="66" t="s">
        <v>12</v>
      </c>
    </row>
    <row r="130" spans="1:9" ht="15.75" customHeight="1">
      <c r="A130" s="26"/>
      <c r="C130" s="12"/>
      <c r="D130" s="12"/>
      <c r="E130" s="12"/>
      <c r="G130" s="12"/>
      <c r="H130" s="12"/>
    </row>
    <row r="131" spans="1:9" ht="15.75" customHeight="1">
      <c r="B131" s="64" t="s">
        <v>13</v>
      </c>
      <c r="C131" s="160"/>
      <c r="D131" s="160"/>
      <c r="E131" s="160"/>
      <c r="F131" s="160"/>
      <c r="I131" s="67"/>
    </row>
    <row r="132" spans="1:9" ht="15.75" customHeight="1">
      <c r="A132" s="65"/>
      <c r="C132" s="161" t="s">
        <v>11</v>
      </c>
      <c r="D132" s="161"/>
      <c r="E132" s="161"/>
      <c r="F132" s="161"/>
      <c r="I132" s="66" t="s">
        <v>12</v>
      </c>
    </row>
    <row r="133" spans="1:9" ht="15.75" customHeight="1">
      <c r="A133" s="4" t="s">
        <v>14</v>
      </c>
    </row>
    <row r="134" spans="1:9" ht="15.75" customHeight="1">
      <c r="A134" s="162" t="s">
        <v>15</v>
      </c>
      <c r="B134" s="162"/>
      <c r="C134" s="162"/>
      <c r="D134" s="162"/>
      <c r="E134" s="162"/>
      <c r="F134" s="162"/>
      <c r="G134" s="162"/>
      <c r="H134" s="162"/>
      <c r="I134" s="162"/>
    </row>
    <row r="135" spans="1:9" ht="45" customHeight="1">
      <c r="A135" s="159" t="s">
        <v>16</v>
      </c>
      <c r="B135" s="159"/>
      <c r="C135" s="159"/>
      <c r="D135" s="159"/>
      <c r="E135" s="159"/>
      <c r="F135" s="159"/>
      <c r="G135" s="159"/>
      <c r="H135" s="159"/>
      <c r="I135" s="159"/>
    </row>
    <row r="136" spans="1:9" ht="30" customHeight="1">
      <c r="A136" s="159" t="s">
        <v>17</v>
      </c>
      <c r="B136" s="159"/>
      <c r="C136" s="159"/>
      <c r="D136" s="159"/>
      <c r="E136" s="159"/>
      <c r="F136" s="159"/>
      <c r="G136" s="159"/>
      <c r="H136" s="159"/>
      <c r="I136" s="159"/>
    </row>
    <row r="137" spans="1:9" ht="30" customHeight="1">
      <c r="A137" s="159" t="s">
        <v>21</v>
      </c>
      <c r="B137" s="159"/>
      <c r="C137" s="159"/>
      <c r="D137" s="159"/>
      <c r="E137" s="159"/>
      <c r="F137" s="159"/>
      <c r="G137" s="159"/>
      <c r="H137" s="159"/>
      <c r="I137" s="159"/>
    </row>
    <row r="138" spans="1:9" ht="15" customHeight="1">
      <c r="A138" s="159" t="s">
        <v>20</v>
      </c>
      <c r="B138" s="159"/>
      <c r="C138" s="159"/>
      <c r="D138" s="159"/>
      <c r="E138" s="159"/>
      <c r="F138" s="159"/>
      <c r="G138" s="159"/>
      <c r="H138" s="159"/>
      <c r="I138" s="159"/>
    </row>
  </sheetData>
  <autoFilter ref="I12:I68"/>
  <mergeCells count="28">
    <mergeCell ref="A134:I134"/>
    <mergeCell ref="A135:I135"/>
    <mergeCell ref="A136:I136"/>
    <mergeCell ref="A137:I137"/>
    <mergeCell ref="A138:I138"/>
    <mergeCell ref="R73:U73"/>
    <mergeCell ref="C132:F132"/>
    <mergeCell ref="A90:I90"/>
    <mergeCell ref="A118:I118"/>
    <mergeCell ref="B119:G119"/>
    <mergeCell ref="B120:G120"/>
    <mergeCell ref="A122:I122"/>
    <mergeCell ref="A123:I123"/>
    <mergeCell ref="A124:I124"/>
    <mergeCell ref="A126:I126"/>
    <mergeCell ref="C128:F128"/>
    <mergeCell ref="C129:F129"/>
    <mergeCell ref="C131:F131"/>
    <mergeCell ref="A86:I86"/>
    <mergeCell ref="A14:I14"/>
    <mergeCell ref="A15:I15"/>
    <mergeCell ref="A31:I31"/>
    <mergeCell ref="A48:I48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3"/>
  <sheetViews>
    <sheetView view="pageBreakPreview" topLeftCell="A89" zoomScale="60" workbookViewId="0">
      <selection activeCell="K14" sqref="K1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8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86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76" t="s">
        <v>157</v>
      </c>
      <c r="B3" s="176"/>
      <c r="C3" s="176"/>
      <c r="D3" s="176"/>
      <c r="E3" s="176"/>
      <c r="F3" s="176"/>
      <c r="G3" s="176"/>
      <c r="H3" s="176"/>
      <c r="I3" s="176"/>
      <c r="J3" s="3"/>
      <c r="K3" s="3"/>
      <c r="L3" s="3"/>
    </row>
    <row r="4" spans="1:13" ht="31.5" customHeight="1">
      <c r="A4" s="177" t="s">
        <v>134</v>
      </c>
      <c r="B4" s="177"/>
      <c r="C4" s="177"/>
      <c r="D4" s="177"/>
      <c r="E4" s="177"/>
      <c r="F4" s="177"/>
      <c r="G4" s="177"/>
      <c r="H4" s="177"/>
      <c r="I4" s="177"/>
    </row>
    <row r="5" spans="1:13" ht="15.75" customHeight="1">
      <c r="A5" s="176" t="s">
        <v>211</v>
      </c>
      <c r="B5" s="180"/>
      <c r="C5" s="180"/>
      <c r="D5" s="180"/>
      <c r="E5" s="180"/>
      <c r="F5" s="180"/>
      <c r="G5" s="180"/>
      <c r="H5" s="180"/>
      <c r="I5" s="180"/>
      <c r="J5" s="2"/>
      <c r="K5" s="2"/>
      <c r="L5" s="2"/>
      <c r="M5" s="2"/>
    </row>
    <row r="6" spans="1:13" ht="15.75" customHeight="1">
      <c r="A6" s="2"/>
      <c r="B6" s="68"/>
      <c r="C6" s="68"/>
      <c r="D6" s="68"/>
      <c r="E6" s="68"/>
      <c r="F6" s="68"/>
      <c r="G6" s="68"/>
      <c r="H6" s="68"/>
      <c r="I6" s="31">
        <v>43251</v>
      </c>
      <c r="J6" s="2"/>
      <c r="K6" s="2"/>
      <c r="L6" s="2"/>
      <c r="M6" s="2"/>
    </row>
    <row r="7" spans="1:13" ht="15.75" customHeight="1">
      <c r="B7" s="64"/>
      <c r="C7" s="64"/>
      <c r="D7" s="64"/>
      <c r="E7" s="64"/>
      <c r="F7" s="3"/>
      <c r="G7" s="3"/>
      <c r="H7" s="3"/>
      <c r="J7" s="3"/>
      <c r="K7" s="3"/>
      <c r="L7" s="3"/>
      <c r="M7" s="3"/>
    </row>
    <row r="8" spans="1:13" ht="78.75" customHeight="1">
      <c r="A8" s="178" t="s">
        <v>142</v>
      </c>
      <c r="B8" s="178"/>
      <c r="C8" s="178"/>
      <c r="D8" s="178"/>
      <c r="E8" s="178"/>
      <c r="F8" s="178"/>
      <c r="G8" s="178"/>
      <c r="H8" s="178"/>
      <c r="I8" s="17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9" t="s">
        <v>143</v>
      </c>
      <c r="B10" s="179"/>
      <c r="C10" s="179"/>
      <c r="D10" s="179"/>
      <c r="E10" s="179"/>
      <c r="F10" s="179"/>
      <c r="G10" s="179"/>
      <c r="H10" s="179"/>
      <c r="I10" s="17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81" t="s">
        <v>59</v>
      </c>
      <c r="B14" s="181"/>
      <c r="C14" s="181"/>
      <c r="D14" s="181"/>
      <c r="E14" s="181"/>
      <c r="F14" s="181"/>
      <c r="G14" s="181"/>
      <c r="H14" s="181"/>
      <c r="I14" s="181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0">
        <v>1</v>
      </c>
      <c r="B16" s="79" t="s">
        <v>87</v>
      </c>
      <c r="C16" s="80" t="s">
        <v>104</v>
      </c>
      <c r="D16" s="79" t="s">
        <v>105</v>
      </c>
      <c r="E16" s="81">
        <v>164.38</v>
      </c>
      <c r="F16" s="136">
        <f>SUM(E16*156/100)</f>
        <v>256.43279999999999</v>
      </c>
      <c r="G16" s="136">
        <v>175.38</v>
      </c>
      <c r="H16" s="83">
        <f t="shared" ref="H16:H28" si="0">SUM(F16*G16/1000)</f>
        <v>44.973184463999999</v>
      </c>
      <c r="I16" s="13">
        <f>F16/12*G16</f>
        <v>3747.7653719999998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93</v>
      </c>
      <c r="C17" s="80" t="s">
        <v>104</v>
      </c>
      <c r="D17" s="79" t="s">
        <v>106</v>
      </c>
      <c r="E17" s="81">
        <v>657.52</v>
      </c>
      <c r="F17" s="136">
        <f>SUM(E17*104/100)</f>
        <v>683.82079999999996</v>
      </c>
      <c r="G17" s="136">
        <v>175.38</v>
      </c>
      <c r="H17" s="83">
        <f t="shared" si="0"/>
        <v>119.928491904</v>
      </c>
      <c r="I17" s="13">
        <f>F17/12*G17</f>
        <v>9994.0409919999984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94</v>
      </c>
      <c r="C18" s="80" t="s">
        <v>104</v>
      </c>
      <c r="D18" s="79" t="s">
        <v>107</v>
      </c>
      <c r="E18" s="81">
        <f>SUM(E16+E17)</f>
        <v>821.9</v>
      </c>
      <c r="F18" s="136">
        <f>SUM(E18*24/100)</f>
        <v>197.25599999999997</v>
      </c>
      <c r="G18" s="136">
        <v>504.5</v>
      </c>
      <c r="H18" s="83">
        <f t="shared" si="0"/>
        <v>99.515651999999989</v>
      </c>
      <c r="I18" s="13">
        <f>F18/12*G18</f>
        <v>8292.9709999999995</v>
      </c>
      <c r="J18" s="23"/>
      <c r="K18" s="8"/>
      <c r="L18" s="8"/>
      <c r="M18" s="8"/>
    </row>
    <row r="19" spans="1:13" ht="15.75" customHeight="1">
      <c r="A19" s="30">
        <v>4</v>
      </c>
      <c r="B19" s="79" t="s">
        <v>108</v>
      </c>
      <c r="C19" s="80" t="s">
        <v>109</v>
      </c>
      <c r="D19" s="79" t="s">
        <v>110</v>
      </c>
      <c r="E19" s="81">
        <v>51.2</v>
      </c>
      <c r="F19" s="136">
        <f>SUM(E19/10)</f>
        <v>5.12</v>
      </c>
      <c r="G19" s="136">
        <v>170.16</v>
      </c>
      <c r="H19" s="83">
        <f t="shared" si="0"/>
        <v>0.87121919999999997</v>
      </c>
      <c r="I19" s="13">
        <f>F19*G19</f>
        <v>871.2192</v>
      </c>
      <c r="J19" s="23"/>
      <c r="K19" s="8"/>
      <c r="L19" s="8"/>
      <c r="M19" s="8"/>
    </row>
    <row r="20" spans="1:13" ht="15.75" customHeight="1">
      <c r="A20" s="30">
        <v>5</v>
      </c>
      <c r="B20" s="79" t="s">
        <v>98</v>
      </c>
      <c r="C20" s="80" t="s">
        <v>104</v>
      </c>
      <c r="D20" s="79" t="s">
        <v>181</v>
      </c>
      <c r="E20" s="81">
        <v>58.4</v>
      </c>
      <c r="F20" s="136">
        <v>6.9</v>
      </c>
      <c r="G20" s="136">
        <v>193.55</v>
      </c>
      <c r="H20" s="83">
        <f t="shared" si="0"/>
        <v>1.3354950000000001</v>
      </c>
      <c r="I20" s="13">
        <f>F20/12*G20</f>
        <v>111.29125000000002</v>
      </c>
      <c r="J20" s="23"/>
      <c r="K20" s="8"/>
      <c r="L20" s="8"/>
      <c r="M20" s="8"/>
    </row>
    <row r="21" spans="1:13" ht="15.75" customHeight="1">
      <c r="A21" s="30">
        <v>6</v>
      </c>
      <c r="B21" s="79" t="s">
        <v>99</v>
      </c>
      <c r="C21" s="80" t="s">
        <v>104</v>
      </c>
      <c r="D21" s="79" t="s">
        <v>181</v>
      </c>
      <c r="E21" s="81">
        <v>13.41</v>
      </c>
      <c r="F21" s="136">
        <v>1.61</v>
      </c>
      <c r="G21" s="136">
        <v>191.98</v>
      </c>
      <c r="H21" s="83">
        <f t="shared" si="0"/>
        <v>0.30908780000000002</v>
      </c>
      <c r="I21" s="13">
        <f>F21/12*G21</f>
        <v>25.757316666666668</v>
      </c>
      <c r="J21" s="23"/>
      <c r="K21" s="8"/>
      <c r="L21" s="8"/>
      <c r="M21" s="8"/>
    </row>
    <row r="22" spans="1:13" ht="15.75" customHeight="1">
      <c r="A22" s="30">
        <v>7</v>
      </c>
      <c r="B22" s="79" t="s">
        <v>111</v>
      </c>
      <c r="C22" s="80" t="s">
        <v>52</v>
      </c>
      <c r="D22" s="79" t="s">
        <v>110</v>
      </c>
      <c r="E22" s="81">
        <v>1025.5999999999999</v>
      </c>
      <c r="F22" s="136">
        <f>SUM(E22/100)</f>
        <v>10.255999999999998</v>
      </c>
      <c r="G22" s="136">
        <v>269.26</v>
      </c>
      <c r="H22" s="83">
        <f t="shared" si="0"/>
        <v>2.7615305599999997</v>
      </c>
      <c r="I22" s="13">
        <f t="shared" ref="I22:I26" si="1">F22*G22</f>
        <v>2761.5305599999997</v>
      </c>
      <c r="J22" s="23"/>
      <c r="K22" s="8"/>
      <c r="L22" s="8"/>
      <c r="M22" s="8"/>
    </row>
    <row r="23" spans="1:13" ht="15.75" customHeight="1">
      <c r="A23" s="30">
        <v>8</v>
      </c>
      <c r="B23" s="79" t="s">
        <v>112</v>
      </c>
      <c r="C23" s="80" t="s">
        <v>52</v>
      </c>
      <c r="D23" s="79" t="s">
        <v>110</v>
      </c>
      <c r="E23" s="84">
        <v>60.5</v>
      </c>
      <c r="F23" s="136">
        <f>SUM(E23/100)</f>
        <v>0.60499999999999998</v>
      </c>
      <c r="G23" s="136">
        <v>44.29</v>
      </c>
      <c r="H23" s="83">
        <f t="shared" si="0"/>
        <v>2.6795449999999998E-2</v>
      </c>
      <c r="I23" s="13">
        <f t="shared" si="1"/>
        <v>26.795449999999999</v>
      </c>
      <c r="J23" s="23"/>
      <c r="K23" s="8"/>
      <c r="L23" s="8"/>
      <c r="M23" s="8"/>
    </row>
    <row r="24" spans="1:13" ht="15.75" customHeight="1">
      <c r="A24" s="30">
        <v>9</v>
      </c>
      <c r="B24" s="79" t="s">
        <v>102</v>
      </c>
      <c r="C24" s="80" t="s">
        <v>52</v>
      </c>
      <c r="D24" s="79" t="s">
        <v>53</v>
      </c>
      <c r="E24" s="85">
        <v>19.149999999999999</v>
      </c>
      <c r="F24" s="136">
        <f>E24/100</f>
        <v>0.19149999999999998</v>
      </c>
      <c r="G24" s="136">
        <v>389.42</v>
      </c>
      <c r="H24" s="83">
        <f>G24*F24/100</f>
        <v>0.74573929999999988</v>
      </c>
      <c r="I24" s="13">
        <f t="shared" si="1"/>
        <v>74.57392999999999</v>
      </c>
      <c r="J24" s="23"/>
      <c r="K24" s="8"/>
      <c r="L24" s="8"/>
      <c r="M24" s="8"/>
    </row>
    <row r="25" spans="1:13" ht="15.75" customHeight="1">
      <c r="A25" s="30">
        <v>10</v>
      </c>
      <c r="B25" s="79" t="s">
        <v>135</v>
      </c>
      <c r="C25" s="80" t="s">
        <v>52</v>
      </c>
      <c r="D25" s="79" t="s">
        <v>53</v>
      </c>
      <c r="E25" s="86">
        <v>31.5</v>
      </c>
      <c r="F25" s="136">
        <f>E25/100</f>
        <v>0.315</v>
      </c>
      <c r="G25" s="136">
        <v>216.12</v>
      </c>
      <c r="H25" s="83">
        <f>G25*F25/1000</f>
        <v>6.8077799999999994E-2</v>
      </c>
      <c r="I25" s="13">
        <f t="shared" si="1"/>
        <v>68.077799999999996</v>
      </c>
      <c r="J25" s="23"/>
      <c r="K25" s="8"/>
      <c r="L25" s="8"/>
      <c r="M25" s="8"/>
    </row>
    <row r="26" spans="1:13" ht="15.75" customHeight="1">
      <c r="A26" s="30">
        <v>11</v>
      </c>
      <c r="B26" s="79" t="s">
        <v>103</v>
      </c>
      <c r="C26" s="80" t="s">
        <v>52</v>
      </c>
      <c r="D26" s="79" t="s">
        <v>53</v>
      </c>
      <c r="E26" s="81">
        <v>37.5</v>
      </c>
      <c r="F26" s="136">
        <f>SUM(E26/100)</f>
        <v>0.375</v>
      </c>
      <c r="G26" s="136">
        <v>520.79999999999995</v>
      </c>
      <c r="H26" s="83">
        <f t="shared" si="0"/>
        <v>0.19529999999999997</v>
      </c>
      <c r="I26" s="13">
        <f t="shared" si="1"/>
        <v>195.29999999999998</v>
      </c>
      <c r="J26" s="23"/>
      <c r="K26" s="8"/>
      <c r="L26" s="8"/>
      <c r="M26" s="8"/>
    </row>
    <row r="27" spans="1:13" ht="15.75" customHeight="1">
      <c r="A27" s="30">
        <v>12</v>
      </c>
      <c r="B27" s="79" t="s">
        <v>64</v>
      </c>
      <c r="C27" s="80" t="s">
        <v>33</v>
      </c>
      <c r="D27" s="79"/>
      <c r="E27" s="81">
        <v>0.1</v>
      </c>
      <c r="F27" s="82">
        <f>SUM(E27*365)</f>
        <v>36.5</v>
      </c>
      <c r="G27" s="82">
        <v>147.03</v>
      </c>
      <c r="H27" s="83">
        <f t="shared" si="0"/>
        <v>5.3665950000000002</v>
      </c>
      <c r="I27" s="13">
        <f>F27/12*G27</f>
        <v>447.21625</v>
      </c>
      <c r="J27" s="23"/>
      <c r="K27" s="8"/>
      <c r="L27" s="8"/>
      <c r="M27" s="8"/>
    </row>
    <row r="28" spans="1:13" ht="15.75" customHeight="1">
      <c r="A28" s="30">
        <v>13</v>
      </c>
      <c r="B28" s="87" t="s">
        <v>23</v>
      </c>
      <c r="C28" s="80" t="s">
        <v>24</v>
      </c>
      <c r="D28" s="79"/>
      <c r="E28" s="81">
        <v>5836.1</v>
      </c>
      <c r="F28" s="82">
        <f>SUM(E28*12)</f>
        <v>70033.200000000012</v>
      </c>
      <c r="G28" s="82">
        <v>3.33</v>
      </c>
      <c r="H28" s="83">
        <f t="shared" si="0"/>
        <v>233.21055600000005</v>
      </c>
      <c r="I28" s="13">
        <f>F28/12*G28</f>
        <v>19434.213000000003</v>
      </c>
      <c r="J28" s="23"/>
      <c r="K28" s="8"/>
      <c r="L28" s="8"/>
      <c r="M28" s="8"/>
    </row>
    <row r="29" spans="1:13" ht="15.75" customHeight="1">
      <c r="A29" s="182" t="s">
        <v>85</v>
      </c>
      <c r="B29" s="182"/>
      <c r="C29" s="182"/>
      <c r="D29" s="182"/>
      <c r="E29" s="182"/>
      <c r="F29" s="182"/>
      <c r="G29" s="182"/>
      <c r="H29" s="182"/>
      <c r="I29" s="182"/>
      <c r="J29" s="23"/>
      <c r="K29" s="8"/>
      <c r="L29" s="8"/>
      <c r="M29" s="8"/>
    </row>
    <row r="30" spans="1:13" ht="15.75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9"/>
      <c r="J30" s="23"/>
      <c r="K30" s="8"/>
      <c r="L30" s="8"/>
      <c r="M30" s="8"/>
    </row>
    <row r="31" spans="1:13" ht="15.75" customHeight="1">
      <c r="A31" s="40">
        <v>14</v>
      </c>
      <c r="B31" s="79" t="s">
        <v>113</v>
      </c>
      <c r="C31" s="80" t="s">
        <v>114</v>
      </c>
      <c r="D31" s="79" t="s">
        <v>115</v>
      </c>
      <c r="E31" s="82">
        <v>659.5</v>
      </c>
      <c r="F31" s="82">
        <f>SUM(E31*52/1000)</f>
        <v>34.293999999999997</v>
      </c>
      <c r="G31" s="82">
        <v>155.88999999999999</v>
      </c>
      <c r="H31" s="83">
        <f t="shared" ref="H31:H33" si="2">SUM(F31*G31/1000)</f>
        <v>5.346091659999999</v>
      </c>
      <c r="I31" s="13">
        <f>F31/6*G31</f>
        <v>891.01527666666652</v>
      </c>
      <c r="J31" s="23"/>
      <c r="K31" s="8"/>
      <c r="L31" s="8"/>
      <c r="M31" s="8"/>
    </row>
    <row r="32" spans="1:13" ht="31.5" customHeight="1">
      <c r="A32" s="40">
        <v>15</v>
      </c>
      <c r="B32" s="79" t="s">
        <v>149</v>
      </c>
      <c r="C32" s="80" t="s">
        <v>114</v>
      </c>
      <c r="D32" s="79" t="s">
        <v>116</v>
      </c>
      <c r="E32" s="82">
        <v>567.9</v>
      </c>
      <c r="F32" s="82">
        <f>SUM(E32*78/1000)</f>
        <v>44.296199999999999</v>
      </c>
      <c r="G32" s="82">
        <v>258.63</v>
      </c>
      <c r="H32" s="83">
        <f t="shared" si="2"/>
        <v>11.456326206</v>
      </c>
      <c r="I32" s="13">
        <f t="shared" ref="I32:I35" si="3">F32/6*G32</f>
        <v>1909.3877009999999</v>
      </c>
      <c r="J32" s="23"/>
      <c r="K32" s="8"/>
      <c r="L32" s="8"/>
      <c r="M32" s="8"/>
    </row>
    <row r="33" spans="1:14" ht="15.75" customHeight="1">
      <c r="A33" s="40">
        <v>16</v>
      </c>
      <c r="B33" s="79" t="s">
        <v>27</v>
      </c>
      <c r="C33" s="80" t="s">
        <v>114</v>
      </c>
      <c r="D33" s="79" t="s">
        <v>53</v>
      </c>
      <c r="E33" s="82">
        <v>659.5</v>
      </c>
      <c r="F33" s="82">
        <f>SUM(E33/1000)</f>
        <v>0.65949999999999998</v>
      </c>
      <c r="G33" s="82">
        <v>3020.33</v>
      </c>
      <c r="H33" s="83">
        <f t="shared" si="2"/>
        <v>1.9919076349999998</v>
      </c>
      <c r="I33" s="13">
        <f>F33*G33</f>
        <v>1991.9076349999998</v>
      </c>
      <c r="J33" s="23"/>
      <c r="K33" s="8"/>
      <c r="L33" s="8"/>
      <c r="M33" s="8"/>
    </row>
    <row r="34" spans="1:14" ht="15.75" customHeight="1">
      <c r="A34" s="40">
        <v>17</v>
      </c>
      <c r="B34" s="79" t="s">
        <v>136</v>
      </c>
      <c r="C34" s="80" t="s">
        <v>39</v>
      </c>
      <c r="D34" s="79" t="s">
        <v>148</v>
      </c>
      <c r="E34" s="82">
        <v>8</v>
      </c>
      <c r="F34" s="82">
        <v>12.4</v>
      </c>
      <c r="G34" s="82">
        <v>1302.02</v>
      </c>
      <c r="H34" s="83">
        <v>16.145</v>
      </c>
      <c r="I34" s="13">
        <f t="shared" si="3"/>
        <v>2690.8413333333338</v>
      </c>
      <c r="J34" s="23"/>
      <c r="K34" s="8"/>
      <c r="L34" s="8"/>
      <c r="M34" s="8"/>
    </row>
    <row r="35" spans="1:14" ht="15.75" customHeight="1">
      <c r="A35" s="40">
        <v>18</v>
      </c>
      <c r="B35" s="79" t="s">
        <v>117</v>
      </c>
      <c r="C35" s="80" t="s">
        <v>30</v>
      </c>
      <c r="D35" s="79" t="s">
        <v>63</v>
      </c>
      <c r="E35" s="88">
        <v>0.33</v>
      </c>
      <c r="F35" s="82">
        <v>51.666666666666664</v>
      </c>
      <c r="G35" s="82">
        <v>56.69</v>
      </c>
      <c r="H35" s="83">
        <f>SUM(G35*155/3/1000)</f>
        <v>2.9289833333333331</v>
      </c>
      <c r="I35" s="13">
        <f t="shared" si="3"/>
        <v>488.16388888888883</v>
      </c>
      <c r="J35" s="23"/>
      <c r="K35" s="8"/>
    </row>
    <row r="36" spans="1:14" ht="15.75" hidden="1" customHeight="1">
      <c r="A36" s="40">
        <v>4</v>
      </c>
      <c r="B36" s="79" t="s">
        <v>65</v>
      </c>
      <c r="C36" s="80" t="s">
        <v>33</v>
      </c>
      <c r="D36" s="79" t="s">
        <v>67</v>
      </c>
      <c r="E36" s="81"/>
      <c r="F36" s="82">
        <v>4</v>
      </c>
      <c r="G36" s="82">
        <v>191.32</v>
      </c>
      <c r="H36" s="83">
        <f t="shared" ref="H36:H37" si="4">SUM(F36*G36/1000)</f>
        <v>0.76527999999999996</v>
      </c>
      <c r="I36" s="13">
        <v>0</v>
      </c>
      <c r="J36" s="24"/>
    </row>
    <row r="37" spans="1:14" ht="15.75" hidden="1" customHeight="1">
      <c r="A37" s="30">
        <v>8</v>
      </c>
      <c r="B37" s="79" t="s">
        <v>66</v>
      </c>
      <c r="C37" s="80" t="s">
        <v>32</v>
      </c>
      <c r="D37" s="79" t="s">
        <v>67</v>
      </c>
      <c r="E37" s="81"/>
      <c r="F37" s="82">
        <v>3</v>
      </c>
      <c r="G37" s="82">
        <v>1136.32</v>
      </c>
      <c r="H37" s="83">
        <f t="shared" si="4"/>
        <v>3.40896</v>
      </c>
      <c r="I37" s="13">
        <v>0</v>
      </c>
      <c r="J37" s="24"/>
    </row>
    <row r="38" spans="1:14" ht="15.75" hidden="1" customHeight="1">
      <c r="A38" s="40"/>
      <c r="B38" s="48" t="s">
        <v>5</v>
      </c>
      <c r="C38" s="48"/>
      <c r="D38" s="48"/>
      <c r="E38" s="48"/>
      <c r="F38" s="13"/>
      <c r="G38" s="14"/>
      <c r="H38" s="14"/>
      <c r="I38" s="19"/>
      <c r="J38" s="24"/>
    </row>
    <row r="39" spans="1:14" ht="15.75" hidden="1" customHeight="1">
      <c r="A39" s="33">
        <v>6</v>
      </c>
      <c r="B39" s="79" t="s">
        <v>26</v>
      </c>
      <c r="C39" s="80" t="s">
        <v>32</v>
      </c>
      <c r="D39" s="79"/>
      <c r="E39" s="81"/>
      <c r="F39" s="82">
        <v>10</v>
      </c>
      <c r="G39" s="82">
        <v>1527.22</v>
      </c>
      <c r="H39" s="83">
        <f t="shared" ref="H39:H45" si="5">SUM(F39*G39/1000)</f>
        <v>15.272200000000002</v>
      </c>
      <c r="I39" s="13">
        <f>F39/6*G39</f>
        <v>2545.3666666666668</v>
      </c>
      <c r="J39" s="24"/>
    </row>
    <row r="40" spans="1:14" ht="15.75" hidden="1" customHeight="1">
      <c r="A40" s="33">
        <v>7</v>
      </c>
      <c r="B40" s="79" t="s">
        <v>68</v>
      </c>
      <c r="C40" s="80" t="s">
        <v>29</v>
      </c>
      <c r="D40" s="79" t="s">
        <v>137</v>
      </c>
      <c r="E40" s="82">
        <v>567.9</v>
      </c>
      <c r="F40" s="82">
        <f>SUM(E40*50/1000)</f>
        <v>28.395</v>
      </c>
      <c r="G40" s="82">
        <v>2102.71</v>
      </c>
      <c r="H40" s="83">
        <f t="shared" si="5"/>
        <v>59.706450449999998</v>
      </c>
      <c r="I40" s="13">
        <f>F40/6*G40</f>
        <v>9951.0750750000007</v>
      </c>
      <c r="J40" s="24"/>
    </row>
    <row r="41" spans="1:14" ht="15.75" hidden="1" customHeight="1">
      <c r="A41" s="33">
        <v>8</v>
      </c>
      <c r="B41" s="79" t="s">
        <v>95</v>
      </c>
      <c r="C41" s="80" t="s">
        <v>150</v>
      </c>
      <c r="D41" s="79" t="s">
        <v>67</v>
      </c>
      <c r="E41" s="81"/>
      <c r="F41" s="82">
        <v>66</v>
      </c>
      <c r="G41" s="82">
        <v>213.2</v>
      </c>
      <c r="H41" s="83">
        <f t="shared" si="5"/>
        <v>14.071199999999999</v>
      </c>
      <c r="I41" s="13">
        <v>0</v>
      </c>
      <c r="J41" s="24"/>
    </row>
    <row r="42" spans="1:14" ht="15.75" hidden="1" customHeight="1">
      <c r="A42" s="33">
        <v>8</v>
      </c>
      <c r="B42" s="79" t="s">
        <v>69</v>
      </c>
      <c r="C42" s="80" t="s">
        <v>29</v>
      </c>
      <c r="D42" s="79" t="s">
        <v>118</v>
      </c>
      <c r="E42" s="82">
        <v>108</v>
      </c>
      <c r="F42" s="82">
        <f>SUM(E42*155/1000)</f>
        <v>16.739999999999998</v>
      </c>
      <c r="G42" s="82">
        <v>350.75</v>
      </c>
      <c r="H42" s="83">
        <f t="shared" si="5"/>
        <v>5.871554999999999</v>
      </c>
      <c r="I42" s="13">
        <f>F42/6*G42</f>
        <v>978.59249999999986</v>
      </c>
      <c r="J42" s="24"/>
    </row>
    <row r="43" spans="1:14" ht="47.25" hidden="1" customHeight="1">
      <c r="A43" s="33">
        <v>9</v>
      </c>
      <c r="B43" s="79" t="s">
        <v>84</v>
      </c>
      <c r="C43" s="80" t="s">
        <v>114</v>
      </c>
      <c r="D43" s="79" t="s">
        <v>138</v>
      </c>
      <c r="E43" s="82">
        <v>108</v>
      </c>
      <c r="F43" s="82">
        <f>SUM(E43*20/1000)</f>
        <v>2.16</v>
      </c>
      <c r="G43" s="82">
        <v>5803.28</v>
      </c>
      <c r="H43" s="83">
        <f t="shared" si="5"/>
        <v>12.5350848</v>
      </c>
      <c r="I43" s="13">
        <f>F43/6*G43</f>
        <v>2089.1808000000001</v>
      </c>
      <c r="J43" s="24"/>
    </row>
    <row r="44" spans="1:14" ht="15.75" hidden="1" customHeight="1">
      <c r="A44" s="33">
        <v>10</v>
      </c>
      <c r="B44" s="79" t="s">
        <v>119</v>
      </c>
      <c r="C44" s="80" t="s">
        <v>114</v>
      </c>
      <c r="D44" s="79" t="s">
        <v>70</v>
      </c>
      <c r="E44" s="82">
        <v>108</v>
      </c>
      <c r="F44" s="82">
        <f>SUM(E44*45/1000)</f>
        <v>4.8600000000000003</v>
      </c>
      <c r="G44" s="82">
        <v>428.7</v>
      </c>
      <c r="H44" s="83">
        <f t="shared" si="5"/>
        <v>2.0834820000000001</v>
      </c>
      <c r="I44" s="13">
        <f>F44/6*G44</f>
        <v>347.24700000000001</v>
      </c>
      <c r="J44" s="24"/>
      <c r="L44" s="20"/>
      <c r="M44" s="21"/>
      <c r="N44" s="22"/>
    </row>
    <row r="45" spans="1:14" ht="15.75" hidden="1" customHeight="1">
      <c r="A45" s="33">
        <v>11</v>
      </c>
      <c r="B45" s="79" t="s">
        <v>71</v>
      </c>
      <c r="C45" s="80" t="s">
        <v>33</v>
      </c>
      <c r="D45" s="79"/>
      <c r="E45" s="81"/>
      <c r="F45" s="82">
        <v>0.9</v>
      </c>
      <c r="G45" s="82">
        <v>798</v>
      </c>
      <c r="H45" s="83">
        <f t="shared" si="5"/>
        <v>0.71820000000000006</v>
      </c>
      <c r="I45" s="13">
        <f>F45/6*G45</f>
        <v>119.69999999999999</v>
      </c>
      <c r="J45" s="24"/>
      <c r="L45" s="20"/>
      <c r="M45" s="21"/>
      <c r="N45" s="22"/>
    </row>
    <row r="46" spans="1:14" ht="15.75" customHeight="1">
      <c r="A46" s="183" t="s">
        <v>144</v>
      </c>
      <c r="B46" s="184"/>
      <c r="C46" s="184"/>
      <c r="D46" s="184"/>
      <c r="E46" s="184"/>
      <c r="F46" s="184"/>
      <c r="G46" s="184"/>
      <c r="H46" s="184"/>
      <c r="I46" s="185"/>
      <c r="J46" s="24"/>
      <c r="L46" s="20"/>
      <c r="M46" s="21"/>
      <c r="N46" s="22"/>
    </row>
    <row r="47" spans="1:14" ht="15.75" customHeight="1">
      <c r="A47" s="40">
        <v>19</v>
      </c>
      <c r="B47" s="79" t="s">
        <v>120</v>
      </c>
      <c r="C47" s="80" t="s">
        <v>114</v>
      </c>
      <c r="D47" s="79" t="s">
        <v>41</v>
      </c>
      <c r="E47" s="81">
        <v>1571.3</v>
      </c>
      <c r="F47" s="82">
        <f>SUM(E47*2/1000)</f>
        <v>3.1425999999999998</v>
      </c>
      <c r="G47" s="13">
        <v>849.49</v>
      </c>
      <c r="H47" s="83">
        <f t="shared" ref="H47:H55" si="6">SUM(F47*G47/1000)</f>
        <v>2.6696072740000001</v>
      </c>
      <c r="I47" s="13">
        <f t="shared" ref="I47:I49" si="7">F47/2*G47</f>
        <v>1334.803637</v>
      </c>
      <c r="J47" s="24"/>
      <c r="L47" s="20"/>
      <c r="M47" s="21"/>
      <c r="N47" s="22"/>
    </row>
    <row r="48" spans="1:14" ht="15.75" customHeight="1">
      <c r="A48" s="40">
        <v>20</v>
      </c>
      <c r="B48" s="79" t="s">
        <v>34</v>
      </c>
      <c r="C48" s="80" t="s">
        <v>114</v>
      </c>
      <c r="D48" s="79" t="s">
        <v>41</v>
      </c>
      <c r="E48" s="81">
        <v>92.8</v>
      </c>
      <c r="F48" s="82">
        <f>SUM(E48*2/1000)</f>
        <v>0.18559999999999999</v>
      </c>
      <c r="G48" s="13">
        <v>579.48</v>
      </c>
      <c r="H48" s="83">
        <f t="shared" si="6"/>
        <v>0.10755148799999999</v>
      </c>
      <c r="I48" s="13">
        <f t="shared" si="7"/>
        <v>53.775743999999996</v>
      </c>
      <c r="J48" s="24"/>
      <c r="L48" s="20"/>
      <c r="M48" s="21"/>
      <c r="N48" s="22"/>
    </row>
    <row r="49" spans="1:14" ht="15.75" customHeight="1">
      <c r="A49" s="40">
        <v>21</v>
      </c>
      <c r="B49" s="79" t="s">
        <v>35</v>
      </c>
      <c r="C49" s="80" t="s">
        <v>114</v>
      </c>
      <c r="D49" s="79" t="s">
        <v>41</v>
      </c>
      <c r="E49" s="81">
        <v>4737.7</v>
      </c>
      <c r="F49" s="82">
        <f>SUM(E49*2/1000)</f>
        <v>9.4754000000000005</v>
      </c>
      <c r="G49" s="13">
        <v>579.48</v>
      </c>
      <c r="H49" s="83">
        <f t="shared" si="6"/>
        <v>5.4908047920000005</v>
      </c>
      <c r="I49" s="13">
        <f t="shared" si="7"/>
        <v>2745.4023960000004</v>
      </c>
      <c r="J49" s="24"/>
      <c r="L49" s="20"/>
      <c r="M49" s="21"/>
      <c r="N49" s="22"/>
    </row>
    <row r="50" spans="1:14" ht="15.75" customHeight="1">
      <c r="A50" s="40">
        <v>22</v>
      </c>
      <c r="B50" s="79" t="s">
        <v>36</v>
      </c>
      <c r="C50" s="80" t="s">
        <v>114</v>
      </c>
      <c r="D50" s="79" t="s">
        <v>41</v>
      </c>
      <c r="E50" s="81">
        <v>2811.99</v>
      </c>
      <c r="F50" s="82">
        <f>SUM(E50*2/1000)</f>
        <v>5.6239799999999995</v>
      </c>
      <c r="G50" s="13">
        <v>606.77</v>
      </c>
      <c r="H50" s="83">
        <f t="shared" si="6"/>
        <v>3.4124623445999998</v>
      </c>
      <c r="I50" s="13">
        <f>F50/2*G50</f>
        <v>1706.2311722999998</v>
      </c>
      <c r="J50" s="24"/>
      <c r="L50" s="20"/>
      <c r="M50" s="21"/>
      <c r="N50" s="22"/>
    </row>
    <row r="51" spans="1:14" ht="15.75" customHeight="1">
      <c r="A51" s="40">
        <v>23</v>
      </c>
      <c r="B51" s="79" t="s">
        <v>56</v>
      </c>
      <c r="C51" s="80" t="s">
        <v>114</v>
      </c>
      <c r="D51" s="79" t="s">
        <v>151</v>
      </c>
      <c r="E51" s="81">
        <v>1571.3</v>
      </c>
      <c r="F51" s="82">
        <f>SUM(E51*5/1000)</f>
        <v>7.8564999999999996</v>
      </c>
      <c r="G51" s="13">
        <v>1213.55</v>
      </c>
      <c r="H51" s="83">
        <f t="shared" si="6"/>
        <v>9.5342555749999995</v>
      </c>
      <c r="I51" s="13">
        <f>F51/5*G51</f>
        <v>1906.8511149999999</v>
      </c>
      <c r="J51" s="24"/>
      <c r="L51" s="20"/>
      <c r="M51" s="21"/>
      <c r="N51" s="22"/>
    </row>
    <row r="52" spans="1:14" ht="31.5" hidden="1" customHeight="1">
      <c r="A52" s="40">
        <v>12</v>
      </c>
      <c r="B52" s="79" t="s">
        <v>121</v>
      </c>
      <c r="C52" s="80" t="s">
        <v>114</v>
      </c>
      <c r="D52" s="79" t="s">
        <v>41</v>
      </c>
      <c r="E52" s="81">
        <v>1571.3</v>
      </c>
      <c r="F52" s="82">
        <f>SUM(E52*2/1000)</f>
        <v>3.1425999999999998</v>
      </c>
      <c r="G52" s="13">
        <v>1213.55</v>
      </c>
      <c r="H52" s="83">
        <f t="shared" si="6"/>
        <v>3.8137022300000001</v>
      </c>
      <c r="I52" s="13">
        <f t="shared" ref="I52:I53" si="8">F52/2*G52</f>
        <v>1906.8511149999999</v>
      </c>
      <c r="J52" s="24"/>
      <c r="L52" s="20"/>
      <c r="M52" s="21"/>
      <c r="N52" s="22"/>
    </row>
    <row r="53" spans="1:14" ht="31.5" hidden="1" customHeight="1">
      <c r="A53" s="40">
        <v>13</v>
      </c>
      <c r="B53" s="79" t="s">
        <v>122</v>
      </c>
      <c r="C53" s="80" t="s">
        <v>37</v>
      </c>
      <c r="D53" s="79" t="s">
        <v>41</v>
      </c>
      <c r="E53" s="81">
        <v>40</v>
      </c>
      <c r="F53" s="82">
        <f>SUM(E53*2/100)</f>
        <v>0.8</v>
      </c>
      <c r="G53" s="13">
        <v>2730.49</v>
      </c>
      <c r="H53" s="83">
        <f t="shared" si="6"/>
        <v>2.1843919999999999</v>
      </c>
      <c r="I53" s="13">
        <f t="shared" si="8"/>
        <v>1092.1959999999999</v>
      </c>
      <c r="J53" s="24"/>
      <c r="L53" s="20"/>
      <c r="M53" s="21"/>
      <c r="N53" s="22"/>
    </row>
    <row r="54" spans="1:14" ht="15.75" hidden="1" customHeight="1">
      <c r="A54" s="40">
        <v>12</v>
      </c>
      <c r="B54" s="79" t="s">
        <v>38</v>
      </c>
      <c r="C54" s="80" t="s">
        <v>39</v>
      </c>
      <c r="D54" s="79" t="s">
        <v>41</v>
      </c>
      <c r="E54" s="81">
        <v>1</v>
      </c>
      <c r="F54" s="82">
        <v>0.02</v>
      </c>
      <c r="G54" s="13">
        <v>5652.13</v>
      </c>
      <c r="H54" s="83">
        <f t="shared" si="6"/>
        <v>0.11304260000000001</v>
      </c>
      <c r="I54" s="13">
        <f>F54/2*G54</f>
        <v>56.521300000000004</v>
      </c>
      <c r="J54" s="24"/>
      <c r="L54" s="20"/>
      <c r="M54" s="21"/>
      <c r="N54" s="22"/>
    </row>
    <row r="55" spans="1:14" ht="15.75" hidden="1" customHeight="1">
      <c r="A55" s="40">
        <v>13</v>
      </c>
      <c r="B55" s="79" t="s">
        <v>40</v>
      </c>
      <c r="C55" s="80" t="s">
        <v>123</v>
      </c>
      <c r="D55" s="79" t="s">
        <v>72</v>
      </c>
      <c r="E55" s="81">
        <v>238</v>
      </c>
      <c r="F55" s="82">
        <f>SUM(E55)*3</f>
        <v>714</v>
      </c>
      <c r="G55" s="13">
        <v>65.67</v>
      </c>
      <c r="H55" s="83">
        <f t="shared" si="6"/>
        <v>46.888380000000005</v>
      </c>
      <c r="I55" s="13">
        <f>E55*G55</f>
        <v>15629.460000000001</v>
      </c>
      <c r="J55" s="24"/>
      <c r="L55" s="20"/>
      <c r="M55" s="21"/>
      <c r="N55" s="22"/>
    </row>
    <row r="56" spans="1:14" ht="15.75" customHeight="1">
      <c r="A56" s="170" t="s">
        <v>145</v>
      </c>
      <c r="B56" s="171"/>
      <c r="C56" s="171"/>
      <c r="D56" s="171"/>
      <c r="E56" s="171"/>
      <c r="F56" s="171"/>
      <c r="G56" s="171"/>
      <c r="H56" s="171"/>
      <c r="I56" s="172"/>
      <c r="J56" s="24"/>
      <c r="L56" s="20"/>
      <c r="M56" s="21"/>
      <c r="N56" s="22"/>
    </row>
    <row r="57" spans="1:14" ht="15.75" hidden="1" customHeight="1">
      <c r="A57" s="52"/>
      <c r="B57" s="47" t="s">
        <v>42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hidden="1" customHeight="1">
      <c r="A58" s="40">
        <v>14</v>
      </c>
      <c r="B58" s="79" t="s">
        <v>139</v>
      </c>
      <c r="C58" s="80" t="s">
        <v>104</v>
      </c>
      <c r="D58" s="79" t="s">
        <v>124</v>
      </c>
      <c r="E58" s="81">
        <v>48</v>
      </c>
      <c r="F58" s="82">
        <f>E58*6/100</f>
        <v>2.88</v>
      </c>
      <c r="G58" s="89">
        <v>1547.28</v>
      </c>
      <c r="H58" s="83">
        <f>F58*G58/1000</f>
        <v>4.4561663999999999</v>
      </c>
      <c r="I58" s="13">
        <f>F58/6*G58</f>
        <v>742.69439999999997</v>
      </c>
      <c r="J58" s="24"/>
      <c r="L58" s="20"/>
      <c r="M58" s="21"/>
      <c r="N58" s="22"/>
    </row>
    <row r="59" spans="1:14" ht="15.75" hidden="1" customHeight="1">
      <c r="A59" s="40">
        <v>15</v>
      </c>
      <c r="B59" s="90" t="s">
        <v>96</v>
      </c>
      <c r="C59" s="91" t="s">
        <v>104</v>
      </c>
      <c r="D59" s="90" t="s">
        <v>140</v>
      </c>
      <c r="E59" s="92">
        <v>56</v>
      </c>
      <c r="F59" s="93">
        <f>E59*4/100</f>
        <v>2.2400000000000002</v>
      </c>
      <c r="G59" s="89">
        <v>1547.28</v>
      </c>
      <c r="H59" s="94">
        <f>F59*G59/1000</f>
        <v>3.4659072000000002</v>
      </c>
      <c r="I59" s="13">
        <f>F59/6*G59</f>
        <v>577.65120000000002</v>
      </c>
      <c r="J59" s="24"/>
      <c r="L59" s="20"/>
      <c r="M59" s="21"/>
      <c r="N59" s="22"/>
    </row>
    <row r="60" spans="1:14" ht="15.75" hidden="1" customHeight="1">
      <c r="A60" s="40">
        <v>15</v>
      </c>
      <c r="B60" s="90" t="s">
        <v>100</v>
      </c>
      <c r="C60" s="91" t="s">
        <v>101</v>
      </c>
      <c r="D60" s="90" t="s">
        <v>41</v>
      </c>
      <c r="E60" s="92">
        <v>8</v>
      </c>
      <c r="F60" s="93">
        <v>16</v>
      </c>
      <c r="G60" s="95">
        <v>180.78</v>
      </c>
      <c r="H60" s="94">
        <f>F60*G60/1000</f>
        <v>2.8924799999999999</v>
      </c>
      <c r="I60" s="13">
        <f>F60/2*G60</f>
        <v>1446.24</v>
      </c>
      <c r="J60" s="24"/>
      <c r="L60" s="20"/>
      <c r="M60" s="21"/>
      <c r="N60" s="22"/>
    </row>
    <row r="61" spans="1:14" ht="15.75" customHeight="1">
      <c r="A61" s="40"/>
      <c r="B61" s="69" t="s">
        <v>43</v>
      </c>
      <c r="C61" s="69"/>
      <c r="D61" s="69"/>
      <c r="E61" s="69"/>
      <c r="F61" s="69"/>
      <c r="G61" s="69"/>
      <c r="H61" s="69"/>
      <c r="I61" s="35"/>
      <c r="J61" s="24"/>
      <c r="L61" s="20"/>
      <c r="M61" s="21"/>
      <c r="N61" s="22"/>
    </row>
    <row r="62" spans="1:14" ht="15.75" customHeight="1">
      <c r="A62" s="40">
        <v>24</v>
      </c>
      <c r="B62" s="90" t="s">
        <v>97</v>
      </c>
      <c r="C62" s="91" t="s">
        <v>25</v>
      </c>
      <c r="D62" s="90" t="s">
        <v>152</v>
      </c>
      <c r="E62" s="92">
        <v>331.5</v>
      </c>
      <c r="F62" s="93">
        <f>E62*12</f>
        <v>3978</v>
      </c>
      <c r="G62" s="96">
        <v>1.2</v>
      </c>
      <c r="H62" s="94">
        <f>G62*F62/1000</f>
        <v>4.7735999999999992</v>
      </c>
      <c r="I62" s="13">
        <f>2400/12*G62</f>
        <v>240</v>
      </c>
      <c r="J62" s="24"/>
      <c r="L62" s="20"/>
      <c r="M62" s="21"/>
      <c r="N62" s="22"/>
    </row>
    <row r="63" spans="1:14" ht="15.75" hidden="1" customHeight="1">
      <c r="A63" s="40">
        <v>14</v>
      </c>
      <c r="B63" s="90" t="s">
        <v>44</v>
      </c>
      <c r="C63" s="91" t="s">
        <v>25</v>
      </c>
      <c r="D63" s="90" t="s">
        <v>53</v>
      </c>
      <c r="E63" s="92">
        <v>1571.3</v>
      </c>
      <c r="F63" s="93">
        <f>E63/100</f>
        <v>15.712999999999999</v>
      </c>
      <c r="G63" s="97">
        <v>793.61</v>
      </c>
      <c r="H63" s="94">
        <f>G63*F63/1000</f>
        <v>12.469993929999999</v>
      </c>
      <c r="I63" s="13">
        <v>0</v>
      </c>
      <c r="J63" s="24"/>
      <c r="L63" s="20"/>
      <c r="M63" s="21"/>
      <c r="N63" s="22"/>
    </row>
    <row r="64" spans="1:14" ht="15.75" customHeight="1">
      <c r="A64" s="40"/>
      <c r="B64" s="69" t="s">
        <v>45</v>
      </c>
      <c r="C64" s="17"/>
      <c r="D64" s="37"/>
      <c r="E64" s="37"/>
      <c r="F64" s="16"/>
      <c r="G64" s="30"/>
      <c r="H64" s="30"/>
      <c r="I64" s="19"/>
      <c r="J64" s="24"/>
      <c r="L64" s="20"/>
      <c r="M64" s="21"/>
      <c r="N64" s="22"/>
    </row>
    <row r="65" spans="1:22" ht="15.75" hidden="1" customHeight="1">
      <c r="A65" s="40">
        <v>25</v>
      </c>
      <c r="B65" s="15" t="s">
        <v>46</v>
      </c>
      <c r="C65" s="17" t="s">
        <v>123</v>
      </c>
      <c r="D65" s="15" t="s">
        <v>67</v>
      </c>
      <c r="E65" s="19">
        <v>35</v>
      </c>
      <c r="F65" s="82">
        <v>35</v>
      </c>
      <c r="G65" s="13">
        <v>222.4</v>
      </c>
      <c r="H65" s="98">
        <f t="shared" ref="H65:H72" si="9">SUM(F65*G65/1000)</f>
        <v>7.7839999999999998</v>
      </c>
      <c r="I65" s="13">
        <f>G65*8</f>
        <v>1779.2</v>
      </c>
      <c r="J65" s="24"/>
      <c r="L65" s="20"/>
    </row>
    <row r="66" spans="1:22" ht="15.75" hidden="1" customHeight="1">
      <c r="A66" s="30">
        <v>29</v>
      </c>
      <c r="B66" s="15" t="s">
        <v>47</v>
      </c>
      <c r="C66" s="17" t="s">
        <v>123</v>
      </c>
      <c r="D66" s="15" t="s">
        <v>67</v>
      </c>
      <c r="E66" s="19">
        <v>17</v>
      </c>
      <c r="F66" s="82">
        <v>20</v>
      </c>
      <c r="G66" s="13">
        <v>76.25</v>
      </c>
      <c r="H66" s="98">
        <f t="shared" si="9"/>
        <v>1.5249999999999999</v>
      </c>
      <c r="I66" s="13">
        <v>0</v>
      </c>
    </row>
    <row r="67" spans="1:22" ht="15.75" customHeight="1">
      <c r="A67" s="30">
        <v>25</v>
      </c>
      <c r="B67" s="15" t="s">
        <v>48</v>
      </c>
      <c r="C67" s="17" t="s">
        <v>125</v>
      </c>
      <c r="D67" s="15" t="s">
        <v>53</v>
      </c>
      <c r="E67" s="81">
        <v>22639</v>
      </c>
      <c r="F67" s="13">
        <f>SUM(E67/100)</f>
        <v>226.39</v>
      </c>
      <c r="G67" s="13">
        <v>212.15</v>
      </c>
      <c r="H67" s="98">
        <f t="shared" si="9"/>
        <v>48.0286385</v>
      </c>
      <c r="I67" s="13">
        <f>F67*G67</f>
        <v>48028.638500000001</v>
      </c>
    </row>
    <row r="68" spans="1:22" ht="15.75" customHeight="1">
      <c r="A68" s="30">
        <v>26</v>
      </c>
      <c r="B68" s="15" t="s">
        <v>49</v>
      </c>
      <c r="C68" s="17" t="s">
        <v>126</v>
      </c>
      <c r="D68" s="15"/>
      <c r="E68" s="81">
        <v>22639</v>
      </c>
      <c r="F68" s="13">
        <f>SUM(E68/1000)</f>
        <v>22.638999999999999</v>
      </c>
      <c r="G68" s="13">
        <v>165.21</v>
      </c>
      <c r="H68" s="98">
        <f t="shared" si="9"/>
        <v>3.7401891900000002</v>
      </c>
      <c r="I68" s="13">
        <f t="shared" ref="I68:I71" si="10">F68*G68</f>
        <v>3740.1891900000001</v>
      </c>
    </row>
    <row r="69" spans="1:22" ht="15.75" customHeight="1">
      <c r="A69" s="30">
        <v>27</v>
      </c>
      <c r="B69" s="15" t="s">
        <v>50</v>
      </c>
      <c r="C69" s="17" t="s">
        <v>77</v>
      </c>
      <c r="D69" s="15" t="s">
        <v>53</v>
      </c>
      <c r="E69" s="81">
        <v>3145</v>
      </c>
      <c r="F69" s="13">
        <f>SUM(E69/100)</f>
        <v>31.45</v>
      </c>
      <c r="G69" s="13">
        <v>2074.63</v>
      </c>
      <c r="H69" s="98">
        <f t="shared" si="9"/>
        <v>65.247113499999998</v>
      </c>
      <c r="I69" s="13">
        <f t="shared" si="10"/>
        <v>65247.113499999999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customHeight="1">
      <c r="A70" s="30">
        <v>28</v>
      </c>
      <c r="B70" s="99" t="s">
        <v>127</v>
      </c>
      <c r="C70" s="17" t="s">
        <v>33</v>
      </c>
      <c r="D70" s="15"/>
      <c r="E70" s="81">
        <v>20.28</v>
      </c>
      <c r="F70" s="13">
        <f>SUM(E70)</f>
        <v>20.28</v>
      </c>
      <c r="G70" s="13">
        <v>42.67</v>
      </c>
      <c r="H70" s="98">
        <f t="shared" si="9"/>
        <v>0.86534760000000011</v>
      </c>
      <c r="I70" s="13">
        <f t="shared" si="10"/>
        <v>865.34760000000006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customHeight="1">
      <c r="A71" s="30">
        <v>29</v>
      </c>
      <c r="B71" s="99" t="s">
        <v>153</v>
      </c>
      <c r="C71" s="17" t="s">
        <v>33</v>
      </c>
      <c r="D71" s="15"/>
      <c r="E71" s="81">
        <v>20.28</v>
      </c>
      <c r="F71" s="13">
        <f>SUM(E71)</f>
        <v>20.28</v>
      </c>
      <c r="G71" s="13">
        <v>39.81</v>
      </c>
      <c r="H71" s="98">
        <f t="shared" si="9"/>
        <v>0.80734680000000014</v>
      </c>
      <c r="I71" s="13">
        <f t="shared" si="10"/>
        <v>807.34680000000014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hidden="1" customHeight="1">
      <c r="A72" s="30">
        <v>13</v>
      </c>
      <c r="B72" s="15" t="s">
        <v>57</v>
      </c>
      <c r="C72" s="17" t="s">
        <v>58</v>
      </c>
      <c r="D72" s="15" t="s">
        <v>53</v>
      </c>
      <c r="E72" s="19">
        <v>15</v>
      </c>
      <c r="F72" s="82">
        <f>SUM(E72)</f>
        <v>15</v>
      </c>
      <c r="G72" s="13">
        <v>49.88</v>
      </c>
      <c r="H72" s="98">
        <f t="shared" si="9"/>
        <v>0.74820000000000009</v>
      </c>
      <c r="I72" s="13">
        <v>0</v>
      </c>
      <c r="J72" s="5"/>
      <c r="K72" s="5"/>
      <c r="L72" s="5"/>
      <c r="M72" s="5"/>
      <c r="N72" s="5"/>
      <c r="O72" s="5"/>
      <c r="P72" s="5"/>
      <c r="Q72" s="5"/>
      <c r="R72" s="161"/>
      <c r="S72" s="161"/>
      <c r="T72" s="161"/>
      <c r="U72" s="161"/>
    </row>
    <row r="73" spans="1:22" ht="15.75" hidden="1" customHeight="1">
      <c r="A73" s="30"/>
      <c r="B73" s="48" t="s">
        <v>73</v>
      </c>
      <c r="C73" s="48"/>
      <c r="D73" s="48"/>
      <c r="E73" s="48"/>
      <c r="F73" s="19"/>
      <c r="G73" s="30"/>
      <c r="H73" s="30"/>
      <c r="I73" s="19"/>
    </row>
    <row r="74" spans="1:22" ht="15.75" hidden="1" customHeight="1">
      <c r="A74" s="30">
        <v>15</v>
      </c>
      <c r="B74" s="15" t="s">
        <v>74</v>
      </c>
      <c r="C74" s="17" t="s">
        <v>31</v>
      </c>
      <c r="D74" s="15"/>
      <c r="E74" s="19">
        <v>5</v>
      </c>
      <c r="F74" s="100">
        <v>0.5</v>
      </c>
      <c r="G74" s="13">
        <v>501.62</v>
      </c>
      <c r="H74" s="98">
        <f>F74*G74/1000</f>
        <v>0.25080999999999998</v>
      </c>
      <c r="I74" s="13">
        <v>0</v>
      </c>
    </row>
    <row r="75" spans="1:22" ht="15.75" hidden="1" customHeight="1">
      <c r="A75" s="30"/>
      <c r="B75" s="15" t="s">
        <v>131</v>
      </c>
      <c r="C75" s="17" t="s">
        <v>30</v>
      </c>
      <c r="D75" s="15"/>
      <c r="E75" s="19">
        <v>1</v>
      </c>
      <c r="F75" s="13">
        <v>1</v>
      </c>
      <c r="G75" s="13">
        <v>120.26</v>
      </c>
      <c r="H75" s="98">
        <f>G75*F75/1000</f>
        <v>0.12026000000000001</v>
      </c>
      <c r="I75" s="13">
        <v>0</v>
      </c>
    </row>
    <row r="76" spans="1:22" ht="15.75" hidden="1" customHeight="1">
      <c r="A76" s="30"/>
      <c r="B76" s="15" t="s">
        <v>130</v>
      </c>
      <c r="C76" s="17" t="s">
        <v>30</v>
      </c>
      <c r="D76" s="15"/>
      <c r="E76" s="19">
        <v>1</v>
      </c>
      <c r="F76" s="100">
        <v>1</v>
      </c>
      <c r="G76" s="13">
        <v>99.85</v>
      </c>
      <c r="H76" s="98">
        <f>G76*F76/1000</f>
        <v>9.9849999999999994E-2</v>
      </c>
      <c r="I76" s="13">
        <v>0</v>
      </c>
    </row>
    <row r="77" spans="1:22" ht="15.75" hidden="1" customHeight="1">
      <c r="A77" s="30"/>
      <c r="B77" s="15" t="s">
        <v>88</v>
      </c>
      <c r="C77" s="17" t="s">
        <v>30</v>
      </c>
      <c r="D77" s="15"/>
      <c r="E77" s="19">
        <v>2</v>
      </c>
      <c r="F77" s="82">
        <f>SUM(E77)</f>
        <v>2</v>
      </c>
      <c r="G77" s="13">
        <v>358.51</v>
      </c>
      <c r="H77" s="98">
        <f t="shared" ref="H77" si="11">SUM(F77*G77/1000)</f>
        <v>0.71701999999999999</v>
      </c>
      <c r="I77" s="13">
        <v>0</v>
      </c>
    </row>
    <row r="78" spans="1:22" ht="15.75" hidden="1" customHeight="1">
      <c r="A78" s="30">
        <v>18</v>
      </c>
      <c r="B78" s="15" t="s">
        <v>75</v>
      </c>
      <c r="C78" s="17" t="s">
        <v>30</v>
      </c>
      <c r="D78" s="15"/>
      <c r="E78" s="19">
        <v>2</v>
      </c>
      <c r="F78" s="13">
        <v>2</v>
      </c>
      <c r="G78" s="13">
        <v>852.99</v>
      </c>
      <c r="H78" s="98">
        <f>F78*G78/1000</f>
        <v>1.7059800000000001</v>
      </c>
      <c r="I78" s="13">
        <f>G78</f>
        <v>852.99</v>
      </c>
    </row>
    <row r="79" spans="1:22" ht="15.75" hidden="1" customHeight="1">
      <c r="A79" s="30"/>
      <c r="B79" s="49" t="s">
        <v>76</v>
      </c>
      <c r="C79" s="38"/>
      <c r="D79" s="30"/>
      <c r="E79" s="30"/>
      <c r="F79" s="19"/>
      <c r="G79" s="36"/>
      <c r="H79" s="36"/>
      <c r="I79" s="19"/>
    </row>
    <row r="80" spans="1:22" ht="15.75" hidden="1" customHeight="1">
      <c r="A80" s="30">
        <v>39</v>
      </c>
      <c r="B80" s="51" t="s">
        <v>132</v>
      </c>
      <c r="C80" s="17" t="s">
        <v>77</v>
      </c>
      <c r="D80" s="15"/>
      <c r="E80" s="19"/>
      <c r="F80" s="13">
        <v>1.35</v>
      </c>
      <c r="G80" s="13">
        <v>2759.44</v>
      </c>
      <c r="H80" s="98">
        <f t="shared" ref="H80" si="12">SUM(F80*G80/1000)</f>
        <v>3.725244</v>
      </c>
      <c r="I80" s="13">
        <v>0</v>
      </c>
    </row>
    <row r="81" spans="1:21" ht="15.75" hidden="1" customHeight="1">
      <c r="A81" s="52"/>
      <c r="B81" s="69" t="s">
        <v>128</v>
      </c>
      <c r="C81" s="69"/>
      <c r="D81" s="69"/>
      <c r="E81" s="69"/>
      <c r="F81" s="69"/>
      <c r="G81" s="69"/>
      <c r="H81" s="69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36</v>
      </c>
      <c r="B82" s="79" t="s">
        <v>129</v>
      </c>
      <c r="C82" s="17"/>
      <c r="D82" s="15"/>
      <c r="E82" s="101"/>
      <c r="F82" s="13">
        <v>1</v>
      </c>
      <c r="G82" s="13">
        <v>25286</v>
      </c>
      <c r="H82" s="98">
        <f>G82*F82/1000</f>
        <v>25.286000000000001</v>
      </c>
      <c r="I82" s="13">
        <v>0</v>
      </c>
    </row>
    <row r="83" spans="1:21" ht="15.75" customHeight="1">
      <c r="A83" s="170" t="s">
        <v>146</v>
      </c>
      <c r="B83" s="171"/>
      <c r="C83" s="171"/>
      <c r="D83" s="171"/>
      <c r="E83" s="171"/>
      <c r="F83" s="171"/>
      <c r="G83" s="171"/>
      <c r="H83" s="171"/>
      <c r="I83" s="172"/>
    </row>
    <row r="84" spans="1:21" ht="15.75" customHeight="1">
      <c r="A84" s="30">
        <v>30</v>
      </c>
      <c r="B84" s="79" t="s">
        <v>133</v>
      </c>
      <c r="C84" s="17" t="s">
        <v>54</v>
      </c>
      <c r="D84" s="103" t="s">
        <v>55</v>
      </c>
      <c r="E84" s="13">
        <v>5836.1</v>
      </c>
      <c r="F84" s="13">
        <f>SUM(E84*12)</f>
        <v>70033.200000000012</v>
      </c>
      <c r="G84" s="13">
        <v>2.1</v>
      </c>
      <c r="H84" s="98">
        <f>SUM(F84*G84/1000)</f>
        <v>147.06972000000002</v>
      </c>
      <c r="I84" s="13">
        <f>F84/12*G84</f>
        <v>12255.810000000003</v>
      </c>
    </row>
    <row r="85" spans="1:21" ht="31.5" customHeight="1">
      <c r="A85" s="30">
        <v>31</v>
      </c>
      <c r="B85" s="15" t="s">
        <v>78</v>
      </c>
      <c r="C85" s="17"/>
      <c r="D85" s="103" t="s">
        <v>55</v>
      </c>
      <c r="E85" s="81">
        <v>5836.1</v>
      </c>
      <c r="F85" s="13">
        <f>E85*12</f>
        <v>70033.200000000012</v>
      </c>
      <c r="G85" s="13">
        <v>1.63</v>
      </c>
      <c r="H85" s="98">
        <f>F85*G85/1000</f>
        <v>114.15411600000002</v>
      </c>
      <c r="I85" s="13">
        <f>F85/12*G85</f>
        <v>9512.8430000000008</v>
      </c>
    </row>
    <row r="86" spans="1:21" ht="15.75" customHeight="1">
      <c r="A86" s="52"/>
      <c r="B86" s="39" t="s">
        <v>81</v>
      </c>
      <c r="C86" s="40"/>
      <c r="D86" s="16"/>
      <c r="E86" s="16"/>
      <c r="F86" s="16"/>
      <c r="G86" s="19"/>
      <c r="H86" s="19"/>
      <c r="I86" s="32">
        <f>I85+I84+I71+I70+I69+I68+I67+I62+I51+I50+I49+I48+I47+I35+I34+I33+I32+I31+I28+I27+I26+I25+I24+I23+I22+I21+I20+I19+I18+I17+I16</f>
        <v>202466.42060985559</v>
      </c>
    </row>
    <row r="87" spans="1:21" ht="15.75" customHeight="1">
      <c r="A87" s="173" t="s">
        <v>60</v>
      </c>
      <c r="B87" s="174"/>
      <c r="C87" s="174"/>
      <c r="D87" s="174"/>
      <c r="E87" s="174"/>
      <c r="F87" s="174"/>
      <c r="G87" s="174"/>
      <c r="H87" s="174"/>
      <c r="I87" s="175"/>
    </row>
    <row r="88" spans="1:21" ht="39.75" customHeight="1">
      <c r="A88" s="30">
        <v>32</v>
      </c>
      <c r="B88" s="55" t="s">
        <v>209</v>
      </c>
      <c r="C88" s="63" t="s">
        <v>92</v>
      </c>
      <c r="D88" s="51"/>
      <c r="E88" s="36"/>
      <c r="F88" s="36">
        <f>(3+3+30+25+15+20+20+3+15+15+20+10+3)/3</f>
        <v>60.666666666666664</v>
      </c>
      <c r="G88" s="36">
        <v>183.78</v>
      </c>
      <c r="H88" s="102">
        <f t="shared" ref="H88:H89" si="13">G88*F88/1000</f>
        <v>11.149319999999999</v>
      </c>
      <c r="I88" s="13">
        <f>G88*1</f>
        <v>183.78</v>
      </c>
    </row>
    <row r="89" spans="1:21" ht="18" customHeight="1">
      <c r="A89" s="30">
        <v>33</v>
      </c>
      <c r="B89" s="119" t="s">
        <v>210</v>
      </c>
      <c r="C89" s="116" t="s">
        <v>82</v>
      </c>
      <c r="D89" s="17" t="s">
        <v>91</v>
      </c>
      <c r="E89" s="36"/>
      <c r="F89" s="36">
        <v>4</v>
      </c>
      <c r="G89" s="36">
        <v>1749.7</v>
      </c>
      <c r="H89" s="102">
        <f t="shared" si="13"/>
        <v>6.9988000000000001</v>
      </c>
      <c r="I89" s="13">
        <f>G89*3</f>
        <v>5249.1</v>
      </c>
    </row>
    <row r="90" spans="1:21" ht="15.75" customHeight="1">
      <c r="A90" s="30"/>
      <c r="B90" s="45" t="s">
        <v>51</v>
      </c>
      <c r="C90" s="41"/>
      <c r="D90" s="53"/>
      <c r="E90" s="53"/>
      <c r="F90" s="41">
        <v>1</v>
      </c>
      <c r="G90" s="41"/>
      <c r="H90" s="41"/>
      <c r="I90" s="32">
        <f>I89+I88</f>
        <v>5432.88</v>
      </c>
    </row>
    <row r="91" spans="1:21" ht="15.75" customHeight="1">
      <c r="A91" s="30"/>
      <c r="B91" s="51" t="s">
        <v>79</v>
      </c>
      <c r="C91" s="16"/>
      <c r="D91" s="16"/>
      <c r="E91" s="16"/>
      <c r="F91" s="42"/>
      <c r="G91" s="43"/>
      <c r="H91" s="43"/>
      <c r="I91" s="18">
        <v>0</v>
      </c>
    </row>
    <row r="92" spans="1:21" ht="15.75" customHeight="1">
      <c r="A92" s="54"/>
      <c r="B92" s="46" t="s">
        <v>147</v>
      </c>
      <c r="C92" s="34"/>
      <c r="D92" s="34"/>
      <c r="E92" s="34"/>
      <c r="F92" s="34"/>
      <c r="G92" s="34"/>
      <c r="H92" s="34"/>
      <c r="I92" s="44">
        <f>I86+I90</f>
        <v>207899.30060985559</v>
      </c>
    </row>
    <row r="93" spans="1:21" ht="15.75" customHeight="1">
      <c r="A93" s="167" t="s">
        <v>212</v>
      </c>
      <c r="B93" s="167"/>
      <c r="C93" s="167"/>
      <c r="D93" s="167"/>
      <c r="E93" s="167"/>
      <c r="F93" s="167"/>
      <c r="G93" s="167"/>
      <c r="H93" s="167"/>
      <c r="I93" s="167"/>
    </row>
    <row r="94" spans="1:21" ht="15.75" customHeight="1">
      <c r="A94" s="70"/>
      <c r="B94" s="168" t="s">
        <v>213</v>
      </c>
      <c r="C94" s="168"/>
      <c r="D94" s="168"/>
      <c r="E94" s="168"/>
      <c r="F94" s="168"/>
      <c r="G94" s="168"/>
      <c r="H94" s="77"/>
      <c r="I94" s="3"/>
    </row>
    <row r="95" spans="1:21" ht="15.75" customHeight="1">
      <c r="A95" s="65"/>
      <c r="B95" s="166" t="s">
        <v>6</v>
      </c>
      <c r="C95" s="166"/>
      <c r="D95" s="166"/>
      <c r="E95" s="166"/>
      <c r="F95" s="166"/>
      <c r="G95" s="166"/>
      <c r="H95" s="25"/>
      <c r="I95" s="5"/>
    </row>
    <row r="96" spans="1:21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69" t="s">
        <v>7</v>
      </c>
      <c r="B97" s="169"/>
      <c r="C97" s="169"/>
      <c r="D97" s="169"/>
      <c r="E97" s="169"/>
      <c r="F97" s="169"/>
      <c r="G97" s="169"/>
      <c r="H97" s="169"/>
      <c r="I97" s="169"/>
    </row>
    <row r="98" spans="1:9" ht="15.75" customHeight="1">
      <c r="A98" s="169" t="s">
        <v>8</v>
      </c>
      <c r="B98" s="169"/>
      <c r="C98" s="169"/>
      <c r="D98" s="169"/>
      <c r="E98" s="169"/>
      <c r="F98" s="169"/>
      <c r="G98" s="169"/>
      <c r="H98" s="169"/>
      <c r="I98" s="169"/>
    </row>
    <row r="99" spans="1:9" ht="15.75" customHeight="1">
      <c r="A99" s="163" t="s">
        <v>61</v>
      </c>
      <c r="B99" s="163"/>
      <c r="C99" s="163"/>
      <c r="D99" s="163"/>
      <c r="E99" s="163"/>
      <c r="F99" s="163"/>
      <c r="G99" s="163"/>
      <c r="H99" s="163"/>
      <c r="I99" s="163"/>
    </row>
    <row r="100" spans="1:9" ht="15.75" customHeight="1">
      <c r="A100" s="11"/>
    </row>
    <row r="101" spans="1:9" ht="15.75" customHeight="1">
      <c r="A101" s="164" t="s">
        <v>9</v>
      </c>
      <c r="B101" s="164"/>
      <c r="C101" s="164"/>
      <c r="D101" s="164"/>
      <c r="E101" s="164"/>
      <c r="F101" s="164"/>
      <c r="G101" s="164"/>
      <c r="H101" s="164"/>
      <c r="I101" s="164"/>
    </row>
    <row r="102" spans="1:9" ht="15.75" customHeight="1">
      <c r="A102" s="4"/>
    </row>
    <row r="103" spans="1:9" ht="15.75" customHeight="1">
      <c r="B103" s="64" t="s">
        <v>10</v>
      </c>
      <c r="C103" s="165" t="s">
        <v>90</v>
      </c>
      <c r="D103" s="165"/>
      <c r="E103" s="165"/>
      <c r="F103" s="165"/>
      <c r="I103" s="67"/>
    </row>
    <row r="104" spans="1:9" ht="15.75" customHeight="1">
      <c r="A104" s="65"/>
      <c r="C104" s="166" t="s">
        <v>11</v>
      </c>
      <c r="D104" s="166"/>
      <c r="E104" s="166"/>
      <c r="F104" s="166"/>
      <c r="I104" s="66" t="s">
        <v>12</v>
      </c>
    </row>
    <row r="105" spans="1:9" ht="15.75" customHeight="1">
      <c r="A105" s="26"/>
      <c r="C105" s="12"/>
      <c r="D105" s="12"/>
      <c r="E105" s="12"/>
      <c r="G105" s="12"/>
      <c r="H105" s="12"/>
    </row>
    <row r="106" spans="1:9" ht="15.75" customHeight="1">
      <c r="B106" s="64" t="s">
        <v>13</v>
      </c>
      <c r="C106" s="160"/>
      <c r="D106" s="160"/>
      <c r="E106" s="160"/>
      <c r="F106" s="160"/>
      <c r="I106" s="67"/>
    </row>
    <row r="107" spans="1:9" ht="15.75" customHeight="1">
      <c r="A107" s="65"/>
      <c r="C107" s="161" t="s">
        <v>11</v>
      </c>
      <c r="D107" s="161"/>
      <c r="E107" s="161"/>
      <c r="F107" s="161"/>
      <c r="I107" s="66" t="s">
        <v>12</v>
      </c>
    </row>
    <row r="108" spans="1:9" ht="15.75" customHeight="1">
      <c r="A108" s="4" t="s">
        <v>14</v>
      </c>
    </row>
    <row r="109" spans="1:9" ht="15.75" customHeight="1">
      <c r="A109" s="162" t="s">
        <v>15</v>
      </c>
      <c r="B109" s="162"/>
      <c r="C109" s="162"/>
      <c r="D109" s="162"/>
      <c r="E109" s="162"/>
      <c r="F109" s="162"/>
      <c r="G109" s="162"/>
      <c r="H109" s="162"/>
      <c r="I109" s="162"/>
    </row>
    <row r="110" spans="1:9" ht="45" customHeight="1">
      <c r="A110" s="159" t="s">
        <v>16</v>
      </c>
      <c r="B110" s="159"/>
      <c r="C110" s="159"/>
      <c r="D110" s="159"/>
      <c r="E110" s="159"/>
      <c r="F110" s="159"/>
      <c r="G110" s="159"/>
      <c r="H110" s="159"/>
      <c r="I110" s="159"/>
    </row>
    <row r="111" spans="1:9" ht="30" customHeight="1">
      <c r="A111" s="159" t="s">
        <v>17</v>
      </c>
      <c r="B111" s="159"/>
      <c r="C111" s="159"/>
      <c r="D111" s="159"/>
      <c r="E111" s="159"/>
      <c r="F111" s="159"/>
      <c r="G111" s="159"/>
      <c r="H111" s="159"/>
      <c r="I111" s="159"/>
    </row>
    <row r="112" spans="1:9" ht="30" customHeight="1">
      <c r="A112" s="159" t="s">
        <v>21</v>
      </c>
      <c r="B112" s="159"/>
      <c r="C112" s="159"/>
      <c r="D112" s="159"/>
      <c r="E112" s="159"/>
      <c r="F112" s="159"/>
      <c r="G112" s="159"/>
      <c r="H112" s="159"/>
      <c r="I112" s="159"/>
    </row>
    <row r="113" spans="1:9" ht="15" customHeight="1">
      <c r="A113" s="159" t="s">
        <v>20</v>
      </c>
      <c r="B113" s="159"/>
      <c r="C113" s="159"/>
      <c r="D113" s="159"/>
      <c r="E113" s="159"/>
      <c r="F113" s="159"/>
      <c r="G113" s="159"/>
      <c r="H113" s="159"/>
      <c r="I113" s="159"/>
    </row>
  </sheetData>
  <autoFilter ref="I12:I67"/>
  <mergeCells count="29">
    <mergeCell ref="A109:I109"/>
    <mergeCell ref="A110:I110"/>
    <mergeCell ref="A111:I111"/>
    <mergeCell ref="A112:I112"/>
    <mergeCell ref="A113:I113"/>
    <mergeCell ref="R72:U72"/>
    <mergeCell ref="C107:F107"/>
    <mergeCell ref="A87:I87"/>
    <mergeCell ref="A93:I93"/>
    <mergeCell ref="B94:G94"/>
    <mergeCell ref="B95:G95"/>
    <mergeCell ref="A97:I97"/>
    <mergeCell ref="A98:I98"/>
    <mergeCell ref="A99:I99"/>
    <mergeCell ref="A101:I101"/>
    <mergeCell ref="C103:F103"/>
    <mergeCell ref="C104:F104"/>
    <mergeCell ref="C106:F106"/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70866141732283472" right="0.23622047244094491" top="0.27559055118110237" bottom="0.27559055118110237" header="0.31496062992125984" footer="0.31496062992125984"/>
  <pageSetup paperSize="9" scale="51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9"/>
  <sheetViews>
    <sheetView workbookViewId="0">
      <selection activeCell="F1" sqref="F1:F1048576"/>
    </sheetView>
  </sheetViews>
  <sheetFormatPr defaultRowHeight="15"/>
  <cols>
    <col min="1" max="1" width="7.5703125" customWidth="1"/>
    <col min="2" max="2" width="53.140625" customWidth="1"/>
    <col min="3" max="4" width="18.42578125" customWidth="1"/>
    <col min="5" max="5" width="18.140625" hidden="1" customWidth="1"/>
    <col min="6" max="6" width="11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86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76" t="s">
        <v>159</v>
      </c>
      <c r="B3" s="176"/>
      <c r="C3" s="176"/>
      <c r="D3" s="176"/>
      <c r="E3" s="176"/>
      <c r="F3" s="176"/>
      <c r="G3" s="176"/>
      <c r="H3" s="176"/>
      <c r="I3" s="176"/>
      <c r="J3" s="3"/>
      <c r="K3" s="3"/>
      <c r="L3" s="3"/>
    </row>
    <row r="4" spans="1:13" ht="31.5" customHeight="1">
      <c r="A4" s="177" t="s">
        <v>134</v>
      </c>
      <c r="B4" s="177"/>
      <c r="C4" s="177"/>
      <c r="D4" s="177"/>
      <c r="E4" s="177"/>
      <c r="F4" s="177"/>
      <c r="G4" s="177"/>
      <c r="H4" s="177"/>
      <c r="I4" s="177"/>
    </row>
    <row r="5" spans="1:13" ht="15.75" customHeight="1">
      <c r="A5" s="176" t="s">
        <v>214</v>
      </c>
      <c r="B5" s="180"/>
      <c r="C5" s="180"/>
      <c r="D5" s="180"/>
      <c r="E5" s="180"/>
      <c r="F5" s="180"/>
      <c r="G5" s="180"/>
      <c r="H5" s="180"/>
      <c r="I5" s="180"/>
      <c r="J5" s="2"/>
      <c r="K5" s="2"/>
      <c r="L5" s="2"/>
      <c r="M5" s="2"/>
    </row>
    <row r="6" spans="1:13" ht="15.75" customHeight="1">
      <c r="A6" s="2"/>
      <c r="B6" s="68"/>
      <c r="C6" s="68"/>
      <c r="D6" s="68"/>
      <c r="E6" s="68"/>
      <c r="F6" s="68"/>
      <c r="G6" s="68"/>
      <c r="H6" s="68"/>
      <c r="I6" s="31">
        <v>43281</v>
      </c>
      <c r="J6" s="2"/>
      <c r="K6" s="2"/>
      <c r="L6" s="2"/>
      <c r="M6" s="2"/>
    </row>
    <row r="7" spans="1:13" ht="15.75" customHeight="1">
      <c r="B7" s="64"/>
      <c r="C7" s="64"/>
      <c r="D7" s="64"/>
      <c r="E7" s="64"/>
      <c r="F7" s="3"/>
      <c r="G7" s="3"/>
      <c r="H7" s="3"/>
      <c r="J7" s="3"/>
      <c r="K7" s="3"/>
      <c r="L7" s="3"/>
      <c r="M7" s="3"/>
    </row>
    <row r="8" spans="1:13" ht="78.75" customHeight="1">
      <c r="A8" s="178" t="s">
        <v>142</v>
      </c>
      <c r="B8" s="178"/>
      <c r="C8" s="178"/>
      <c r="D8" s="178"/>
      <c r="E8" s="178"/>
      <c r="F8" s="178"/>
      <c r="G8" s="178"/>
      <c r="H8" s="178"/>
      <c r="I8" s="17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9" t="s">
        <v>143</v>
      </c>
      <c r="B10" s="179"/>
      <c r="C10" s="179"/>
      <c r="D10" s="179"/>
      <c r="E10" s="179"/>
      <c r="F10" s="179"/>
      <c r="G10" s="179"/>
      <c r="H10" s="179"/>
      <c r="I10" s="17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81" t="s">
        <v>59</v>
      </c>
      <c r="B14" s="181"/>
      <c r="C14" s="181"/>
      <c r="D14" s="181"/>
      <c r="E14" s="181"/>
      <c r="F14" s="181"/>
      <c r="G14" s="181"/>
      <c r="H14" s="181"/>
      <c r="I14" s="181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0">
        <v>1</v>
      </c>
      <c r="B16" s="79" t="s">
        <v>87</v>
      </c>
      <c r="C16" s="80" t="s">
        <v>104</v>
      </c>
      <c r="D16" s="79" t="s">
        <v>105</v>
      </c>
      <c r="E16" s="81">
        <v>164.38</v>
      </c>
      <c r="F16" s="82">
        <f>SUM(E16*156/100)</f>
        <v>256.43279999999999</v>
      </c>
      <c r="G16" s="82">
        <v>175.38</v>
      </c>
      <c r="H16" s="83">
        <f t="shared" ref="H16:H28" si="0">SUM(F16*G16/1000)</f>
        <v>44.973184463999999</v>
      </c>
      <c r="I16" s="13">
        <f>F16/12*G16</f>
        <v>3747.7653719999998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93</v>
      </c>
      <c r="C17" s="80" t="s">
        <v>104</v>
      </c>
      <c r="D17" s="79" t="s">
        <v>106</v>
      </c>
      <c r="E17" s="81">
        <v>657.52</v>
      </c>
      <c r="F17" s="82">
        <f>SUM(E17*104/100)</f>
        <v>683.82079999999996</v>
      </c>
      <c r="G17" s="82">
        <v>175.38</v>
      </c>
      <c r="H17" s="83">
        <f t="shared" si="0"/>
        <v>119.928491904</v>
      </c>
      <c r="I17" s="13">
        <f>F17/12*G17</f>
        <v>9994.0409919999984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94</v>
      </c>
      <c r="C18" s="80" t="s">
        <v>104</v>
      </c>
      <c r="D18" s="79" t="s">
        <v>107</v>
      </c>
      <c r="E18" s="81">
        <f>SUM(E16+E17)</f>
        <v>821.9</v>
      </c>
      <c r="F18" s="82">
        <f>SUM(E18*24/100)</f>
        <v>197.25599999999997</v>
      </c>
      <c r="G18" s="82">
        <v>504.5</v>
      </c>
      <c r="H18" s="83">
        <f t="shared" si="0"/>
        <v>99.515651999999989</v>
      </c>
      <c r="I18" s="13">
        <f>F18/12*G18</f>
        <v>8292.9709999999995</v>
      </c>
      <c r="J18" s="23"/>
      <c r="K18" s="8"/>
      <c r="L18" s="8"/>
      <c r="M18" s="8"/>
    </row>
    <row r="19" spans="1:13" ht="15.75" hidden="1" customHeight="1">
      <c r="A19" s="30">
        <v>4</v>
      </c>
      <c r="B19" s="79" t="s">
        <v>108</v>
      </c>
      <c r="C19" s="80" t="s">
        <v>109</v>
      </c>
      <c r="D19" s="79" t="s">
        <v>110</v>
      </c>
      <c r="E19" s="81">
        <v>51.2</v>
      </c>
      <c r="F19" s="82">
        <f>SUM(E19/10)</f>
        <v>5.12</v>
      </c>
      <c r="G19" s="82">
        <v>170.16</v>
      </c>
      <c r="H19" s="83">
        <f t="shared" si="0"/>
        <v>0.87121919999999997</v>
      </c>
      <c r="I19" s="13">
        <f>F19/2*G19</f>
        <v>435.6096</v>
      </c>
      <c r="J19" s="23"/>
      <c r="K19" s="8"/>
      <c r="L19" s="8"/>
      <c r="M19" s="8"/>
    </row>
    <row r="20" spans="1:13" ht="20.25" customHeight="1">
      <c r="A20" s="30">
        <v>5</v>
      </c>
      <c r="B20" s="79" t="s">
        <v>98</v>
      </c>
      <c r="C20" s="80" t="s">
        <v>104</v>
      </c>
      <c r="D20" s="79" t="s">
        <v>53</v>
      </c>
      <c r="E20" s="81">
        <v>58.4</v>
      </c>
      <c r="F20" s="82">
        <f>0.575</f>
        <v>0.57499999999999996</v>
      </c>
      <c r="G20" s="82">
        <v>193.55</v>
      </c>
      <c r="H20" s="83">
        <f t="shared" si="0"/>
        <v>0.11129124999999999</v>
      </c>
      <c r="I20" s="13">
        <f>F20*G20</f>
        <v>111.29124999999999</v>
      </c>
      <c r="J20" s="23"/>
      <c r="K20" s="8"/>
      <c r="L20" s="8"/>
      <c r="M20" s="8"/>
    </row>
    <row r="21" spans="1:13" ht="15.75" customHeight="1">
      <c r="A21" s="30">
        <v>6</v>
      </c>
      <c r="B21" s="79" t="s">
        <v>99</v>
      </c>
      <c r="C21" s="80" t="s">
        <v>104</v>
      </c>
      <c r="D21" s="79" t="s">
        <v>53</v>
      </c>
      <c r="E21" s="81">
        <v>13.41</v>
      </c>
      <c r="F21" s="82">
        <f>0.13415</f>
        <v>0.13414999999999999</v>
      </c>
      <c r="G21" s="82">
        <v>191.98</v>
      </c>
      <c r="H21" s="83">
        <f t="shared" si="0"/>
        <v>2.5754116999999997E-2</v>
      </c>
      <c r="I21" s="13">
        <f t="shared" ref="I21:I26" si="1">F21*G21</f>
        <v>25.754116999999997</v>
      </c>
      <c r="J21" s="23"/>
      <c r="K21" s="8"/>
      <c r="L21" s="8"/>
      <c r="M21" s="8"/>
    </row>
    <row r="22" spans="1:13" ht="19.5" hidden="1" customHeight="1">
      <c r="A22" s="30">
        <v>7</v>
      </c>
      <c r="B22" s="79" t="s">
        <v>111</v>
      </c>
      <c r="C22" s="80" t="s">
        <v>52</v>
      </c>
      <c r="D22" s="79" t="s">
        <v>110</v>
      </c>
      <c r="E22" s="81">
        <v>1025.5999999999999</v>
      </c>
      <c r="F22" s="82">
        <f>SUM(E22/100)</f>
        <v>10.255999999999998</v>
      </c>
      <c r="G22" s="82">
        <v>269.26</v>
      </c>
      <c r="H22" s="83">
        <f t="shared" si="0"/>
        <v>2.7615305599999997</v>
      </c>
      <c r="I22" s="13">
        <f t="shared" si="1"/>
        <v>2761.5305599999997</v>
      </c>
      <c r="J22" s="23"/>
      <c r="K22" s="8"/>
      <c r="L22" s="8"/>
      <c r="M22" s="8"/>
    </row>
    <row r="23" spans="1:13" ht="21" hidden="1" customHeight="1">
      <c r="A23" s="30">
        <v>8</v>
      </c>
      <c r="B23" s="79" t="s">
        <v>112</v>
      </c>
      <c r="C23" s="80" t="s">
        <v>52</v>
      </c>
      <c r="D23" s="79" t="s">
        <v>110</v>
      </c>
      <c r="E23" s="84">
        <v>60.5</v>
      </c>
      <c r="F23" s="82">
        <f>SUM(E23/100)</f>
        <v>0.60499999999999998</v>
      </c>
      <c r="G23" s="82">
        <v>44.29</v>
      </c>
      <c r="H23" s="83">
        <f t="shared" si="0"/>
        <v>2.6795449999999998E-2</v>
      </c>
      <c r="I23" s="13">
        <f t="shared" si="1"/>
        <v>26.795449999999999</v>
      </c>
      <c r="J23" s="23"/>
      <c r="K23" s="8"/>
      <c r="L23" s="8"/>
      <c r="M23" s="8"/>
    </row>
    <row r="24" spans="1:13" ht="22.5" hidden="1" customHeight="1">
      <c r="A24" s="30">
        <v>9</v>
      </c>
      <c r="B24" s="79" t="s">
        <v>102</v>
      </c>
      <c r="C24" s="80" t="s">
        <v>52</v>
      </c>
      <c r="D24" s="79" t="s">
        <v>53</v>
      </c>
      <c r="E24" s="85">
        <v>19.149999999999999</v>
      </c>
      <c r="F24" s="82">
        <f>E24/100</f>
        <v>0.19149999999999998</v>
      </c>
      <c r="G24" s="82">
        <v>389.42</v>
      </c>
      <c r="H24" s="83">
        <f>G24*F24/100</f>
        <v>0.74573929999999988</v>
      </c>
      <c r="I24" s="13">
        <f t="shared" si="1"/>
        <v>74.57392999999999</v>
      </c>
      <c r="J24" s="23"/>
      <c r="K24" s="8"/>
      <c r="L24" s="8"/>
      <c r="M24" s="8"/>
    </row>
    <row r="25" spans="1:13" ht="21" hidden="1" customHeight="1">
      <c r="A25" s="30">
        <v>10</v>
      </c>
      <c r="B25" s="79" t="s">
        <v>135</v>
      </c>
      <c r="C25" s="80" t="s">
        <v>52</v>
      </c>
      <c r="D25" s="79" t="s">
        <v>53</v>
      </c>
      <c r="E25" s="86">
        <v>31.5</v>
      </c>
      <c r="F25" s="82">
        <f>E25/100</f>
        <v>0.315</v>
      </c>
      <c r="G25" s="82">
        <v>216.12</v>
      </c>
      <c r="H25" s="83">
        <f>G25*F25/1000</f>
        <v>6.8077799999999994E-2</v>
      </c>
      <c r="I25" s="13">
        <f t="shared" si="1"/>
        <v>68.077799999999996</v>
      </c>
      <c r="J25" s="23"/>
      <c r="K25" s="8"/>
      <c r="L25" s="8"/>
      <c r="M25" s="8"/>
    </row>
    <row r="26" spans="1:13" ht="12.75" hidden="1" customHeight="1">
      <c r="A26" s="30">
        <v>11</v>
      </c>
      <c r="B26" s="79" t="s">
        <v>103</v>
      </c>
      <c r="C26" s="80" t="s">
        <v>52</v>
      </c>
      <c r="D26" s="79" t="s">
        <v>53</v>
      </c>
      <c r="E26" s="81">
        <v>37.5</v>
      </c>
      <c r="F26" s="82">
        <f>SUM(E26/100)</f>
        <v>0.375</v>
      </c>
      <c r="G26" s="82">
        <v>520.79999999999995</v>
      </c>
      <c r="H26" s="83">
        <f t="shared" si="0"/>
        <v>0.19529999999999997</v>
      </c>
      <c r="I26" s="13">
        <f t="shared" si="1"/>
        <v>195.29999999999998</v>
      </c>
      <c r="J26" s="23"/>
      <c r="K26" s="8"/>
      <c r="L26" s="8"/>
      <c r="M26" s="8"/>
    </row>
    <row r="27" spans="1:13" ht="15.75" customHeight="1">
      <c r="A27" s="30">
        <v>4</v>
      </c>
      <c r="B27" s="79" t="s">
        <v>64</v>
      </c>
      <c r="C27" s="80" t="s">
        <v>33</v>
      </c>
      <c r="D27" s="79"/>
      <c r="E27" s="81">
        <v>0.1</v>
      </c>
      <c r="F27" s="82">
        <f>SUM(E27*365)</f>
        <v>36.5</v>
      </c>
      <c r="G27" s="82">
        <v>147.03</v>
      </c>
      <c r="H27" s="83">
        <f t="shared" si="0"/>
        <v>5.3665950000000002</v>
      </c>
      <c r="I27" s="13">
        <f>F27/12*G27</f>
        <v>447.21625</v>
      </c>
      <c r="J27" s="23"/>
      <c r="K27" s="8"/>
      <c r="L27" s="8"/>
      <c r="M27" s="8"/>
    </row>
    <row r="28" spans="1:13" ht="15.75" customHeight="1">
      <c r="A28" s="30">
        <v>5</v>
      </c>
      <c r="B28" s="87" t="s">
        <v>23</v>
      </c>
      <c r="C28" s="80" t="s">
        <v>24</v>
      </c>
      <c r="D28" s="79"/>
      <c r="E28" s="81">
        <v>5836.1</v>
      </c>
      <c r="F28" s="82">
        <f>SUM(E28*12)</f>
        <v>70033.200000000012</v>
      </c>
      <c r="G28" s="82">
        <v>3.33</v>
      </c>
      <c r="H28" s="83">
        <f t="shared" si="0"/>
        <v>233.21055600000005</v>
      </c>
      <c r="I28" s="13">
        <f>F28/12*G28</f>
        <v>19434.213000000003</v>
      </c>
      <c r="J28" s="23"/>
      <c r="K28" s="8"/>
      <c r="L28" s="8"/>
      <c r="M28" s="8"/>
    </row>
    <row r="29" spans="1:13" ht="15.75" customHeight="1">
      <c r="A29" s="182" t="s">
        <v>85</v>
      </c>
      <c r="B29" s="182"/>
      <c r="C29" s="182"/>
      <c r="D29" s="182"/>
      <c r="E29" s="182"/>
      <c r="F29" s="182"/>
      <c r="G29" s="182"/>
      <c r="H29" s="182"/>
      <c r="I29" s="182"/>
      <c r="J29" s="23"/>
      <c r="K29" s="8"/>
      <c r="L29" s="8"/>
      <c r="M29" s="8"/>
    </row>
    <row r="30" spans="1:13" ht="15.75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9"/>
      <c r="J30" s="23"/>
      <c r="K30" s="8"/>
      <c r="L30" s="8"/>
      <c r="M30" s="8"/>
    </row>
    <row r="31" spans="1:13" ht="15.75" customHeight="1">
      <c r="A31" s="40">
        <v>6</v>
      </c>
      <c r="B31" s="79" t="s">
        <v>113</v>
      </c>
      <c r="C31" s="80" t="s">
        <v>114</v>
      </c>
      <c r="D31" s="79" t="s">
        <v>115</v>
      </c>
      <c r="E31" s="82">
        <v>659.5</v>
      </c>
      <c r="F31" s="82">
        <f>SUM(E31*52/1000)</f>
        <v>34.293999999999997</v>
      </c>
      <c r="G31" s="82">
        <v>155.88999999999999</v>
      </c>
      <c r="H31" s="83">
        <f t="shared" ref="H31:H33" si="2">SUM(F31*G31/1000)</f>
        <v>5.346091659999999</v>
      </c>
      <c r="I31" s="13">
        <f>F31/6*G31</f>
        <v>891.01527666666652</v>
      </c>
      <c r="J31" s="23"/>
      <c r="K31" s="8"/>
      <c r="L31" s="8"/>
      <c r="M31" s="8"/>
    </row>
    <row r="32" spans="1:13" ht="31.5" customHeight="1">
      <c r="A32" s="40">
        <v>7</v>
      </c>
      <c r="B32" s="79" t="s">
        <v>149</v>
      </c>
      <c r="C32" s="80" t="s">
        <v>114</v>
      </c>
      <c r="D32" s="79" t="s">
        <v>116</v>
      </c>
      <c r="E32" s="82">
        <v>567.9</v>
      </c>
      <c r="F32" s="82">
        <f>SUM(E32*78/1000)</f>
        <v>44.296199999999999</v>
      </c>
      <c r="G32" s="82">
        <v>258.63</v>
      </c>
      <c r="H32" s="83">
        <f t="shared" si="2"/>
        <v>11.456326206</v>
      </c>
      <c r="I32" s="13">
        <f t="shared" ref="I32:I35" si="3">F32/6*G32</f>
        <v>1909.3877009999999</v>
      </c>
      <c r="J32" s="23"/>
      <c r="K32" s="8"/>
      <c r="L32" s="8"/>
      <c r="M32" s="8"/>
    </row>
    <row r="33" spans="1:14" ht="15.75" hidden="1" customHeight="1">
      <c r="A33" s="40">
        <v>16</v>
      </c>
      <c r="B33" s="79" t="s">
        <v>27</v>
      </c>
      <c r="C33" s="80" t="s">
        <v>114</v>
      </c>
      <c r="D33" s="79" t="s">
        <v>53</v>
      </c>
      <c r="E33" s="82">
        <v>659.5</v>
      </c>
      <c r="F33" s="82">
        <f>SUM(E33/1000)</f>
        <v>0.65949999999999998</v>
      </c>
      <c r="G33" s="82">
        <v>3020.33</v>
      </c>
      <c r="H33" s="83">
        <f t="shared" si="2"/>
        <v>1.9919076349999998</v>
      </c>
      <c r="I33" s="13">
        <f>F33*G33</f>
        <v>1991.9076349999998</v>
      </c>
      <c r="J33" s="23"/>
      <c r="K33" s="8"/>
      <c r="L33" s="8"/>
      <c r="M33" s="8"/>
    </row>
    <row r="34" spans="1:14" ht="15.75" customHeight="1">
      <c r="A34" s="40">
        <v>8</v>
      </c>
      <c r="B34" s="79" t="s">
        <v>136</v>
      </c>
      <c r="C34" s="80" t="s">
        <v>39</v>
      </c>
      <c r="D34" s="79" t="s">
        <v>148</v>
      </c>
      <c r="E34" s="82">
        <v>8</v>
      </c>
      <c r="F34" s="82">
        <v>12.4</v>
      </c>
      <c r="G34" s="82">
        <v>1302.02</v>
      </c>
      <c r="H34" s="83">
        <v>16.145</v>
      </c>
      <c r="I34" s="13">
        <f t="shared" si="3"/>
        <v>2690.8413333333338</v>
      </c>
      <c r="J34" s="23"/>
      <c r="K34" s="8"/>
      <c r="L34" s="8"/>
      <c r="M34" s="8"/>
    </row>
    <row r="35" spans="1:14" ht="15.75" customHeight="1">
      <c r="A35" s="40">
        <v>9</v>
      </c>
      <c r="B35" s="79" t="s">
        <v>117</v>
      </c>
      <c r="C35" s="80" t="s">
        <v>30</v>
      </c>
      <c r="D35" s="79" t="s">
        <v>63</v>
      </c>
      <c r="E35" s="88">
        <v>0.33</v>
      </c>
      <c r="F35" s="82">
        <v>51.666666666666664</v>
      </c>
      <c r="G35" s="82">
        <v>56.69</v>
      </c>
      <c r="H35" s="83">
        <f>SUM(G35*155/3/1000)</f>
        <v>2.9289833333333331</v>
      </c>
      <c r="I35" s="13">
        <f t="shared" si="3"/>
        <v>488.16388888888883</v>
      </c>
      <c r="J35" s="23"/>
      <c r="K35" s="8"/>
    </row>
    <row r="36" spans="1:14" ht="15.75" hidden="1" customHeight="1">
      <c r="A36" s="40">
        <v>4</v>
      </c>
      <c r="B36" s="79" t="s">
        <v>65</v>
      </c>
      <c r="C36" s="80" t="s">
        <v>33</v>
      </c>
      <c r="D36" s="79" t="s">
        <v>67</v>
      </c>
      <c r="E36" s="81"/>
      <c r="F36" s="82">
        <v>4</v>
      </c>
      <c r="G36" s="82">
        <v>191.32</v>
      </c>
      <c r="H36" s="83">
        <f t="shared" ref="H36:H37" si="4">SUM(F36*G36/1000)</f>
        <v>0.76527999999999996</v>
      </c>
      <c r="I36" s="13">
        <v>0</v>
      </c>
      <c r="J36" s="24"/>
    </row>
    <row r="37" spans="1:14" ht="15.75" hidden="1" customHeight="1">
      <c r="A37" s="30">
        <v>8</v>
      </c>
      <c r="B37" s="79" t="s">
        <v>66</v>
      </c>
      <c r="C37" s="80" t="s">
        <v>32</v>
      </c>
      <c r="D37" s="79" t="s">
        <v>67</v>
      </c>
      <c r="E37" s="81"/>
      <c r="F37" s="82">
        <v>3</v>
      </c>
      <c r="G37" s="82">
        <v>1136.32</v>
      </c>
      <c r="H37" s="83">
        <f t="shared" si="4"/>
        <v>3.40896</v>
      </c>
      <c r="I37" s="13">
        <v>0</v>
      </c>
      <c r="J37" s="24"/>
    </row>
    <row r="38" spans="1:14" ht="15.75" hidden="1" customHeight="1">
      <c r="A38" s="40"/>
      <c r="B38" s="48" t="s">
        <v>5</v>
      </c>
      <c r="C38" s="48"/>
      <c r="D38" s="48"/>
      <c r="E38" s="48"/>
      <c r="F38" s="13"/>
      <c r="G38" s="14"/>
      <c r="H38" s="14"/>
      <c r="I38" s="19"/>
      <c r="J38" s="24"/>
    </row>
    <row r="39" spans="1:14" ht="15.75" hidden="1" customHeight="1">
      <c r="A39" s="33">
        <v>6</v>
      </c>
      <c r="B39" s="79" t="s">
        <v>26</v>
      </c>
      <c r="C39" s="80" t="s">
        <v>32</v>
      </c>
      <c r="D39" s="79"/>
      <c r="E39" s="81"/>
      <c r="F39" s="82">
        <v>10</v>
      </c>
      <c r="G39" s="82">
        <v>1527.22</v>
      </c>
      <c r="H39" s="83">
        <f t="shared" ref="H39:H45" si="5">SUM(F39*G39/1000)</f>
        <v>15.272200000000002</v>
      </c>
      <c r="I39" s="13">
        <f>F39/6*G39</f>
        <v>2545.3666666666668</v>
      </c>
      <c r="J39" s="24"/>
    </row>
    <row r="40" spans="1:14" ht="15.75" hidden="1" customHeight="1">
      <c r="A40" s="33">
        <v>7</v>
      </c>
      <c r="B40" s="79" t="s">
        <v>68</v>
      </c>
      <c r="C40" s="80" t="s">
        <v>29</v>
      </c>
      <c r="D40" s="79" t="s">
        <v>137</v>
      </c>
      <c r="E40" s="82">
        <v>567.9</v>
      </c>
      <c r="F40" s="82">
        <f>SUM(E40*50/1000)</f>
        <v>28.395</v>
      </c>
      <c r="G40" s="82">
        <v>2102.71</v>
      </c>
      <c r="H40" s="83">
        <f t="shared" si="5"/>
        <v>59.706450449999998</v>
      </c>
      <c r="I40" s="13">
        <f>F40/6*G40</f>
        <v>9951.0750750000007</v>
      </c>
      <c r="J40" s="24"/>
    </row>
    <row r="41" spans="1:14" ht="15.75" hidden="1" customHeight="1">
      <c r="A41" s="33">
        <v>8</v>
      </c>
      <c r="B41" s="79" t="s">
        <v>95</v>
      </c>
      <c r="C41" s="80" t="s">
        <v>150</v>
      </c>
      <c r="D41" s="79" t="s">
        <v>67</v>
      </c>
      <c r="E41" s="81"/>
      <c r="F41" s="82">
        <v>66</v>
      </c>
      <c r="G41" s="82">
        <v>213.2</v>
      </c>
      <c r="H41" s="83">
        <f t="shared" si="5"/>
        <v>14.071199999999999</v>
      </c>
      <c r="I41" s="13">
        <v>0</v>
      </c>
      <c r="J41" s="24"/>
    </row>
    <row r="42" spans="1:14" ht="15.75" hidden="1" customHeight="1">
      <c r="A42" s="33">
        <v>8</v>
      </c>
      <c r="B42" s="79" t="s">
        <v>69</v>
      </c>
      <c r="C42" s="80" t="s">
        <v>29</v>
      </c>
      <c r="D42" s="79" t="s">
        <v>118</v>
      </c>
      <c r="E42" s="82">
        <v>108</v>
      </c>
      <c r="F42" s="82">
        <f>SUM(E42*155/1000)</f>
        <v>16.739999999999998</v>
      </c>
      <c r="G42" s="82">
        <v>350.75</v>
      </c>
      <c r="H42" s="83">
        <f t="shared" si="5"/>
        <v>5.871554999999999</v>
      </c>
      <c r="I42" s="13">
        <f>F42/6*G42</f>
        <v>978.59249999999986</v>
      </c>
      <c r="J42" s="24"/>
    </row>
    <row r="43" spans="1:14" ht="47.25" hidden="1" customHeight="1">
      <c r="A43" s="33">
        <v>9</v>
      </c>
      <c r="B43" s="79" t="s">
        <v>84</v>
      </c>
      <c r="C43" s="80" t="s">
        <v>114</v>
      </c>
      <c r="D43" s="79" t="s">
        <v>138</v>
      </c>
      <c r="E43" s="82">
        <v>108</v>
      </c>
      <c r="F43" s="82">
        <f>SUM(E43*20/1000)</f>
        <v>2.16</v>
      </c>
      <c r="G43" s="82">
        <v>5803.28</v>
      </c>
      <c r="H43" s="83">
        <f t="shared" si="5"/>
        <v>12.5350848</v>
      </c>
      <c r="I43" s="13">
        <f>F43/6*G43</f>
        <v>2089.1808000000001</v>
      </c>
      <c r="J43" s="24"/>
    </row>
    <row r="44" spans="1:14" ht="15.75" hidden="1" customHeight="1">
      <c r="A44" s="33">
        <v>10</v>
      </c>
      <c r="B44" s="79" t="s">
        <v>119</v>
      </c>
      <c r="C44" s="80" t="s">
        <v>114</v>
      </c>
      <c r="D44" s="79" t="s">
        <v>70</v>
      </c>
      <c r="E44" s="82">
        <v>108</v>
      </c>
      <c r="F44" s="82">
        <f>SUM(E44*45/1000)</f>
        <v>4.8600000000000003</v>
      </c>
      <c r="G44" s="82">
        <v>428.7</v>
      </c>
      <c r="H44" s="83">
        <f t="shared" si="5"/>
        <v>2.0834820000000001</v>
      </c>
      <c r="I44" s="13">
        <f>F44/6*G44</f>
        <v>347.24700000000001</v>
      </c>
      <c r="J44" s="24"/>
      <c r="L44" s="20"/>
      <c r="M44" s="21"/>
      <c r="N44" s="22"/>
    </row>
    <row r="45" spans="1:14" ht="15.75" hidden="1" customHeight="1">
      <c r="A45" s="33">
        <v>11</v>
      </c>
      <c r="B45" s="79" t="s">
        <v>71</v>
      </c>
      <c r="C45" s="80" t="s">
        <v>33</v>
      </c>
      <c r="D45" s="79"/>
      <c r="E45" s="81"/>
      <c r="F45" s="82">
        <v>0.9</v>
      </c>
      <c r="G45" s="82">
        <v>798</v>
      </c>
      <c r="H45" s="83">
        <f t="shared" si="5"/>
        <v>0.71820000000000006</v>
      </c>
      <c r="I45" s="13">
        <f>F45/6*G45</f>
        <v>119.69999999999999</v>
      </c>
      <c r="J45" s="24"/>
      <c r="L45" s="20"/>
      <c r="M45" s="21"/>
      <c r="N45" s="22"/>
    </row>
    <row r="46" spans="1:14" ht="15.75" customHeight="1">
      <c r="A46" s="183" t="s">
        <v>144</v>
      </c>
      <c r="B46" s="184"/>
      <c r="C46" s="184"/>
      <c r="D46" s="184"/>
      <c r="E46" s="184"/>
      <c r="F46" s="184"/>
      <c r="G46" s="184"/>
      <c r="H46" s="184"/>
      <c r="I46" s="185"/>
      <c r="J46" s="24"/>
      <c r="L46" s="20"/>
      <c r="M46" s="21"/>
      <c r="N46" s="22"/>
    </row>
    <row r="47" spans="1:14" ht="15.75" hidden="1" customHeight="1">
      <c r="A47" s="40">
        <v>19</v>
      </c>
      <c r="B47" s="79" t="s">
        <v>120</v>
      </c>
      <c r="C47" s="80" t="s">
        <v>114</v>
      </c>
      <c r="D47" s="79" t="s">
        <v>41</v>
      </c>
      <c r="E47" s="81">
        <v>1571.3</v>
      </c>
      <c r="F47" s="82">
        <f>SUM(E47*2/1000)</f>
        <v>3.1425999999999998</v>
      </c>
      <c r="G47" s="13">
        <v>849.49</v>
      </c>
      <c r="H47" s="83">
        <f t="shared" ref="H47:H55" si="6">SUM(F47*G47/1000)</f>
        <v>2.6696072740000001</v>
      </c>
      <c r="I47" s="13">
        <f t="shared" ref="I47:I49" si="7">F47/2*G47</f>
        <v>1334.803637</v>
      </c>
      <c r="J47" s="24"/>
      <c r="L47" s="20"/>
      <c r="M47" s="21"/>
      <c r="N47" s="22"/>
    </row>
    <row r="48" spans="1:14" ht="15.75" hidden="1" customHeight="1">
      <c r="A48" s="40">
        <v>20</v>
      </c>
      <c r="B48" s="79" t="s">
        <v>34</v>
      </c>
      <c r="C48" s="80" t="s">
        <v>114</v>
      </c>
      <c r="D48" s="79" t="s">
        <v>41</v>
      </c>
      <c r="E48" s="81">
        <v>92.8</v>
      </c>
      <c r="F48" s="82">
        <f>SUM(E48*2/1000)</f>
        <v>0.18559999999999999</v>
      </c>
      <c r="G48" s="13">
        <v>579.48</v>
      </c>
      <c r="H48" s="83">
        <f t="shared" si="6"/>
        <v>0.10755148799999999</v>
      </c>
      <c r="I48" s="13">
        <f t="shared" si="7"/>
        <v>53.775743999999996</v>
      </c>
      <c r="J48" s="24"/>
      <c r="L48" s="20"/>
      <c r="M48" s="21"/>
      <c r="N48" s="22"/>
    </row>
    <row r="49" spans="1:14" ht="15.75" hidden="1" customHeight="1">
      <c r="A49" s="40">
        <v>21</v>
      </c>
      <c r="B49" s="79" t="s">
        <v>35</v>
      </c>
      <c r="C49" s="80" t="s">
        <v>114</v>
      </c>
      <c r="D49" s="79" t="s">
        <v>41</v>
      </c>
      <c r="E49" s="81">
        <v>4737.7</v>
      </c>
      <c r="F49" s="82">
        <f>SUM(E49*2/1000)</f>
        <v>9.4754000000000005</v>
      </c>
      <c r="G49" s="13">
        <v>579.48</v>
      </c>
      <c r="H49" s="83">
        <f t="shared" si="6"/>
        <v>5.4908047920000005</v>
      </c>
      <c r="I49" s="13">
        <f t="shared" si="7"/>
        <v>2745.4023960000004</v>
      </c>
      <c r="J49" s="24"/>
      <c r="L49" s="20"/>
      <c r="M49" s="21"/>
      <c r="N49" s="22"/>
    </row>
    <row r="50" spans="1:14" ht="15.75" hidden="1" customHeight="1">
      <c r="A50" s="40">
        <v>22</v>
      </c>
      <c r="B50" s="79" t="s">
        <v>36</v>
      </c>
      <c r="C50" s="80" t="s">
        <v>114</v>
      </c>
      <c r="D50" s="79" t="s">
        <v>41</v>
      </c>
      <c r="E50" s="81">
        <v>2811.99</v>
      </c>
      <c r="F50" s="82">
        <f>SUM(E50*2/1000)</f>
        <v>5.6239799999999995</v>
      </c>
      <c r="G50" s="13">
        <v>606.77</v>
      </c>
      <c r="H50" s="83">
        <f t="shared" si="6"/>
        <v>3.4124623445999998</v>
      </c>
      <c r="I50" s="13">
        <f>F50/2*G50</f>
        <v>1706.2311722999998</v>
      </c>
      <c r="J50" s="24"/>
      <c r="L50" s="20"/>
      <c r="M50" s="21"/>
      <c r="N50" s="22"/>
    </row>
    <row r="51" spans="1:14" ht="15.75" hidden="1" customHeight="1">
      <c r="A51" s="40">
        <v>23</v>
      </c>
      <c r="B51" s="79" t="s">
        <v>56</v>
      </c>
      <c r="C51" s="80" t="s">
        <v>114</v>
      </c>
      <c r="D51" s="79" t="s">
        <v>151</v>
      </c>
      <c r="E51" s="81">
        <v>1571.3</v>
      </c>
      <c r="F51" s="82">
        <f>SUM(E51*5/1000)</f>
        <v>7.8564999999999996</v>
      </c>
      <c r="G51" s="13">
        <v>1213.55</v>
      </c>
      <c r="H51" s="83">
        <f t="shared" si="6"/>
        <v>9.5342555749999995</v>
      </c>
      <c r="I51" s="13">
        <f>F51/5*G51</f>
        <v>1906.8511149999999</v>
      </c>
      <c r="J51" s="24"/>
      <c r="L51" s="20"/>
      <c r="M51" s="21"/>
      <c r="N51" s="22"/>
    </row>
    <row r="52" spans="1:14" ht="31.5" hidden="1" customHeight="1">
      <c r="A52" s="40">
        <v>12</v>
      </c>
      <c r="B52" s="79" t="s">
        <v>121</v>
      </c>
      <c r="C52" s="80" t="s">
        <v>114</v>
      </c>
      <c r="D52" s="79" t="s">
        <v>41</v>
      </c>
      <c r="E52" s="81">
        <v>1571.3</v>
      </c>
      <c r="F52" s="82">
        <f>SUM(E52*2/1000)</f>
        <v>3.1425999999999998</v>
      </c>
      <c r="G52" s="13">
        <v>1213.55</v>
      </c>
      <c r="H52" s="83">
        <f t="shared" si="6"/>
        <v>3.8137022300000001</v>
      </c>
      <c r="I52" s="13">
        <f t="shared" ref="I52:I53" si="8">F52/2*G52</f>
        <v>1906.8511149999999</v>
      </c>
      <c r="J52" s="24"/>
      <c r="L52" s="20"/>
      <c r="M52" s="21"/>
      <c r="N52" s="22"/>
    </row>
    <row r="53" spans="1:14" ht="31.5" hidden="1" customHeight="1">
      <c r="A53" s="40">
        <v>13</v>
      </c>
      <c r="B53" s="79" t="s">
        <v>122</v>
      </c>
      <c r="C53" s="80" t="s">
        <v>37</v>
      </c>
      <c r="D53" s="79" t="s">
        <v>41</v>
      </c>
      <c r="E53" s="81">
        <v>40</v>
      </c>
      <c r="F53" s="82">
        <f>SUM(E53*2/100)</f>
        <v>0.8</v>
      </c>
      <c r="G53" s="13">
        <v>2730.49</v>
      </c>
      <c r="H53" s="83">
        <f t="shared" si="6"/>
        <v>2.1843919999999999</v>
      </c>
      <c r="I53" s="13">
        <f t="shared" si="8"/>
        <v>1092.1959999999999</v>
      </c>
      <c r="J53" s="24"/>
      <c r="L53" s="20"/>
      <c r="M53" s="21"/>
      <c r="N53" s="22"/>
    </row>
    <row r="54" spans="1:14" ht="15.75" hidden="1" customHeight="1">
      <c r="A54" s="40">
        <v>12</v>
      </c>
      <c r="B54" s="79" t="s">
        <v>38</v>
      </c>
      <c r="C54" s="80" t="s">
        <v>39</v>
      </c>
      <c r="D54" s="79" t="s">
        <v>41</v>
      </c>
      <c r="E54" s="81">
        <v>1</v>
      </c>
      <c r="F54" s="82">
        <v>0.02</v>
      </c>
      <c r="G54" s="13">
        <v>5652.13</v>
      </c>
      <c r="H54" s="83">
        <f t="shared" si="6"/>
        <v>0.11304260000000001</v>
      </c>
      <c r="I54" s="13">
        <f>F54/2*G54</f>
        <v>56.521300000000004</v>
      </c>
      <c r="J54" s="24"/>
      <c r="L54" s="20"/>
      <c r="M54" s="21"/>
      <c r="N54" s="22"/>
    </row>
    <row r="55" spans="1:14" ht="15.75" customHeight="1">
      <c r="A55" s="40">
        <v>10</v>
      </c>
      <c r="B55" s="79" t="s">
        <v>40</v>
      </c>
      <c r="C55" s="80" t="s">
        <v>123</v>
      </c>
      <c r="D55" s="79" t="s">
        <v>72</v>
      </c>
      <c r="E55" s="81">
        <v>238</v>
      </c>
      <c r="F55" s="82">
        <f>SUM(E55)*3</f>
        <v>714</v>
      </c>
      <c r="G55" s="13">
        <v>65.67</v>
      </c>
      <c r="H55" s="83">
        <f t="shared" si="6"/>
        <v>46.888380000000005</v>
      </c>
      <c r="I55" s="13">
        <f>E55*G55</f>
        <v>15629.460000000001</v>
      </c>
      <c r="J55" s="24"/>
      <c r="L55" s="20"/>
      <c r="M55" s="21"/>
      <c r="N55" s="22"/>
    </row>
    <row r="56" spans="1:14" ht="15.75" customHeight="1">
      <c r="A56" s="170" t="s">
        <v>145</v>
      </c>
      <c r="B56" s="171"/>
      <c r="C56" s="171"/>
      <c r="D56" s="171"/>
      <c r="E56" s="171"/>
      <c r="F56" s="171"/>
      <c r="G56" s="171"/>
      <c r="H56" s="171"/>
      <c r="I56" s="172"/>
      <c r="J56" s="24"/>
      <c r="L56" s="20"/>
      <c r="M56" s="21"/>
      <c r="N56" s="22"/>
    </row>
    <row r="57" spans="1:14" ht="15.75" hidden="1" customHeight="1">
      <c r="A57" s="52"/>
      <c r="B57" s="47" t="s">
        <v>42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hidden="1" customHeight="1">
      <c r="A58" s="40">
        <v>14</v>
      </c>
      <c r="B58" s="79" t="s">
        <v>139</v>
      </c>
      <c r="C58" s="80" t="s">
        <v>104</v>
      </c>
      <c r="D58" s="79" t="s">
        <v>124</v>
      </c>
      <c r="E58" s="81">
        <v>48</v>
      </c>
      <c r="F58" s="82">
        <f>E58*6/100</f>
        <v>2.88</v>
      </c>
      <c r="G58" s="89">
        <v>1547.28</v>
      </c>
      <c r="H58" s="83">
        <f>F58*G58/1000</f>
        <v>4.4561663999999999</v>
      </c>
      <c r="I58" s="13">
        <f>F58/6*G58</f>
        <v>742.69439999999997</v>
      </c>
      <c r="J58" s="24"/>
      <c r="L58" s="20"/>
      <c r="M58" s="21"/>
      <c r="N58" s="22"/>
    </row>
    <row r="59" spans="1:14" ht="15.75" hidden="1" customHeight="1">
      <c r="A59" s="40">
        <v>15</v>
      </c>
      <c r="B59" s="90" t="s">
        <v>96</v>
      </c>
      <c r="C59" s="91" t="s">
        <v>104</v>
      </c>
      <c r="D59" s="90" t="s">
        <v>140</v>
      </c>
      <c r="E59" s="92">
        <v>56</v>
      </c>
      <c r="F59" s="93">
        <f>E59*4/100</f>
        <v>2.2400000000000002</v>
      </c>
      <c r="G59" s="89">
        <v>1547.28</v>
      </c>
      <c r="H59" s="94">
        <f>F59*G59/1000</f>
        <v>3.4659072000000002</v>
      </c>
      <c r="I59" s="13">
        <f>F59/6*G59</f>
        <v>577.65120000000002</v>
      </c>
      <c r="J59" s="24"/>
      <c r="L59" s="20"/>
      <c r="M59" s="21"/>
      <c r="N59" s="22"/>
    </row>
    <row r="60" spans="1:14" ht="15.75" hidden="1" customHeight="1">
      <c r="A60" s="40">
        <v>15</v>
      </c>
      <c r="B60" s="90" t="s">
        <v>100</v>
      </c>
      <c r="C60" s="91" t="s">
        <v>101</v>
      </c>
      <c r="D60" s="90" t="s">
        <v>41</v>
      </c>
      <c r="E60" s="92">
        <v>8</v>
      </c>
      <c r="F60" s="93">
        <v>16</v>
      </c>
      <c r="G60" s="95">
        <v>180.78</v>
      </c>
      <c r="H60" s="94">
        <f>F60*G60/1000</f>
        <v>2.8924799999999999</v>
      </c>
      <c r="I60" s="13">
        <f>F60/2*G60</f>
        <v>1446.24</v>
      </c>
      <c r="J60" s="24"/>
      <c r="L60" s="20"/>
      <c r="M60" s="21"/>
      <c r="N60" s="22"/>
    </row>
    <row r="61" spans="1:14" ht="15.75" customHeight="1">
      <c r="A61" s="40"/>
      <c r="B61" s="69" t="s">
        <v>43</v>
      </c>
      <c r="C61" s="69"/>
      <c r="D61" s="69"/>
      <c r="E61" s="69"/>
      <c r="F61" s="69"/>
      <c r="G61" s="69"/>
      <c r="H61" s="69"/>
      <c r="I61" s="35"/>
      <c r="J61" s="24"/>
      <c r="L61" s="20"/>
      <c r="M61" s="21"/>
      <c r="N61" s="22"/>
    </row>
    <row r="62" spans="1:14" ht="15.75" customHeight="1">
      <c r="A62" s="40">
        <v>11</v>
      </c>
      <c r="B62" s="90" t="s">
        <v>97</v>
      </c>
      <c r="C62" s="91" t="s">
        <v>25</v>
      </c>
      <c r="D62" s="90" t="s">
        <v>152</v>
      </c>
      <c r="E62" s="92">
        <v>331.5</v>
      </c>
      <c r="F62" s="93">
        <v>2400</v>
      </c>
      <c r="G62" s="96">
        <v>1.2</v>
      </c>
      <c r="H62" s="94">
        <f>G62*F62/1000</f>
        <v>2.88</v>
      </c>
      <c r="I62" s="13">
        <f>F62/12*G62</f>
        <v>240</v>
      </c>
      <c r="J62" s="24"/>
      <c r="L62" s="20"/>
      <c r="M62" s="21"/>
      <c r="N62" s="22"/>
    </row>
    <row r="63" spans="1:14" ht="15.75" hidden="1" customHeight="1">
      <c r="A63" s="40">
        <v>14</v>
      </c>
      <c r="B63" s="90" t="s">
        <v>44</v>
      </c>
      <c r="C63" s="91" t="s">
        <v>25</v>
      </c>
      <c r="D63" s="90" t="s">
        <v>53</v>
      </c>
      <c r="E63" s="92">
        <v>1571.3</v>
      </c>
      <c r="F63" s="93">
        <f>E63/100</f>
        <v>15.712999999999999</v>
      </c>
      <c r="G63" s="97">
        <v>793.61</v>
      </c>
      <c r="H63" s="94">
        <f>G63*F63/1000</f>
        <v>12.469993929999999</v>
      </c>
      <c r="I63" s="13">
        <v>0</v>
      </c>
      <c r="J63" s="24"/>
      <c r="L63" s="20"/>
      <c r="M63" s="21"/>
      <c r="N63" s="22"/>
    </row>
    <row r="64" spans="1:14" ht="15.75" hidden="1" customHeight="1">
      <c r="A64" s="40"/>
      <c r="B64" s="69" t="s">
        <v>45</v>
      </c>
      <c r="C64" s="17"/>
      <c r="D64" s="37"/>
      <c r="E64" s="37"/>
      <c r="F64" s="16"/>
      <c r="G64" s="30"/>
      <c r="H64" s="30"/>
      <c r="I64" s="19"/>
      <c r="J64" s="24"/>
      <c r="L64" s="20"/>
      <c r="M64" s="21"/>
      <c r="N64" s="22"/>
    </row>
    <row r="65" spans="1:22" ht="15.75" hidden="1" customHeight="1">
      <c r="A65" s="40">
        <v>12</v>
      </c>
      <c r="B65" s="15" t="s">
        <v>46</v>
      </c>
      <c r="C65" s="17" t="s">
        <v>123</v>
      </c>
      <c r="D65" s="15" t="s">
        <v>67</v>
      </c>
      <c r="E65" s="19">
        <v>35</v>
      </c>
      <c r="F65" s="82">
        <v>35</v>
      </c>
      <c r="G65" s="13">
        <v>222.4</v>
      </c>
      <c r="H65" s="98">
        <f t="shared" ref="H65:H72" si="9">SUM(F65*G65/1000)</f>
        <v>7.7839999999999998</v>
      </c>
      <c r="I65" s="13">
        <f>G65*6</f>
        <v>1334.4</v>
      </c>
      <c r="J65" s="24"/>
      <c r="L65" s="20"/>
    </row>
    <row r="66" spans="1:22" ht="15.75" hidden="1" customHeight="1">
      <c r="A66" s="30">
        <v>29</v>
      </c>
      <c r="B66" s="15" t="s">
        <v>47</v>
      </c>
      <c r="C66" s="17" t="s">
        <v>123</v>
      </c>
      <c r="D66" s="15" t="s">
        <v>67</v>
      </c>
      <c r="E66" s="19">
        <v>17</v>
      </c>
      <c r="F66" s="82">
        <v>20</v>
      </c>
      <c r="G66" s="13">
        <v>76.25</v>
      </c>
      <c r="H66" s="98">
        <f t="shared" si="9"/>
        <v>1.5249999999999999</v>
      </c>
      <c r="I66" s="13">
        <v>0</v>
      </c>
    </row>
    <row r="67" spans="1:22" ht="15.75" hidden="1" customHeight="1">
      <c r="A67" s="30">
        <v>26</v>
      </c>
      <c r="B67" s="15" t="s">
        <v>48</v>
      </c>
      <c r="C67" s="17" t="s">
        <v>125</v>
      </c>
      <c r="D67" s="15" t="s">
        <v>53</v>
      </c>
      <c r="E67" s="81">
        <v>22639</v>
      </c>
      <c r="F67" s="13">
        <f>SUM(E67/100)</f>
        <v>226.39</v>
      </c>
      <c r="G67" s="13">
        <v>212.15</v>
      </c>
      <c r="H67" s="98">
        <f t="shared" si="9"/>
        <v>48.0286385</v>
      </c>
      <c r="I67" s="13">
        <f>F67*G67</f>
        <v>48028.638500000001</v>
      </c>
    </row>
    <row r="68" spans="1:22" ht="15.75" hidden="1" customHeight="1">
      <c r="A68" s="30">
        <v>27</v>
      </c>
      <c r="B68" s="15" t="s">
        <v>49</v>
      </c>
      <c r="C68" s="17" t="s">
        <v>126</v>
      </c>
      <c r="D68" s="15"/>
      <c r="E68" s="81">
        <v>22639</v>
      </c>
      <c r="F68" s="13">
        <f>SUM(E68/1000)</f>
        <v>22.638999999999999</v>
      </c>
      <c r="G68" s="13">
        <v>165.21</v>
      </c>
      <c r="H68" s="98">
        <f t="shared" si="9"/>
        <v>3.7401891900000002</v>
      </c>
      <c r="I68" s="13">
        <f t="shared" ref="I68:I71" si="10">F68*G68</f>
        <v>3740.1891900000001</v>
      </c>
    </row>
    <row r="69" spans="1:22" ht="15.75" hidden="1" customHeight="1">
      <c r="A69" s="30">
        <v>28</v>
      </c>
      <c r="B69" s="15" t="s">
        <v>50</v>
      </c>
      <c r="C69" s="17" t="s">
        <v>77</v>
      </c>
      <c r="D69" s="15" t="s">
        <v>53</v>
      </c>
      <c r="E69" s="81">
        <v>3145</v>
      </c>
      <c r="F69" s="13">
        <f>SUM(E69/100)</f>
        <v>31.45</v>
      </c>
      <c r="G69" s="13">
        <v>2074.63</v>
      </c>
      <c r="H69" s="98">
        <f t="shared" si="9"/>
        <v>65.247113499999998</v>
      </c>
      <c r="I69" s="13">
        <f t="shared" si="10"/>
        <v>65247.113499999999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29</v>
      </c>
      <c r="B70" s="99" t="s">
        <v>127</v>
      </c>
      <c r="C70" s="17" t="s">
        <v>33</v>
      </c>
      <c r="D70" s="15"/>
      <c r="E70" s="81">
        <v>20.28</v>
      </c>
      <c r="F70" s="13">
        <f>SUM(E70)</f>
        <v>20.28</v>
      </c>
      <c r="G70" s="13">
        <v>42.67</v>
      </c>
      <c r="H70" s="98">
        <f t="shared" si="9"/>
        <v>0.86534760000000011</v>
      </c>
      <c r="I70" s="13">
        <f t="shared" si="10"/>
        <v>865.34760000000006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30</v>
      </c>
      <c r="B71" s="99" t="s">
        <v>153</v>
      </c>
      <c r="C71" s="17" t="s">
        <v>33</v>
      </c>
      <c r="D71" s="15"/>
      <c r="E71" s="81">
        <v>20.28</v>
      </c>
      <c r="F71" s="13">
        <f>SUM(E71)</f>
        <v>20.28</v>
      </c>
      <c r="G71" s="13">
        <v>39.81</v>
      </c>
      <c r="H71" s="98">
        <f t="shared" si="9"/>
        <v>0.80734680000000014</v>
      </c>
      <c r="I71" s="13">
        <f t="shared" si="10"/>
        <v>807.34680000000014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hidden="1" customHeight="1">
      <c r="A72" s="30">
        <v>13</v>
      </c>
      <c r="B72" s="15" t="s">
        <v>57</v>
      </c>
      <c r="C72" s="17" t="s">
        <v>58</v>
      </c>
      <c r="D72" s="15" t="s">
        <v>53</v>
      </c>
      <c r="E72" s="19">
        <v>15</v>
      </c>
      <c r="F72" s="82">
        <f>SUM(E72)</f>
        <v>15</v>
      </c>
      <c r="G72" s="13">
        <v>49.88</v>
      </c>
      <c r="H72" s="98">
        <f t="shared" si="9"/>
        <v>0.74820000000000009</v>
      </c>
      <c r="I72" s="13">
        <v>0</v>
      </c>
      <c r="J72" s="5"/>
      <c r="K72" s="5"/>
      <c r="L72" s="5"/>
      <c r="M72" s="5"/>
      <c r="N72" s="5"/>
      <c r="O72" s="5"/>
      <c r="P72" s="5"/>
      <c r="Q72" s="5"/>
      <c r="R72" s="161"/>
      <c r="S72" s="161"/>
      <c r="T72" s="161"/>
      <c r="U72" s="161"/>
    </row>
    <row r="73" spans="1:22" ht="15.75" hidden="1" customHeight="1">
      <c r="A73" s="30"/>
      <c r="B73" s="48" t="s">
        <v>73</v>
      </c>
      <c r="C73" s="48"/>
      <c r="D73" s="48"/>
      <c r="E73" s="48"/>
      <c r="F73" s="19"/>
      <c r="G73" s="30"/>
      <c r="H73" s="30"/>
      <c r="I73" s="19"/>
    </row>
    <row r="74" spans="1:22" ht="15.75" hidden="1" customHeight="1">
      <c r="A74" s="30">
        <v>13</v>
      </c>
      <c r="B74" s="15" t="s">
        <v>74</v>
      </c>
      <c r="C74" s="17" t="s">
        <v>31</v>
      </c>
      <c r="D74" s="15"/>
      <c r="E74" s="19">
        <v>5</v>
      </c>
      <c r="F74" s="100">
        <v>0.5</v>
      </c>
      <c r="G74" s="13">
        <v>501.62</v>
      </c>
      <c r="H74" s="98">
        <f>F74*G74/1000</f>
        <v>0.25080999999999998</v>
      </c>
      <c r="I74" s="13">
        <f>G74*0.1</f>
        <v>50.162000000000006</v>
      </c>
    </row>
    <row r="75" spans="1:22" ht="15.75" hidden="1" customHeight="1">
      <c r="A75" s="30"/>
      <c r="B75" s="15" t="s">
        <v>131</v>
      </c>
      <c r="C75" s="17" t="s">
        <v>30</v>
      </c>
      <c r="D75" s="15"/>
      <c r="E75" s="19">
        <v>1</v>
      </c>
      <c r="F75" s="13">
        <v>1</v>
      </c>
      <c r="G75" s="13">
        <v>120.26</v>
      </c>
      <c r="H75" s="98">
        <f>G75*F75/1000</f>
        <v>0.12026000000000001</v>
      </c>
      <c r="I75" s="13">
        <v>0</v>
      </c>
    </row>
    <row r="76" spans="1:22" ht="15.75" hidden="1" customHeight="1">
      <c r="A76" s="30"/>
      <c r="B76" s="15" t="s">
        <v>130</v>
      </c>
      <c r="C76" s="17" t="s">
        <v>30</v>
      </c>
      <c r="D76" s="15"/>
      <c r="E76" s="19">
        <v>1</v>
      </c>
      <c r="F76" s="100">
        <v>1</v>
      </c>
      <c r="G76" s="13">
        <v>99.85</v>
      </c>
      <c r="H76" s="98">
        <f>G76*F76/1000</f>
        <v>9.9849999999999994E-2</v>
      </c>
      <c r="I76" s="13">
        <v>0</v>
      </c>
    </row>
    <row r="77" spans="1:22" ht="15.75" hidden="1" customHeight="1">
      <c r="A77" s="30"/>
      <c r="B77" s="15" t="s">
        <v>88</v>
      </c>
      <c r="C77" s="17" t="s">
        <v>30</v>
      </c>
      <c r="D77" s="15"/>
      <c r="E77" s="19">
        <v>2</v>
      </c>
      <c r="F77" s="82">
        <f>SUM(E77)</f>
        <v>2</v>
      </c>
      <c r="G77" s="13">
        <v>358.51</v>
      </c>
      <c r="H77" s="98">
        <f t="shared" ref="H77" si="11">SUM(F77*G77/1000)</f>
        <v>0.71701999999999999</v>
      </c>
      <c r="I77" s="13">
        <v>0</v>
      </c>
    </row>
    <row r="78" spans="1:22" ht="15.75" hidden="1" customHeight="1">
      <c r="A78" s="30">
        <v>18</v>
      </c>
      <c r="B78" s="15" t="s">
        <v>75</v>
      </c>
      <c r="C78" s="17" t="s">
        <v>30</v>
      </c>
      <c r="D78" s="15"/>
      <c r="E78" s="19">
        <v>2</v>
      </c>
      <c r="F78" s="13">
        <v>2</v>
      </c>
      <c r="G78" s="13">
        <v>852.99</v>
      </c>
      <c r="H78" s="98">
        <f>F78*G78/1000</f>
        <v>1.7059800000000001</v>
      </c>
      <c r="I78" s="13">
        <f>G78</f>
        <v>852.99</v>
      </c>
    </row>
    <row r="79" spans="1:22" ht="15.75" hidden="1" customHeight="1">
      <c r="A79" s="30"/>
      <c r="B79" s="49" t="s">
        <v>76</v>
      </c>
      <c r="C79" s="38"/>
      <c r="D79" s="30"/>
      <c r="E79" s="30"/>
      <c r="F79" s="19"/>
      <c r="G79" s="36"/>
      <c r="H79" s="36"/>
      <c r="I79" s="19"/>
    </row>
    <row r="80" spans="1:22" ht="15.75" hidden="1" customHeight="1">
      <c r="A80" s="30">
        <v>39</v>
      </c>
      <c r="B80" s="51" t="s">
        <v>132</v>
      </c>
      <c r="C80" s="17" t="s">
        <v>77</v>
      </c>
      <c r="D80" s="15"/>
      <c r="E80" s="19"/>
      <c r="F80" s="13">
        <v>1.35</v>
      </c>
      <c r="G80" s="13">
        <v>2759.44</v>
      </c>
      <c r="H80" s="98">
        <f t="shared" ref="H80" si="12">SUM(F80*G80/1000)</f>
        <v>3.725244</v>
      </c>
      <c r="I80" s="13">
        <v>0</v>
      </c>
    </row>
    <row r="81" spans="1:21" ht="15.75" hidden="1" customHeight="1">
      <c r="A81" s="52"/>
      <c r="B81" s="69" t="s">
        <v>128</v>
      </c>
      <c r="C81" s="69"/>
      <c r="D81" s="69"/>
      <c r="E81" s="69"/>
      <c r="F81" s="69"/>
      <c r="G81" s="69"/>
      <c r="H81" s="69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36</v>
      </c>
      <c r="B82" s="79" t="s">
        <v>129</v>
      </c>
      <c r="C82" s="17"/>
      <c r="D82" s="15"/>
      <c r="E82" s="101"/>
      <c r="F82" s="13">
        <v>1</v>
      </c>
      <c r="G82" s="13">
        <v>25286</v>
      </c>
      <c r="H82" s="98">
        <f>G82*F82/1000</f>
        <v>25.286000000000001</v>
      </c>
      <c r="I82" s="13">
        <v>0</v>
      </c>
    </row>
    <row r="83" spans="1:21" ht="15.75" customHeight="1">
      <c r="A83" s="170" t="s">
        <v>146</v>
      </c>
      <c r="B83" s="171"/>
      <c r="C83" s="171"/>
      <c r="D83" s="171"/>
      <c r="E83" s="171"/>
      <c r="F83" s="171"/>
      <c r="G83" s="171"/>
      <c r="H83" s="171"/>
      <c r="I83" s="172"/>
    </row>
    <row r="84" spans="1:21" ht="15.75" customHeight="1">
      <c r="A84" s="30">
        <v>12</v>
      </c>
      <c r="B84" s="79" t="s">
        <v>133</v>
      </c>
      <c r="C84" s="17" t="s">
        <v>54</v>
      </c>
      <c r="D84" s="103" t="s">
        <v>55</v>
      </c>
      <c r="E84" s="13">
        <v>5836.1</v>
      </c>
      <c r="F84" s="13">
        <f>SUM(E84*12)</f>
        <v>70033.200000000012</v>
      </c>
      <c r="G84" s="13">
        <v>2.1</v>
      </c>
      <c r="H84" s="98">
        <f>SUM(F84*G84/1000)</f>
        <v>147.06972000000002</v>
      </c>
      <c r="I84" s="13">
        <f>F84/12*G84</f>
        <v>12255.810000000003</v>
      </c>
    </row>
    <row r="85" spans="1:21" ht="31.5" customHeight="1">
      <c r="A85" s="30">
        <v>13</v>
      </c>
      <c r="B85" s="15" t="s">
        <v>78</v>
      </c>
      <c r="C85" s="17"/>
      <c r="D85" s="103" t="s">
        <v>55</v>
      </c>
      <c r="E85" s="81">
        <v>5836.1</v>
      </c>
      <c r="F85" s="13">
        <f>E85*12</f>
        <v>70033.200000000012</v>
      </c>
      <c r="G85" s="13">
        <v>1.63</v>
      </c>
      <c r="H85" s="98">
        <f>F85*G85/1000</f>
        <v>114.15411600000002</v>
      </c>
      <c r="I85" s="13">
        <f>F85/12*G85</f>
        <v>9512.8430000000008</v>
      </c>
    </row>
    <row r="86" spans="1:21" ht="15.75" customHeight="1">
      <c r="A86" s="52"/>
      <c r="B86" s="39" t="s">
        <v>81</v>
      </c>
      <c r="C86" s="40"/>
      <c r="D86" s="16"/>
      <c r="E86" s="16"/>
      <c r="F86" s="16"/>
      <c r="G86" s="19"/>
      <c r="H86" s="19"/>
      <c r="I86" s="32">
        <f>I85+I84+I62+I55+I35+I34+I32+I31+I28+I27+I21+I20+I18+I17+I16</f>
        <v>85670.773180888878</v>
      </c>
    </row>
    <row r="87" spans="1:21" ht="15.75" customHeight="1">
      <c r="A87" s="173" t="s">
        <v>60</v>
      </c>
      <c r="B87" s="174"/>
      <c r="C87" s="174"/>
      <c r="D87" s="174"/>
      <c r="E87" s="174"/>
      <c r="F87" s="174"/>
      <c r="G87" s="174"/>
      <c r="H87" s="174"/>
      <c r="I87" s="175"/>
    </row>
    <row r="88" spans="1:21" ht="35.25" customHeight="1">
      <c r="A88" s="30">
        <v>14</v>
      </c>
      <c r="B88" s="37" t="s">
        <v>193</v>
      </c>
      <c r="C88" s="38" t="s">
        <v>172</v>
      </c>
      <c r="D88" s="51"/>
      <c r="E88" s="36"/>
      <c r="F88" s="36">
        <f>(3+3+30+25+15+20+20+3+15+15+20+10+3)/3</f>
        <v>60.666666666666664</v>
      </c>
      <c r="G88" s="36">
        <v>1187</v>
      </c>
      <c r="H88" s="102">
        <f t="shared" ref="H88:H89" si="13">G88*F88/1000</f>
        <v>72.011333333333326</v>
      </c>
      <c r="I88" s="13">
        <f>G88*0.5</f>
        <v>593.5</v>
      </c>
    </row>
    <row r="89" spans="1:21" ht="16.5" customHeight="1">
      <c r="A89" s="30">
        <v>15</v>
      </c>
      <c r="B89" s="37" t="s">
        <v>196</v>
      </c>
      <c r="C89" s="38" t="s">
        <v>123</v>
      </c>
      <c r="D89" s="51"/>
      <c r="E89" s="13"/>
      <c r="F89" s="13">
        <f>60/10</f>
        <v>6</v>
      </c>
      <c r="G89" s="36">
        <v>5.42</v>
      </c>
      <c r="H89" s="98">
        <f t="shared" si="13"/>
        <v>3.2519999999999993E-2</v>
      </c>
      <c r="I89" s="13">
        <f>G89*3</f>
        <v>16.259999999999998</v>
      </c>
    </row>
    <row r="90" spans="1:21" ht="15.75" customHeight="1">
      <c r="A90" s="30">
        <v>16</v>
      </c>
      <c r="B90" s="37" t="s">
        <v>197</v>
      </c>
      <c r="C90" s="38" t="s">
        <v>123</v>
      </c>
      <c r="D90" s="51"/>
      <c r="E90" s="13"/>
      <c r="F90" s="13">
        <v>14</v>
      </c>
      <c r="G90" s="36">
        <v>89.92</v>
      </c>
      <c r="H90" s="98" t="e">
        <f>#REF!*#REF!/1000</f>
        <v>#REF!</v>
      </c>
      <c r="I90" s="13">
        <f>G90*2</f>
        <v>179.84</v>
      </c>
    </row>
    <row r="91" spans="1:21" ht="17.25" customHeight="1">
      <c r="A91" s="30">
        <v>17</v>
      </c>
      <c r="B91" s="37" t="s">
        <v>198</v>
      </c>
      <c r="C91" s="38" t="s">
        <v>123</v>
      </c>
      <c r="D91" s="51"/>
      <c r="E91" s="13"/>
      <c r="F91" s="13">
        <v>8</v>
      </c>
      <c r="G91" s="36">
        <v>95.25</v>
      </c>
      <c r="H91" s="98">
        <f>G90*F90/1000</f>
        <v>1.25888</v>
      </c>
      <c r="I91" s="13">
        <f>G91*2</f>
        <v>190.5</v>
      </c>
    </row>
    <row r="92" spans="1:21" ht="31.5" customHeight="1">
      <c r="A92" s="30">
        <v>18</v>
      </c>
      <c r="B92" s="55" t="s">
        <v>158</v>
      </c>
      <c r="C92" s="63" t="s">
        <v>37</v>
      </c>
      <c r="D92" s="51"/>
      <c r="E92" s="13"/>
      <c r="F92" s="13">
        <v>0.03</v>
      </c>
      <c r="G92" s="36">
        <v>3724.37</v>
      </c>
      <c r="H92" s="98">
        <f>G92*F92/1000</f>
        <v>0.1117311</v>
      </c>
      <c r="I92" s="13">
        <f>G92*0.01</f>
        <v>37.243699999999997</v>
      </c>
    </row>
    <row r="93" spans="1:21" ht="17.25" customHeight="1">
      <c r="A93" s="30">
        <v>19</v>
      </c>
      <c r="B93" s="104" t="s">
        <v>215</v>
      </c>
      <c r="C93" s="30" t="s">
        <v>123</v>
      </c>
      <c r="D93" s="51"/>
      <c r="E93" s="13"/>
      <c r="F93" s="13">
        <v>4</v>
      </c>
      <c r="G93" s="36">
        <v>303.35000000000002</v>
      </c>
      <c r="H93" s="98">
        <f t="shared" ref="H93:H94" si="14">G93*F93/1000</f>
        <v>1.2134</v>
      </c>
      <c r="I93" s="13">
        <f>G93*1</f>
        <v>303.35000000000002</v>
      </c>
    </row>
    <row r="94" spans="1:21" ht="32.25" customHeight="1">
      <c r="A94" s="30">
        <v>20</v>
      </c>
      <c r="B94" s="55" t="s">
        <v>80</v>
      </c>
      <c r="C94" s="63" t="s">
        <v>123</v>
      </c>
      <c r="D94" s="51"/>
      <c r="E94" s="13"/>
      <c r="F94" s="13">
        <f>10/10</f>
        <v>1</v>
      </c>
      <c r="G94" s="36">
        <v>86.69</v>
      </c>
      <c r="H94" s="98">
        <f t="shared" si="14"/>
        <v>8.6690000000000003E-2</v>
      </c>
      <c r="I94" s="13">
        <f>G94*1</f>
        <v>86.69</v>
      </c>
    </row>
    <row r="95" spans="1:21" ht="33.75" customHeight="1">
      <c r="A95" s="30">
        <v>21</v>
      </c>
      <c r="B95" s="115" t="s">
        <v>162</v>
      </c>
      <c r="C95" s="116" t="s">
        <v>163</v>
      </c>
      <c r="D95" s="51"/>
      <c r="E95" s="13"/>
      <c r="F95" s="13"/>
      <c r="G95" s="36">
        <v>56.34</v>
      </c>
      <c r="H95" s="98"/>
      <c r="I95" s="13">
        <f>G95*1</f>
        <v>56.34</v>
      </c>
    </row>
    <row r="96" spans="1:21" ht="15.75" customHeight="1">
      <c r="A96" s="30"/>
      <c r="B96" s="45" t="s">
        <v>51</v>
      </c>
      <c r="C96" s="41"/>
      <c r="D96" s="53"/>
      <c r="E96" s="53"/>
      <c r="F96" s="41">
        <v>1</v>
      </c>
      <c r="G96" s="41"/>
      <c r="H96" s="41"/>
      <c r="I96" s="32">
        <f>SUM(I88:I95)</f>
        <v>1463.7237</v>
      </c>
    </row>
    <row r="97" spans="1:9" ht="15.75" customHeight="1">
      <c r="A97" s="30"/>
      <c r="B97" s="51" t="s">
        <v>79</v>
      </c>
      <c r="C97" s="16"/>
      <c r="D97" s="16"/>
      <c r="E97" s="16"/>
      <c r="F97" s="42"/>
      <c r="G97" s="43"/>
      <c r="H97" s="43"/>
      <c r="I97" s="18">
        <v>0</v>
      </c>
    </row>
    <row r="98" spans="1:9" ht="15.75" customHeight="1">
      <c r="A98" s="54"/>
      <c r="B98" s="46" t="s">
        <v>147</v>
      </c>
      <c r="C98" s="34"/>
      <c r="D98" s="34"/>
      <c r="E98" s="34"/>
      <c r="F98" s="34"/>
      <c r="G98" s="34"/>
      <c r="H98" s="34"/>
      <c r="I98" s="44">
        <f>I86+I96</f>
        <v>87134.496880888881</v>
      </c>
    </row>
    <row r="99" spans="1:9" ht="15.75" customHeight="1">
      <c r="A99" s="167" t="s">
        <v>216</v>
      </c>
      <c r="B99" s="167"/>
      <c r="C99" s="167"/>
      <c r="D99" s="167"/>
      <c r="E99" s="167"/>
      <c r="F99" s="167"/>
      <c r="G99" s="167"/>
      <c r="H99" s="167"/>
      <c r="I99" s="167"/>
    </row>
    <row r="100" spans="1:9" ht="15.75" customHeight="1">
      <c r="A100" s="70"/>
      <c r="B100" s="168" t="s">
        <v>217</v>
      </c>
      <c r="C100" s="168"/>
      <c r="D100" s="168"/>
      <c r="E100" s="168"/>
      <c r="F100" s="168"/>
      <c r="G100" s="168"/>
      <c r="H100" s="77"/>
      <c r="I100" s="3"/>
    </row>
    <row r="101" spans="1:9" ht="15.75" customHeight="1">
      <c r="A101" s="65"/>
      <c r="B101" s="166" t="s">
        <v>6</v>
      </c>
      <c r="C101" s="166"/>
      <c r="D101" s="166"/>
      <c r="E101" s="166"/>
      <c r="F101" s="166"/>
      <c r="G101" s="166"/>
      <c r="H101" s="25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169" t="s">
        <v>7</v>
      </c>
      <c r="B103" s="169"/>
      <c r="C103" s="169"/>
      <c r="D103" s="169"/>
      <c r="E103" s="169"/>
      <c r="F103" s="169"/>
      <c r="G103" s="169"/>
      <c r="H103" s="169"/>
      <c r="I103" s="169"/>
    </row>
    <row r="104" spans="1:9" ht="15.75" customHeight="1">
      <c r="A104" s="169" t="s">
        <v>8</v>
      </c>
      <c r="B104" s="169"/>
      <c r="C104" s="169"/>
      <c r="D104" s="169"/>
      <c r="E104" s="169"/>
      <c r="F104" s="169"/>
      <c r="G104" s="169"/>
      <c r="H104" s="169"/>
      <c r="I104" s="169"/>
    </row>
    <row r="105" spans="1:9" ht="15.75" customHeight="1">
      <c r="A105" s="163" t="s">
        <v>61</v>
      </c>
      <c r="B105" s="163"/>
      <c r="C105" s="163"/>
      <c r="D105" s="163"/>
      <c r="E105" s="163"/>
      <c r="F105" s="163"/>
      <c r="G105" s="163"/>
      <c r="H105" s="163"/>
      <c r="I105" s="163"/>
    </row>
    <row r="106" spans="1:9" ht="15.75" customHeight="1">
      <c r="A106" s="11"/>
    </row>
    <row r="107" spans="1:9" ht="15.75" customHeight="1">
      <c r="A107" s="164" t="s">
        <v>9</v>
      </c>
      <c r="B107" s="164"/>
      <c r="C107" s="164"/>
      <c r="D107" s="164"/>
      <c r="E107" s="164"/>
      <c r="F107" s="164"/>
      <c r="G107" s="164"/>
      <c r="H107" s="164"/>
      <c r="I107" s="164"/>
    </row>
    <row r="108" spans="1:9" ht="15.75" customHeight="1">
      <c r="A108" s="4"/>
    </row>
    <row r="109" spans="1:9" ht="15.75" customHeight="1">
      <c r="B109" s="64" t="s">
        <v>10</v>
      </c>
      <c r="C109" s="165" t="s">
        <v>90</v>
      </c>
      <c r="D109" s="165"/>
      <c r="E109" s="165"/>
      <c r="F109" s="165"/>
      <c r="I109" s="67"/>
    </row>
    <row r="110" spans="1:9" ht="15.75" customHeight="1">
      <c r="A110" s="65"/>
      <c r="C110" s="166" t="s">
        <v>11</v>
      </c>
      <c r="D110" s="166"/>
      <c r="E110" s="166"/>
      <c r="F110" s="166"/>
      <c r="I110" s="66" t="s">
        <v>12</v>
      </c>
    </row>
    <row r="111" spans="1:9" ht="15.75" customHeight="1">
      <c r="A111" s="26"/>
      <c r="C111" s="12"/>
      <c r="D111" s="12"/>
      <c r="E111" s="12"/>
      <c r="G111" s="12"/>
      <c r="H111" s="12"/>
    </row>
    <row r="112" spans="1:9" ht="15.75" customHeight="1">
      <c r="B112" s="64" t="s">
        <v>13</v>
      </c>
      <c r="C112" s="160"/>
      <c r="D112" s="160"/>
      <c r="E112" s="160"/>
      <c r="F112" s="160"/>
      <c r="I112" s="67"/>
    </row>
    <row r="113" spans="1:9" ht="15.75" customHeight="1">
      <c r="A113" s="65"/>
      <c r="C113" s="161" t="s">
        <v>11</v>
      </c>
      <c r="D113" s="161"/>
      <c r="E113" s="161"/>
      <c r="F113" s="161"/>
      <c r="I113" s="66" t="s">
        <v>12</v>
      </c>
    </row>
    <row r="114" spans="1:9" ht="15.75" customHeight="1">
      <c r="A114" s="4" t="s">
        <v>14</v>
      </c>
    </row>
    <row r="115" spans="1:9" ht="15.75" customHeight="1">
      <c r="A115" s="162" t="s">
        <v>15</v>
      </c>
      <c r="B115" s="162"/>
      <c r="C115" s="162"/>
      <c r="D115" s="162"/>
      <c r="E115" s="162"/>
      <c r="F115" s="162"/>
      <c r="G115" s="162"/>
      <c r="H115" s="162"/>
      <c r="I115" s="162"/>
    </row>
    <row r="116" spans="1:9" ht="45" customHeight="1">
      <c r="A116" s="159" t="s">
        <v>16</v>
      </c>
      <c r="B116" s="159"/>
      <c r="C116" s="159"/>
      <c r="D116" s="159"/>
      <c r="E116" s="159"/>
      <c r="F116" s="159"/>
      <c r="G116" s="159"/>
      <c r="H116" s="159"/>
      <c r="I116" s="159"/>
    </row>
    <row r="117" spans="1:9" ht="30" customHeight="1">
      <c r="A117" s="159" t="s">
        <v>17</v>
      </c>
      <c r="B117" s="159"/>
      <c r="C117" s="159"/>
      <c r="D117" s="159"/>
      <c r="E117" s="159"/>
      <c r="F117" s="159"/>
      <c r="G117" s="159"/>
      <c r="H117" s="159"/>
      <c r="I117" s="159"/>
    </row>
    <row r="118" spans="1:9" ht="30" customHeight="1">
      <c r="A118" s="159" t="s">
        <v>21</v>
      </c>
      <c r="B118" s="159"/>
      <c r="C118" s="159"/>
      <c r="D118" s="159"/>
      <c r="E118" s="159"/>
      <c r="F118" s="159"/>
      <c r="G118" s="159"/>
      <c r="H118" s="159"/>
      <c r="I118" s="159"/>
    </row>
    <row r="119" spans="1:9" ht="15" customHeight="1">
      <c r="A119" s="159" t="s">
        <v>20</v>
      </c>
      <c r="B119" s="159"/>
      <c r="C119" s="159"/>
      <c r="D119" s="159"/>
      <c r="E119" s="159"/>
      <c r="F119" s="159"/>
      <c r="G119" s="159"/>
      <c r="H119" s="159"/>
      <c r="I119" s="159"/>
    </row>
  </sheetData>
  <autoFilter ref="I12:I67"/>
  <mergeCells count="29">
    <mergeCell ref="A115:I115"/>
    <mergeCell ref="A116:I116"/>
    <mergeCell ref="A117:I117"/>
    <mergeCell ref="A118:I118"/>
    <mergeCell ref="A119:I119"/>
    <mergeCell ref="R72:U72"/>
    <mergeCell ref="C113:F113"/>
    <mergeCell ref="A87:I87"/>
    <mergeCell ref="A99:I99"/>
    <mergeCell ref="B100:G100"/>
    <mergeCell ref="B101:G101"/>
    <mergeCell ref="A103:I103"/>
    <mergeCell ref="A104:I104"/>
    <mergeCell ref="A105:I105"/>
    <mergeCell ref="A107:I107"/>
    <mergeCell ref="C109:F109"/>
    <mergeCell ref="C110:F110"/>
    <mergeCell ref="C112:F112"/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9"/>
  <sheetViews>
    <sheetView workbookViewId="0">
      <selection activeCell="J34" sqref="J3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5.85546875" customWidth="1"/>
    <col min="5" max="5" width="18.140625" hidden="1" customWidth="1"/>
    <col min="6" max="6" width="1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218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76" t="s">
        <v>160</v>
      </c>
      <c r="B3" s="176"/>
      <c r="C3" s="176"/>
      <c r="D3" s="176"/>
      <c r="E3" s="176"/>
      <c r="F3" s="176"/>
      <c r="G3" s="176"/>
      <c r="H3" s="176"/>
      <c r="I3" s="176"/>
      <c r="J3" s="3"/>
      <c r="K3" s="3"/>
      <c r="L3" s="3"/>
    </row>
    <row r="4" spans="1:13" ht="31.5" customHeight="1">
      <c r="A4" s="177" t="s">
        <v>134</v>
      </c>
      <c r="B4" s="177"/>
      <c r="C4" s="177"/>
      <c r="D4" s="177"/>
      <c r="E4" s="177"/>
      <c r="F4" s="177"/>
      <c r="G4" s="177"/>
      <c r="H4" s="177"/>
      <c r="I4" s="177"/>
    </row>
    <row r="5" spans="1:13" ht="15.75" customHeight="1">
      <c r="A5" s="176" t="s">
        <v>219</v>
      </c>
      <c r="B5" s="180"/>
      <c r="C5" s="180"/>
      <c r="D5" s="180"/>
      <c r="E5" s="180"/>
      <c r="F5" s="180"/>
      <c r="G5" s="180"/>
      <c r="H5" s="180"/>
      <c r="I5" s="180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1">
        <v>43312</v>
      </c>
      <c r="J6" s="2"/>
      <c r="K6" s="2"/>
      <c r="L6" s="2"/>
      <c r="M6" s="2"/>
    </row>
    <row r="7" spans="1:13" ht="15.75" customHeight="1">
      <c r="B7" s="74"/>
      <c r="C7" s="74"/>
      <c r="D7" s="74"/>
      <c r="E7" s="74"/>
      <c r="F7" s="3"/>
      <c r="G7" s="3"/>
      <c r="H7" s="3"/>
      <c r="J7" s="3"/>
      <c r="K7" s="3"/>
      <c r="L7" s="3"/>
      <c r="M7" s="3"/>
    </row>
    <row r="8" spans="1:13" ht="78.75" customHeight="1">
      <c r="A8" s="178" t="s">
        <v>220</v>
      </c>
      <c r="B8" s="178"/>
      <c r="C8" s="178"/>
      <c r="D8" s="178"/>
      <c r="E8" s="178"/>
      <c r="F8" s="178"/>
      <c r="G8" s="178"/>
      <c r="H8" s="178"/>
      <c r="I8" s="17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9" t="s">
        <v>143</v>
      </c>
      <c r="B10" s="179"/>
      <c r="C10" s="179"/>
      <c r="D10" s="179"/>
      <c r="E10" s="179"/>
      <c r="F10" s="179"/>
      <c r="G10" s="179"/>
      <c r="H10" s="179"/>
      <c r="I10" s="17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81" t="s">
        <v>59</v>
      </c>
      <c r="B14" s="181"/>
      <c r="C14" s="181"/>
      <c r="D14" s="181"/>
      <c r="E14" s="181"/>
      <c r="F14" s="181"/>
      <c r="G14" s="181"/>
      <c r="H14" s="181"/>
      <c r="I14" s="181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0">
        <v>1</v>
      </c>
      <c r="B16" s="79" t="s">
        <v>87</v>
      </c>
      <c r="C16" s="80" t="s">
        <v>104</v>
      </c>
      <c r="D16" s="79" t="s">
        <v>105</v>
      </c>
      <c r="E16" s="81">
        <v>164.38</v>
      </c>
      <c r="F16" s="82">
        <f>SUM(E16*156/100)</f>
        <v>256.43279999999999</v>
      </c>
      <c r="G16" s="82">
        <v>175.38</v>
      </c>
      <c r="H16" s="83">
        <f t="shared" ref="H16:H28" si="0">SUM(F16*G16/1000)</f>
        <v>44.973184463999999</v>
      </c>
      <c r="I16" s="13">
        <f>F16/12*G16</f>
        <v>3747.7653719999998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93</v>
      </c>
      <c r="C17" s="80" t="s">
        <v>104</v>
      </c>
      <c r="D17" s="79" t="s">
        <v>106</v>
      </c>
      <c r="E17" s="81">
        <v>657.52</v>
      </c>
      <c r="F17" s="82">
        <f>SUM(E17*104/100)</f>
        <v>683.82079999999996</v>
      </c>
      <c r="G17" s="82">
        <v>175.38</v>
      </c>
      <c r="H17" s="83">
        <f t="shared" si="0"/>
        <v>119.928491904</v>
      </c>
      <c r="I17" s="13">
        <f>F17/12*G17</f>
        <v>9994.0409919999984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94</v>
      </c>
      <c r="C18" s="80" t="s">
        <v>104</v>
      </c>
      <c r="D18" s="79" t="s">
        <v>107</v>
      </c>
      <c r="E18" s="81">
        <f>SUM(E16+E17)</f>
        <v>821.9</v>
      </c>
      <c r="F18" s="82">
        <f>SUM(E18*24/100)</f>
        <v>197.25599999999997</v>
      </c>
      <c r="G18" s="82">
        <v>504.5</v>
      </c>
      <c r="H18" s="83">
        <f t="shared" si="0"/>
        <v>99.515651999999989</v>
      </c>
      <c r="I18" s="13">
        <f>F18/12*G18</f>
        <v>8292.9709999999995</v>
      </c>
      <c r="J18" s="23"/>
      <c r="K18" s="8"/>
      <c r="L18" s="8"/>
      <c r="M18" s="8"/>
    </row>
    <row r="19" spans="1:13" ht="15.75" hidden="1" customHeight="1">
      <c r="A19" s="30">
        <v>4</v>
      </c>
      <c r="B19" s="79" t="s">
        <v>108</v>
      </c>
      <c r="C19" s="80" t="s">
        <v>109</v>
      </c>
      <c r="D19" s="79" t="s">
        <v>110</v>
      </c>
      <c r="E19" s="81">
        <v>51.2</v>
      </c>
      <c r="F19" s="82">
        <f>SUM(E19/10)</f>
        <v>5.12</v>
      </c>
      <c r="G19" s="136">
        <v>170.16</v>
      </c>
      <c r="H19" s="83">
        <f t="shared" si="0"/>
        <v>0.87121919999999997</v>
      </c>
      <c r="I19" s="13">
        <f>F19/2*G19</f>
        <v>435.6096</v>
      </c>
      <c r="J19" s="23"/>
      <c r="K19" s="8"/>
      <c r="L19" s="8"/>
      <c r="M19" s="8"/>
    </row>
    <row r="20" spans="1:13" ht="15.75" customHeight="1">
      <c r="A20" s="30">
        <v>5</v>
      </c>
      <c r="B20" s="79" t="s">
        <v>98</v>
      </c>
      <c r="C20" s="80" t="s">
        <v>104</v>
      </c>
      <c r="D20" s="79" t="s">
        <v>181</v>
      </c>
      <c r="E20" s="81">
        <v>58.4</v>
      </c>
      <c r="F20" s="82">
        <v>6.9</v>
      </c>
      <c r="G20" s="136">
        <v>193.55</v>
      </c>
      <c r="H20" s="83">
        <f t="shared" si="0"/>
        <v>1.3354950000000001</v>
      </c>
      <c r="I20" s="13">
        <f>F20/12*G20</f>
        <v>111.29125000000002</v>
      </c>
      <c r="J20" s="23"/>
      <c r="K20" s="8"/>
      <c r="L20" s="8"/>
      <c r="M20" s="8"/>
    </row>
    <row r="21" spans="1:13" ht="15.75" customHeight="1">
      <c r="A21" s="30">
        <v>6</v>
      </c>
      <c r="B21" s="79" t="s">
        <v>99</v>
      </c>
      <c r="C21" s="80" t="s">
        <v>104</v>
      </c>
      <c r="D21" s="79" t="s">
        <v>181</v>
      </c>
      <c r="E21" s="81">
        <v>13.41</v>
      </c>
      <c r="F21" s="82">
        <v>1.61</v>
      </c>
      <c r="G21" s="136">
        <v>191.98</v>
      </c>
      <c r="H21" s="83">
        <f t="shared" si="0"/>
        <v>0.30908780000000002</v>
      </c>
      <c r="I21" s="13">
        <f>F21/12*G21</f>
        <v>25.757316666666668</v>
      </c>
      <c r="J21" s="23"/>
      <c r="K21" s="8"/>
      <c r="L21" s="8"/>
      <c r="M21" s="8"/>
    </row>
    <row r="22" spans="1:13" ht="18" hidden="1" customHeight="1">
      <c r="A22" s="30">
        <v>7</v>
      </c>
      <c r="B22" s="79" t="s">
        <v>111</v>
      </c>
      <c r="C22" s="80" t="s">
        <v>52</v>
      </c>
      <c r="D22" s="79" t="s">
        <v>110</v>
      </c>
      <c r="E22" s="81">
        <v>1025.5999999999999</v>
      </c>
      <c r="F22" s="82">
        <f>SUM(E22/100)</f>
        <v>10.255999999999998</v>
      </c>
      <c r="G22" s="136">
        <v>269.26</v>
      </c>
      <c r="H22" s="83">
        <f t="shared" si="0"/>
        <v>2.7615305599999997</v>
      </c>
      <c r="I22" s="13">
        <f t="shared" ref="I22:I26" si="1">F22*G22</f>
        <v>2761.5305599999997</v>
      </c>
      <c r="J22" s="23"/>
      <c r="K22" s="8"/>
      <c r="L22" s="8"/>
      <c r="M22" s="8"/>
    </row>
    <row r="23" spans="1:13" ht="18.75" hidden="1" customHeight="1">
      <c r="A23" s="30">
        <v>8</v>
      </c>
      <c r="B23" s="79" t="s">
        <v>112</v>
      </c>
      <c r="C23" s="80" t="s">
        <v>52</v>
      </c>
      <c r="D23" s="79" t="s">
        <v>110</v>
      </c>
      <c r="E23" s="84">
        <v>60.5</v>
      </c>
      <c r="F23" s="82">
        <f>SUM(E23/100)</f>
        <v>0.60499999999999998</v>
      </c>
      <c r="G23" s="136">
        <v>44.29</v>
      </c>
      <c r="H23" s="83">
        <f t="shared" si="0"/>
        <v>2.6795449999999998E-2</v>
      </c>
      <c r="I23" s="13">
        <f t="shared" si="1"/>
        <v>26.795449999999999</v>
      </c>
      <c r="J23" s="23"/>
      <c r="K23" s="8"/>
      <c r="L23" s="8"/>
      <c r="M23" s="8"/>
    </row>
    <row r="24" spans="1:13" ht="14.25" hidden="1" customHeight="1">
      <c r="A24" s="30">
        <v>9</v>
      </c>
      <c r="B24" s="79" t="s">
        <v>102</v>
      </c>
      <c r="C24" s="80" t="s">
        <v>52</v>
      </c>
      <c r="D24" s="79" t="s">
        <v>53</v>
      </c>
      <c r="E24" s="85">
        <v>19.149999999999999</v>
      </c>
      <c r="F24" s="82">
        <f>E24/100</f>
        <v>0.19149999999999998</v>
      </c>
      <c r="G24" s="136">
        <v>389.42</v>
      </c>
      <c r="H24" s="83">
        <f>G24*F24/100</f>
        <v>0.74573929999999988</v>
      </c>
      <c r="I24" s="13">
        <f t="shared" si="1"/>
        <v>74.57392999999999</v>
      </c>
      <c r="J24" s="23"/>
      <c r="K24" s="8"/>
      <c r="L24" s="8"/>
      <c r="M24" s="8"/>
    </row>
    <row r="25" spans="1:13" ht="18" hidden="1" customHeight="1">
      <c r="A25" s="30">
        <v>10</v>
      </c>
      <c r="B25" s="79" t="s">
        <v>135</v>
      </c>
      <c r="C25" s="80" t="s">
        <v>52</v>
      </c>
      <c r="D25" s="79" t="s">
        <v>53</v>
      </c>
      <c r="E25" s="86">
        <v>31.5</v>
      </c>
      <c r="F25" s="82">
        <f>E25/100</f>
        <v>0.315</v>
      </c>
      <c r="G25" s="136">
        <v>216.12</v>
      </c>
      <c r="H25" s="83">
        <f>G25*F25/1000</f>
        <v>6.8077799999999994E-2</v>
      </c>
      <c r="I25" s="13">
        <f t="shared" si="1"/>
        <v>68.077799999999996</v>
      </c>
      <c r="J25" s="23"/>
      <c r="K25" s="8"/>
      <c r="L25" s="8"/>
      <c r="M25" s="8"/>
    </row>
    <row r="26" spans="1:13" ht="16.5" hidden="1" customHeight="1">
      <c r="A26" s="30">
        <v>11</v>
      </c>
      <c r="B26" s="79" t="s">
        <v>103</v>
      </c>
      <c r="C26" s="80" t="s">
        <v>52</v>
      </c>
      <c r="D26" s="79" t="s">
        <v>53</v>
      </c>
      <c r="E26" s="81">
        <v>37.5</v>
      </c>
      <c r="F26" s="82">
        <f>SUM(E26/100)</f>
        <v>0.375</v>
      </c>
      <c r="G26" s="136">
        <v>520.79999999999995</v>
      </c>
      <c r="H26" s="83">
        <f t="shared" si="0"/>
        <v>0.19529999999999997</v>
      </c>
      <c r="I26" s="13">
        <f t="shared" si="1"/>
        <v>195.29999999999998</v>
      </c>
      <c r="J26" s="23"/>
      <c r="K26" s="8"/>
      <c r="L26" s="8"/>
      <c r="M26" s="8"/>
    </row>
    <row r="27" spans="1:13" ht="15.75" customHeight="1">
      <c r="A27" s="30">
        <v>7</v>
      </c>
      <c r="B27" s="79" t="s">
        <v>64</v>
      </c>
      <c r="C27" s="80" t="s">
        <v>33</v>
      </c>
      <c r="D27" s="79"/>
      <c r="E27" s="81">
        <v>0.1</v>
      </c>
      <c r="F27" s="82">
        <f>SUM(E27*365)</f>
        <v>36.5</v>
      </c>
      <c r="G27" s="82">
        <v>147.03</v>
      </c>
      <c r="H27" s="83">
        <f t="shared" si="0"/>
        <v>5.3665950000000002</v>
      </c>
      <c r="I27" s="13">
        <f>F27/12*G27</f>
        <v>447.21625</v>
      </c>
      <c r="J27" s="23"/>
      <c r="K27" s="8"/>
      <c r="L27" s="8"/>
      <c r="M27" s="8"/>
    </row>
    <row r="28" spans="1:13" ht="15.75" customHeight="1">
      <c r="A28" s="30">
        <v>8</v>
      </c>
      <c r="B28" s="87" t="s">
        <v>23</v>
      </c>
      <c r="C28" s="80" t="s">
        <v>24</v>
      </c>
      <c r="D28" s="79"/>
      <c r="E28" s="81">
        <v>5836.1</v>
      </c>
      <c r="F28" s="82">
        <f>SUM(E28*12)</f>
        <v>70033.200000000012</v>
      </c>
      <c r="G28" s="82">
        <v>3.33</v>
      </c>
      <c r="H28" s="83">
        <f t="shared" si="0"/>
        <v>233.21055600000005</v>
      </c>
      <c r="I28" s="13">
        <f>F28/12*G28</f>
        <v>19434.213000000003</v>
      </c>
      <c r="J28" s="23"/>
      <c r="K28" s="8"/>
      <c r="L28" s="8"/>
      <c r="M28" s="8"/>
    </row>
    <row r="29" spans="1:13" ht="15.75" customHeight="1">
      <c r="A29" s="182" t="s">
        <v>85</v>
      </c>
      <c r="B29" s="182"/>
      <c r="C29" s="182"/>
      <c r="D29" s="182"/>
      <c r="E29" s="182"/>
      <c r="F29" s="182"/>
      <c r="G29" s="182"/>
      <c r="H29" s="182"/>
      <c r="I29" s="182"/>
      <c r="J29" s="23"/>
      <c r="K29" s="8"/>
      <c r="L29" s="8"/>
      <c r="M29" s="8"/>
    </row>
    <row r="30" spans="1:13" ht="15.75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9"/>
      <c r="J30" s="23"/>
      <c r="K30" s="8"/>
      <c r="L30" s="8"/>
      <c r="M30" s="8"/>
    </row>
    <row r="31" spans="1:13" ht="15.75" customHeight="1">
      <c r="A31" s="40">
        <v>9</v>
      </c>
      <c r="B31" s="79" t="s">
        <v>113</v>
      </c>
      <c r="C31" s="80" t="s">
        <v>114</v>
      </c>
      <c r="D31" s="79" t="s">
        <v>115</v>
      </c>
      <c r="E31" s="82">
        <v>659.5</v>
      </c>
      <c r="F31" s="82">
        <f>SUM(E31*52/1000)</f>
        <v>34.293999999999997</v>
      </c>
      <c r="G31" s="82">
        <v>155.88999999999999</v>
      </c>
      <c r="H31" s="83">
        <f t="shared" ref="H31:H33" si="2">SUM(F31*G31/1000)</f>
        <v>5.346091659999999</v>
      </c>
      <c r="I31" s="13">
        <f>F31/6*G31</f>
        <v>891.01527666666652</v>
      </c>
      <c r="J31" s="23"/>
      <c r="K31" s="8"/>
      <c r="L31" s="8"/>
      <c r="M31" s="8"/>
    </row>
    <row r="32" spans="1:13" ht="31.5" customHeight="1">
      <c r="A32" s="40">
        <v>10</v>
      </c>
      <c r="B32" s="79" t="s">
        <v>149</v>
      </c>
      <c r="C32" s="80" t="s">
        <v>114</v>
      </c>
      <c r="D32" s="79" t="s">
        <v>116</v>
      </c>
      <c r="E32" s="82">
        <v>567.9</v>
      </c>
      <c r="F32" s="82">
        <f>SUM(E32*78/1000)</f>
        <v>44.296199999999999</v>
      </c>
      <c r="G32" s="82">
        <v>258.63</v>
      </c>
      <c r="H32" s="83">
        <f t="shared" si="2"/>
        <v>11.456326206</v>
      </c>
      <c r="I32" s="13">
        <f t="shared" ref="I32:I35" si="3">F32/6*G32</f>
        <v>1909.3877009999999</v>
      </c>
      <c r="J32" s="23"/>
      <c r="K32" s="8"/>
      <c r="L32" s="8"/>
      <c r="M32" s="8"/>
    </row>
    <row r="33" spans="1:14" ht="15.75" hidden="1" customHeight="1">
      <c r="A33" s="40">
        <v>16</v>
      </c>
      <c r="B33" s="79" t="s">
        <v>27</v>
      </c>
      <c r="C33" s="80" t="s">
        <v>114</v>
      </c>
      <c r="D33" s="79" t="s">
        <v>53</v>
      </c>
      <c r="E33" s="82">
        <v>659.5</v>
      </c>
      <c r="F33" s="82">
        <f>SUM(E33/1000)</f>
        <v>0.65949999999999998</v>
      </c>
      <c r="G33" s="82">
        <v>3020.33</v>
      </c>
      <c r="H33" s="83">
        <f t="shared" si="2"/>
        <v>1.9919076349999998</v>
      </c>
      <c r="I33" s="13">
        <f>F33*G33</f>
        <v>1991.9076349999998</v>
      </c>
      <c r="J33" s="23"/>
      <c r="K33" s="8"/>
      <c r="L33" s="8"/>
      <c r="M33" s="8"/>
    </row>
    <row r="34" spans="1:14" ht="15.75" customHeight="1">
      <c r="A34" s="40">
        <v>11</v>
      </c>
      <c r="B34" s="79" t="s">
        <v>136</v>
      </c>
      <c r="C34" s="80" t="s">
        <v>39</v>
      </c>
      <c r="D34" s="79" t="s">
        <v>148</v>
      </c>
      <c r="E34" s="82">
        <v>8</v>
      </c>
      <c r="F34" s="82">
        <v>12.4</v>
      </c>
      <c r="G34" s="82">
        <v>1302.02</v>
      </c>
      <c r="H34" s="83">
        <v>16.145</v>
      </c>
      <c r="I34" s="13">
        <f t="shared" si="3"/>
        <v>2690.8413333333338</v>
      </c>
      <c r="J34" s="23"/>
      <c r="K34" s="8"/>
      <c r="L34" s="8"/>
      <c r="M34" s="8"/>
    </row>
    <row r="35" spans="1:14" ht="15.75" customHeight="1">
      <c r="A35" s="40">
        <v>12</v>
      </c>
      <c r="B35" s="79" t="s">
        <v>117</v>
      </c>
      <c r="C35" s="80" t="s">
        <v>30</v>
      </c>
      <c r="D35" s="79" t="s">
        <v>63</v>
      </c>
      <c r="E35" s="88">
        <v>0.33</v>
      </c>
      <c r="F35" s="82">
        <v>51.666666666666664</v>
      </c>
      <c r="G35" s="82">
        <v>56.69</v>
      </c>
      <c r="H35" s="83">
        <f>SUM(G35*155/3/1000)</f>
        <v>2.9289833333333331</v>
      </c>
      <c r="I35" s="13">
        <f t="shared" si="3"/>
        <v>488.16388888888883</v>
      </c>
      <c r="J35" s="23"/>
      <c r="K35" s="8"/>
    </row>
    <row r="36" spans="1:14" ht="15.75" hidden="1" customHeight="1">
      <c r="A36" s="40">
        <v>4</v>
      </c>
      <c r="B36" s="79" t="s">
        <v>65</v>
      </c>
      <c r="C36" s="80" t="s">
        <v>33</v>
      </c>
      <c r="D36" s="79" t="s">
        <v>67</v>
      </c>
      <c r="E36" s="81"/>
      <c r="F36" s="82">
        <v>4</v>
      </c>
      <c r="G36" s="82">
        <v>191.32</v>
      </c>
      <c r="H36" s="83">
        <f t="shared" ref="H36:H37" si="4">SUM(F36*G36/1000)</f>
        <v>0.76527999999999996</v>
      </c>
      <c r="I36" s="13">
        <v>0</v>
      </c>
      <c r="J36" s="24"/>
    </row>
    <row r="37" spans="1:14" ht="15.75" hidden="1" customHeight="1">
      <c r="A37" s="30">
        <v>8</v>
      </c>
      <c r="B37" s="79" t="s">
        <v>66</v>
      </c>
      <c r="C37" s="80" t="s">
        <v>32</v>
      </c>
      <c r="D37" s="79" t="s">
        <v>67</v>
      </c>
      <c r="E37" s="81"/>
      <c r="F37" s="82">
        <v>3</v>
      </c>
      <c r="G37" s="82">
        <v>1136.32</v>
      </c>
      <c r="H37" s="83">
        <f t="shared" si="4"/>
        <v>3.40896</v>
      </c>
      <c r="I37" s="13">
        <v>0</v>
      </c>
      <c r="J37" s="24"/>
    </row>
    <row r="38" spans="1:14" ht="15.75" hidden="1" customHeight="1">
      <c r="A38" s="40"/>
      <c r="B38" s="48" t="s">
        <v>5</v>
      </c>
      <c r="C38" s="48"/>
      <c r="D38" s="48"/>
      <c r="E38" s="48"/>
      <c r="F38" s="13"/>
      <c r="G38" s="14"/>
      <c r="H38" s="14"/>
      <c r="I38" s="19"/>
      <c r="J38" s="24"/>
    </row>
    <row r="39" spans="1:14" ht="15.75" hidden="1" customHeight="1">
      <c r="A39" s="33">
        <v>6</v>
      </c>
      <c r="B39" s="79" t="s">
        <v>26</v>
      </c>
      <c r="C39" s="80" t="s">
        <v>32</v>
      </c>
      <c r="D39" s="79"/>
      <c r="E39" s="81"/>
      <c r="F39" s="82">
        <v>10</v>
      </c>
      <c r="G39" s="82">
        <v>1527.22</v>
      </c>
      <c r="H39" s="83">
        <f t="shared" ref="H39:H45" si="5">SUM(F39*G39/1000)</f>
        <v>15.272200000000002</v>
      </c>
      <c r="I39" s="13">
        <f>F39/6*G39</f>
        <v>2545.3666666666668</v>
      </c>
      <c r="J39" s="24"/>
    </row>
    <row r="40" spans="1:14" ht="15.75" hidden="1" customHeight="1">
      <c r="A40" s="33">
        <v>7</v>
      </c>
      <c r="B40" s="79" t="s">
        <v>68</v>
      </c>
      <c r="C40" s="80" t="s">
        <v>29</v>
      </c>
      <c r="D40" s="79" t="s">
        <v>137</v>
      </c>
      <c r="E40" s="82">
        <v>567.9</v>
      </c>
      <c r="F40" s="82">
        <f>SUM(E40*50/1000)</f>
        <v>28.395</v>
      </c>
      <c r="G40" s="82">
        <v>2102.71</v>
      </c>
      <c r="H40" s="83">
        <f t="shared" si="5"/>
        <v>59.706450449999998</v>
      </c>
      <c r="I40" s="13">
        <f>F40/6*G40</f>
        <v>9951.0750750000007</v>
      </c>
      <c r="J40" s="24"/>
    </row>
    <row r="41" spans="1:14" ht="15.75" hidden="1" customHeight="1">
      <c r="A41" s="33">
        <v>8</v>
      </c>
      <c r="B41" s="79" t="s">
        <v>95</v>
      </c>
      <c r="C41" s="80" t="s">
        <v>150</v>
      </c>
      <c r="D41" s="79" t="s">
        <v>67</v>
      </c>
      <c r="E41" s="81"/>
      <c r="F41" s="82">
        <v>66</v>
      </c>
      <c r="G41" s="82">
        <v>213.2</v>
      </c>
      <c r="H41" s="83">
        <f t="shared" si="5"/>
        <v>14.071199999999999</v>
      </c>
      <c r="I41" s="13">
        <v>0</v>
      </c>
      <c r="J41" s="24"/>
    </row>
    <row r="42" spans="1:14" ht="15.75" hidden="1" customHeight="1">
      <c r="A42" s="33">
        <v>8</v>
      </c>
      <c r="B42" s="79" t="s">
        <v>69</v>
      </c>
      <c r="C42" s="80" t="s">
        <v>29</v>
      </c>
      <c r="D42" s="79" t="s">
        <v>118</v>
      </c>
      <c r="E42" s="82">
        <v>108</v>
      </c>
      <c r="F42" s="82">
        <f>SUM(E42*155/1000)</f>
        <v>16.739999999999998</v>
      </c>
      <c r="G42" s="82">
        <v>350.75</v>
      </c>
      <c r="H42" s="83">
        <f t="shared" si="5"/>
        <v>5.871554999999999</v>
      </c>
      <c r="I42" s="13">
        <f>F42/6*G42</f>
        <v>978.59249999999986</v>
      </c>
      <c r="J42" s="24"/>
    </row>
    <row r="43" spans="1:14" ht="47.25" hidden="1" customHeight="1">
      <c r="A43" s="33">
        <v>9</v>
      </c>
      <c r="B43" s="79" t="s">
        <v>84</v>
      </c>
      <c r="C43" s="80" t="s">
        <v>114</v>
      </c>
      <c r="D43" s="79" t="s">
        <v>138</v>
      </c>
      <c r="E43" s="82">
        <v>108</v>
      </c>
      <c r="F43" s="82">
        <f>SUM(E43*20/1000)</f>
        <v>2.16</v>
      </c>
      <c r="G43" s="82">
        <v>5803.28</v>
      </c>
      <c r="H43" s="83">
        <f t="shared" si="5"/>
        <v>12.5350848</v>
      </c>
      <c r="I43" s="13">
        <f>F43/6*G43</f>
        <v>2089.1808000000001</v>
      </c>
      <c r="J43" s="24"/>
    </row>
    <row r="44" spans="1:14" ht="15.75" hidden="1" customHeight="1">
      <c r="A44" s="33">
        <v>10</v>
      </c>
      <c r="B44" s="79" t="s">
        <v>119</v>
      </c>
      <c r="C44" s="80" t="s">
        <v>114</v>
      </c>
      <c r="D44" s="79" t="s">
        <v>70</v>
      </c>
      <c r="E44" s="82">
        <v>108</v>
      </c>
      <c r="F44" s="82">
        <f>SUM(E44*45/1000)</f>
        <v>4.8600000000000003</v>
      </c>
      <c r="G44" s="82">
        <v>428.7</v>
      </c>
      <c r="H44" s="83">
        <f t="shared" si="5"/>
        <v>2.0834820000000001</v>
      </c>
      <c r="I44" s="13">
        <f>F44/6*G44</f>
        <v>347.24700000000001</v>
      </c>
      <c r="J44" s="24"/>
      <c r="L44" s="20"/>
      <c r="M44" s="21"/>
      <c r="N44" s="22"/>
    </row>
    <row r="45" spans="1:14" ht="15.75" hidden="1" customHeight="1">
      <c r="A45" s="33">
        <v>11</v>
      </c>
      <c r="B45" s="79" t="s">
        <v>71</v>
      </c>
      <c r="C45" s="80" t="s">
        <v>33</v>
      </c>
      <c r="D45" s="79"/>
      <c r="E45" s="81"/>
      <c r="F45" s="82">
        <v>0.9</v>
      </c>
      <c r="G45" s="82">
        <v>798</v>
      </c>
      <c r="H45" s="83">
        <f t="shared" si="5"/>
        <v>0.71820000000000006</v>
      </c>
      <c r="I45" s="13">
        <f>F45/6*G45</f>
        <v>119.69999999999999</v>
      </c>
      <c r="J45" s="24"/>
      <c r="L45" s="20"/>
      <c r="M45" s="21"/>
      <c r="N45" s="22"/>
    </row>
    <row r="46" spans="1:14" ht="15.75" hidden="1" customHeight="1">
      <c r="A46" s="183" t="s">
        <v>144</v>
      </c>
      <c r="B46" s="184"/>
      <c r="C46" s="184"/>
      <c r="D46" s="184"/>
      <c r="E46" s="184"/>
      <c r="F46" s="184"/>
      <c r="G46" s="184"/>
      <c r="H46" s="184"/>
      <c r="I46" s="185"/>
      <c r="J46" s="24"/>
      <c r="L46" s="20"/>
      <c r="M46" s="21"/>
      <c r="N46" s="22"/>
    </row>
    <row r="47" spans="1:14" ht="15.75" hidden="1" customHeight="1">
      <c r="A47" s="40">
        <v>19</v>
      </c>
      <c r="B47" s="79" t="s">
        <v>120</v>
      </c>
      <c r="C47" s="80" t="s">
        <v>114</v>
      </c>
      <c r="D47" s="79" t="s">
        <v>41</v>
      </c>
      <c r="E47" s="81">
        <v>1571.3</v>
      </c>
      <c r="F47" s="82">
        <f>SUM(E47*2/1000)</f>
        <v>3.1425999999999998</v>
      </c>
      <c r="G47" s="13">
        <v>849.49</v>
      </c>
      <c r="H47" s="83">
        <f t="shared" ref="H47:H55" si="6">SUM(F47*G47/1000)</f>
        <v>2.6696072740000001</v>
      </c>
      <c r="I47" s="13">
        <f t="shared" ref="I47:I49" si="7">F47/2*G47</f>
        <v>1334.803637</v>
      </c>
      <c r="J47" s="24"/>
      <c r="L47" s="20"/>
      <c r="M47" s="21"/>
      <c r="N47" s="22"/>
    </row>
    <row r="48" spans="1:14" ht="15.75" hidden="1" customHeight="1">
      <c r="A48" s="40">
        <v>20</v>
      </c>
      <c r="B48" s="79" t="s">
        <v>34</v>
      </c>
      <c r="C48" s="80" t="s">
        <v>114</v>
      </c>
      <c r="D48" s="79" t="s">
        <v>41</v>
      </c>
      <c r="E48" s="81">
        <v>92.8</v>
      </c>
      <c r="F48" s="82">
        <f>SUM(E48*2/1000)</f>
        <v>0.18559999999999999</v>
      </c>
      <c r="G48" s="13">
        <v>579.48</v>
      </c>
      <c r="H48" s="83">
        <f t="shared" si="6"/>
        <v>0.10755148799999999</v>
      </c>
      <c r="I48" s="13">
        <f t="shared" si="7"/>
        <v>53.775743999999996</v>
      </c>
      <c r="J48" s="24"/>
      <c r="L48" s="20"/>
      <c r="M48" s="21"/>
      <c r="N48" s="22"/>
    </row>
    <row r="49" spans="1:14" ht="15.75" hidden="1" customHeight="1">
      <c r="A49" s="40">
        <v>21</v>
      </c>
      <c r="B49" s="79" t="s">
        <v>35</v>
      </c>
      <c r="C49" s="80" t="s">
        <v>114</v>
      </c>
      <c r="D49" s="79" t="s">
        <v>41</v>
      </c>
      <c r="E49" s="81">
        <v>4737.7</v>
      </c>
      <c r="F49" s="82">
        <f>SUM(E49*2/1000)</f>
        <v>9.4754000000000005</v>
      </c>
      <c r="G49" s="13">
        <v>579.48</v>
      </c>
      <c r="H49" s="83">
        <f t="shared" si="6"/>
        <v>5.4908047920000005</v>
      </c>
      <c r="I49" s="13">
        <f t="shared" si="7"/>
        <v>2745.4023960000004</v>
      </c>
      <c r="J49" s="24"/>
      <c r="L49" s="20"/>
      <c r="M49" s="21"/>
      <c r="N49" s="22"/>
    </row>
    <row r="50" spans="1:14" ht="15.75" hidden="1" customHeight="1">
      <c r="A50" s="40">
        <v>22</v>
      </c>
      <c r="B50" s="79" t="s">
        <v>36</v>
      </c>
      <c r="C50" s="80" t="s">
        <v>114</v>
      </c>
      <c r="D50" s="79" t="s">
        <v>41</v>
      </c>
      <c r="E50" s="81">
        <v>2811.99</v>
      </c>
      <c r="F50" s="82">
        <f>SUM(E50*2/1000)</f>
        <v>5.6239799999999995</v>
      </c>
      <c r="G50" s="13">
        <v>606.77</v>
      </c>
      <c r="H50" s="83">
        <f t="shared" si="6"/>
        <v>3.4124623445999998</v>
      </c>
      <c r="I50" s="13">
        <f>F50/2*G50</f>
        <v>1706.2311722999998</v>
      </c>
      <c r="J50" s="24"/>
      <c r="L50" s="20"/>
      <c r="M50" s="21"/>
      <c r="N50" s="22"/>
    </row>
    <row r="51" spans="1:14" ht="15.75" hidden="1" customHeight="1">
      <c r="A51" s="40">
        <v>23</v>
      </c>
      <c r="B51" s="79" t="s">
        <v>56</v>
      </c>
      <c r="C51" s="80" t="s">
        <v>114</v>
      </c>
      <c r="D51" s="79" t="s">
        <v>151</v>
      </c>
      <c r="E51" s="81">
        <v>1571.3</v>
      </c>
      <c r="F51" s="82">
        <f>SUM(E51*5/1000)</f>
        <v>7.8564999999999996</v>
      </c>
      <c r="G51" s="13">
        <v>1213.55</v>
      </c>
      <c r="H51" s="83">
        <f t="shared" si="6"/>
        <v>9.5342555749999995</v>
      </c>
      <c r="I51" s="13">
        <f>F51/5*G51</f>
        <v>1906.8511149999999</v>
      </c>
      <c r="J51" s="24"/>
      <c r="L51" s="20"/>
      <c r="M51" s="21"/>
      <c r="N51" s="22"/>
    </row>
    <row r="52" spans="1:14" ht="31.5" hidden="1" customHeight="1">
      <c r="A52" s="40">
        <v>12</v>
      </c>
      <c r="B52" s="79" t="s">
        <v>121</v>
      </c>
      <c r="C52" s="80" t="s">
        <v>114</v>
      </c>
      <c r="D52" s="79" t="s">
        <v>41</v>
      </c>
      <c r="E52" s="81">
        <v>1571.3</v>
      </c>
      <c r="F52" s="82">
        <f>SUM(E52*2/1000)</f>
        <v>3.1425999999999998</v>
      </c>
      <c r="G52" s="13">
        <v>1213.55</v>
      </c>
      <c r="H52" s="83">
        <f t="shared" si="6"/>
        <v>3.8137022300000001</v>
      </c>
      <c r="I52" s="13">
        <f t="shared" ref="I52:I53" si="8">F52/2*G52</f>
        <v>1906.8511149999999</v>
      </c>
      <c r="J52" s="24"/>
      <c r="L52" s="20"/>
      <c r="M52" s="21"/>
      <c r="N52" s="22"/>
    </row>
    <row r="53" spans="1:14" ht="31.5" hidden="1" customHeight="1">
      <c r="A53" s="40">
        <v>13</v>
      </c>
      <c r="B53" s="79" t="s">
        <v>122</v>
      </c>
      <c r="C53" s="80" t="s">
        <v>37</v>
      </c>
      <c r="D53" s="79" t="s">
        <v>41</v>
      </c>
      <c r="E53" s="81">
        <v>40</v>
      </c>
      <c r="F53" s="82">
        <f>SUM(E53*2/100)</f>
        <v>0.8</v>
      </c>
      <c r="G53" s="13">
        <v>2730.49</v>
      </c>
      <c r="H53" s="83">
        <f t="shared" si="6"/>
        <v>2.1843919999999999</v>
      </c>
      <c r="I53" s="13">
        <f t="shared" si="8"/>
        <v>1092.1959999999999</v>
      </c>
      <c r="J53" s="24"/>
      <c r="L53" s="20"/>
      <c r="M53" s="21"/>
      <c r="N53" s="22"/>
    </row>
    <row r="54" spans="1:14" ht="15.75" hidden="1" customHeight="1">
      <c r="A54" s="40">
        <v>12</v>
      </c>
      <c r="B54" s="79" t="s">
        <v>38</v>
      </c>
      <c r="C54" s="80" t="s">
        <v>39</v>
      </c>
      <c r="D54" s="79" t="s">
        <v>41</v>
      </c>
      <c r="E54" s="81">
        <v>1</v>
      </c>
      <c r="F54" s="82">
        <v>0.02</v>
      </c>
      <c r="G54" s="13">
        <v>5652.13</v>
      </c>
      <c r="H54" s="83">
        <f t="shared" si="6"/>
        <v>0.11304260000000001</v>
      </c>
      <c r="I54" s="13">
        <f>F54/2*G54</f>
        <v>56.521300000000004</v>
      </c>
      <c r="J54" s="24"/>
      <c r="L54" s="20"/>
      <c r="M54" s="21"/>
      <c r="N54" s="22"/>
    </row>
    <row r="55" spans="1:14" ht="15.75" hidden="1" customHeight="1">
      <c r="A55" s="40">
        <v>10</v>
      </c>
      <c r="B55" s="79" t="s">
        <v>40</v>
      </c>
      <c r="C55" s="80" t="s">
        <v>123</v>
      </c>
      <c r="D55" s="79" t="s">
        <v>72</v>
      </c>
      <c r="E55" s="81">
        <v>238</v>
      </c>
      <c r="F55" s="82">
        <f>SUM(E55)*3</f>
        <v>714</v>
      </c>
      <c r="G55" s="13">
        <v>65.67</v>
      </c>
      <c r="H55" s="83">
        <f t="shared" si="6"/>
        <v>46.888380000000005</v>
      </c>
      <c r="I55" s="13">
        <f>E55*G55</f>
        <v>15629.460000000001</v>
      </c>
      <c r="J55" s="24"/>
      <c r="L55" s="20"/>
      <c r="M55" s="21"/>
      <c r="N55" s="22"/>
    </row>
    <row r="56" spans="1:14" ht="15.75" customHeight="1">
      <c r="A56" s="170" t="s">
        <v>161</v>
      </c>
      <c r="B56" s="171"/>
      <c r="C56" s="171"/>
      <c r="D56" s="171"/>
      <c r="E56" s="171"/>
      <c r="F56" s="171"/>
      <c r="G56" s="171"/>
      <c r="H56" s="171"/>
      <c r="I56" s="172"/>
      <c r="J56" s="24"/>
      <c r="L56" s="20"/>
      <c r="M56" s="21"/>
      <c r="N56" s="22"/>
    </row>
    <row r="57" spans="1:14" ht="15.75" hidden="1" customHeight="1">
      <c r="A57" s="78"/>
      <c r="B57" s="47" t="s">
        <v>42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hidden="1" customHeight="1">
      <c r="A58" s="40">
        <v>14</v>
      </c>
      <c r="B58" s="79" t="s">
        <v>139</v>
      </c>
      <c r="C58" s="80" t="s">
        <v>104</v>
      </c>
      <c r="D58" s="79" t="s">
        <v>124</v>
      </c>
      <c r="E58" s="81">
        <v>48</v>
      </c>
      <c r="F58" s="82">
        <f>E58*6/100</f>
        <v>2.88</v>
      </c>
      <c r="G58" s="89">
        <v>1547.28</v>
      </c>
      <c r="H58" s="83">
        <f>F58*G58/1000</f>
        <v>4.4561663999999999</v>
      </c>
      <c r="I58" s="13">
        <f>F58/6*G58</f>
        <v>742.69439999999997</v>
      </c>
      <c r="J58" s="24"/>
      <c r="L58" s="20"/>
      <c r="M58" s="21"/>
      <c r="N58" s="22"/>
    </row>
    <row r="59" spans="1:14" ht="15.75" hidden="1" customHeight="1">
      <c r="A59" s="40">
        <v>15</v>
      </c>
      <c r="B59" s="90" t="s">
        <v>96</v>
      </c>
      <c r="C59" s="91" t="s">
        <v>104</v>
      </c>
      <c r="D59" s="90" t="s">
        <v>140</v>
      </c>
      <c r="E59" s="92">
        <v>56</v>
      </c>
      <c r="F59" s="93">
        <f>E59*4/100</f>
        <v>2.2400000000000002</v>
      </c>
      <c r="G59" s="89">
        <v>1547.28</v>
      </c>
      <c r="H59" s="94">
        <f>F59*G59/1000</f>
        <v>3.4659072000000002</v>
      </c>
      <c r="I59" s="13">
        <f>F59/6*G59</f>
        <v>577.65120000000002</v>
      </c>
      <c r="J59" s="24"/>
      <c r="L59" s="20"/>
      <c r="M59" s="21"/>
      <c r="N59" s="22"/>
    </row>
    <row r="60" spans="1:14" ht="15.75" hidden="1" customHeight="1">
      <c r="A60" s="40">
        <v>15</v>
      </c>
      <c r="B60" s="90" t="s">
        <v>100</v>
      </c>
      <c r="C60" s="91" t="s">
        <v>101</v>
      </c>
      <c r="D60" s="90" t="s">
        <v>41</v>
      </c>
      <c r="E60" s="92">
        <v>8</v>
      </c>
      <c r="F60" s="93">
        <v>16</v>
      </c>
      <c r="G60" s="95">
        <v>180.78</v>
      </c>
      <c r="H60" s="94">
        <f>F60*G60/1000</f>
        <v>2.8924799999999999</v>
      </c>
      <c r="I60" s="13">
        <f>F60/2*G60</f>
        <v>1446.24</v>
      </c>
      <c r="J60" s="24"/>
      <c r="L60" s="20"/>
      <c r="M60" s="21"/>
      <c r="N60" s="22"/>
    </row>
    <row r="61" spans="1:14" ht="15.75" customHeight="1">
      <c r="A61" s="40"/>
      <c r="B61" s="76" t="s">
        <v>43</v>
      </c>
      <c r="C61" s="76"/>
      <c r="D61" s="76"/>
      <c r="E61" s="76"/>
      <c r="F61" s="76"/>
      <c r="G61" s="76"/>
      <c r="H61" s="76"/>
      <c r="I61" s="35"/>
      <c r="J61" s="24"/>
      <c r="L61" s="20"/>
      <c r="M61" s="21"/>
      <c r="N61" s="22"/>
    </row>
    <row r="62" spans="1:14" ht="15.75" customHeight="1">
      <c r="A62" s="40">
        <v>13</v>
      </c>
      <c r="B62" s="90" t="s">
        <v>97</v>
      </c>
      <c r="C62" s="91" t="s">
        <v>25</v>
      </c>
      <c r="D62" s="90" t="s">
        <v>152</v>
      </c>
      <c r="E62" s="92">
        <v>331.5</v>
      </c>
      <c r="F62" s="93">
        <v>2400</v>
      </c>
      <c r="G62" s="96">
        <v>1.2</v>
      </c>
      <c r="H62" s="94">
        <f>G62*F62/1000</f>
        <v>2.88</v>
      </c>
      <c r="I62" s="13">
        <f>F62/12*G62</f>
        <v>240</v>
      </c>
      <c r="J62" s="24"/>
      <c r="L62" s="20"/>
      <c r="M62" s="21"/>
      <c r="N62" s="22"/>
    </row>
    <row r="63" spans="1:14" ht="15.75" hidden="1" customHeight="1">
      <c r="A63" s="40">
        <v>14</v>
      </c>
      <c r="B63" s="90" t="s">
        <v>44</v>
      </c>
      <c r="C63" s="91" t="s">
        <v>25</v>
      </c>
      <c r="D63" s="90" t="s">
        <v>53</v>
      </c>
      <c r="E63" s="92">
        <v>1571.3</v>
      </c>
      <c r="F63" s="93">
        <f>E63/100</f>
        <v>15.712999999999999</v>
      </c>
      <c r="G63" s="97">
        <v>793.61</v>
      </c>
      <c r="H63" s="94">
        <f>G63*F63/1000</f>
        <v>12.469993929999999</v>
      </c>
      <c r="I63" s="13">
        <v>0</v>
      </c>
      <c r="J63" s="24"/>
      <c r="L63" s="20"/>
      <c r="M63" s="21"/>
      <c r="N63" s="22"/>
    </row>
    <row r="64" spans="1:14" ht="15.75" hidden="1" customHeight="1">
      <c r="A64" s="40"/>
      <c r="B64" s="76" t="s">
        <v>45</v>
      </c>
      <c r="C64" s="17"/>
      <c r="D64" s="37"/>
      <c r="E64" s="37"/>
      <c r="F64" s="16"/>
      <c r="G64" s="30"/>
      <c r="H64" s="30"/>
      <c r="I64" s="19"/>
      <c r="J64" s="24"/>
      <c r="L64" s="20"/>
      <c r="M64" s="21"/>
      <c r="N64" s="22"/>
    </row>
    <row r="65" spans="1:22" ht="15.75" hidden="1" customHeight="1">
      <c r="A65" s="40">
        <v>11</v>
      </c>
      <c r="B65" s="15" t="s">
        <v>46</v>
      </c>
      <c r="C65" s="17" t="s">
        <v>123</v>
      </c>
      <c r="D65" s="15" t="s">
        <v>67</v>
      </c>
      <c r="E65" s="19">
        <v>35</v>
      </c>
      <c r="F65" s="82">
        <v>35</v>
      </c>
      <c r="G65" s="13">
        <v>222.4</v>
      </c>
      <c r="H65" s="98">
        <f t="shared" ref="H65:H72" si="9">SUM(F65*G65/1000)</f>
        <v>7.7839999999999998</v>
      </c>
      <c r="I65" s="13">
        <f>G65*17</f>
        <v>3780.8</v>
      </c>
      <c r="J65" s="24"/>
      <c r="L65" s="20"/>
    </row>
    <row r="66" spans="1:22" ht="15.75" hidden="1" customHeight="1">
      <c r="A66" s="30">
        <v>29</v>
      </c>
      <c r="B66" s="15" t="s">
        <v>47</v>
      </c>
      <c r="C66" s="17" t="s">
        <v>123</v>
      </c>
      <c r="D66" s="15" t="s">
        <v>67</v>
      </c>
      <c r="E66" s="19">
        <v>17</v>
      </c>
      <c r="F66" s="82">
        <v>20</v>
      </c>
      <c r="G66" s="13">
        <v>76.25</v>
      </c>
      <c r="H66" s="98">
        <f t="shared" si="9"/>
        <v>1.5249999999999999</v>
      </c>
      <c r="I66" s="13">
        <v>0</v>
      </c>
    </row>
    <row r="67" spans="1:22" ht="15.75" hidden="1" customHeight="1">
      <c r="A67" s="30">
        <v>26</v>
      </c>
      <c r="B67" s="15" t="s">
        <v>48</v>
      </c>
      <c r="C67" s="17" t="s">
        <v>125</v>
      </c>
      <c r="D67" s="15" t="s">
        <v>53</v>
      </c>
      <c r="E67" s="81">
        <v>22639</v>
      </c>
      <c r="F67" s="13">
        <f>SUM(E67/100)</f>
        <v>226.39</v>
      </c>
      <c r="G67" s="13">
        <v>212.15</v>
      </c>
      <c r="H67" s="98">
        <f t="shared" si="9"/>
        <v>48.0286385</v>
      </c>
      <c r="I67" s="13">
        <f>F67*G67</f>
        <v>48028.638500000001</v>
      </c>
    </row>
    <row r="68" spans="1:22" ht="15.75" hidden="1" customHeight="1">
      <c r="A68" s="30">
        <v>27</v>
      </c>
      <c r="B68" s="15" t="s">
        <v>49</v>
      </c>
      <c r="C68" s="17" t="s">
        <v>126</v>
      </c>
      <c r="D68" s="15"/>
      <c r="E68" s="81">
        <v>22639</v>
      </c>
      <c r="F68" s="13">
        <f>SUM(E68/1000)</f>
        <v>22.638999999999999</v>
      </c>
      <c r="G68" s="13">
        <v>165.21</v>
      </c>
      <c r="H68" s="98">
        <f t="shared" si="9"/>
        <v>3.7401891900000002</v>
      </c>
      <c r="I68" s="13">
        <f t="shared" ref="I68:I71" si="10">F68*G68</f>
        <v>3740.1891900000001</v>
      </c>
    </row>
    <row r="69" spans="1:22" ht="15.75" hidden="1" customHeight="1">
      <c r="A69" s="30">
        <v>28</v>
      </c>
      <c r="B69" s="15" t="s">
        <v>50</v>
      </c>
      <c r="C69" s="17" t="s">
        <v>77</v>
      </c>
      <c r="D69" s="15" t="s">
        <v>53</v>
      </c>
      <c r="E69" s="81">
        <v>3145</v>
      </c>
      <c r="F69" s="13">
        <f>SUM(E69/100)</f>
        <v>31.45</v>
      </c>
      <c r="G69" s="13">
        <v>2074.63</v>
      </c>
      <c r="H69" s="98">
        <f t="shared" si="9"/>
        <v>65.247113499999998</v>
      </c>
      <c r="I69" s="13">
        <f t="shared" si="10"/>
        <v>65247.113499999999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29</v>
      </c>
      <c r="B70" s="99" t="s">
        <v>127</v>
      </c>
      <c r="C70" s="17" t="s">
        <v>33</v>
      </c>
      <c r="D70" s="15"/>
      <c r="E70" s="81">
        <v>20.28</v>
      </c>
      <c r="F70" s="13">
        <f>SUM(E70)</f>
        <v>20.28</v>
      </c>
      <c r="G70" s="13">
        <v>42.67</v>
      </c>
      <c r="H70" s="98">
        <f t="shared" si="9"/>
        <v>0.86534760000000011</v>
      </c>
      <c r="I70" s="13">
        <f t="shared" si="10"/>
        <v>865.34760000000006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30</v>
      </c>
      <c r="B71" s="99" t="s">
        <v>153</v>
      </c>
      <c r="C71" s="17" t="s">
        <v>33</v>
      </c>
      <c r="D71" s="15"/>
      <c r="E71" s="81">
        <v>20.28</v>
      </c>
      <c r="F71" s="13">
        <f>SUM(E71)</f>
        <v>20.28</v>
      </c>
      <c r="G71" s="13">
        <v>39.81</v>
      </c>
      <c r="H71" s="98">
        <f t="shared" si="9"/>
        <v>0.80734680000000014</v>
      </c>
      <c r="I71" s="13">
        <f t="shared" si="10"/>
        <v>807.34680000000014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hidden="1" customHeight="1">
      <c r="A72" s="30">
        <v>13</v>
      </c>
      <c r="B72" s="15" t="s">
        <v>57</v>
      </c>
      <c r="C72" s="17" t="s">
        <v>58</v>
      </c>
      <c r="D72" s="15" t="s">
        <v>53</v>
      </c>
      <c r="E72" s="19">
        <v>15</v>
      </c>
      <c r="F72" s="82">
        <f>SUM(E72)</f>
        <v>15</v>
      </c>
      <c r="G72" s="13">
        <v>49.88</v>
      </c>
      <c r="H72" s="98">
        <f t="shared" si="9"/>
        <v>0.74820000000000009</v>
      </c>
      <c r="I72" s="13">
        <v>0</v>
      </c>
      <c r="J72" s="5"/>
      <c r="K72" s="5"/>
      <c r="L72" s="5"/>
      <c r="M72" s="5"/>
      <c r="N72" s="5"/>
      <c r="O72" s="5"/>
      <c r="P72" s="5"/>
      <c r="Q72" s="5"/>
      <c r="R72" s="161"/>
      <c r="S72" s="161"/>
      <c r="T72" s="161"/>
      <c r="U72" s="161"/>
    </row>
    <row r="73" spans="1:22" ht="15.75" hidden="1" customHeight="1">
      <c r="A73" s="30"/>
      <c r="B73" s="48" t="s">
        <v>73</v>
      </c>
      <c r="C73" s="48"/>
      <c r="D73" s="48"/>
      <c r="E73" s="48"/>
      <c r="F73" s="19"/>
      <c r="G73" s="30"/>
      <c r="H73" s="30"/>
      <c r="I73" s="19"/>
    </row>
    <row r="74" spans="1:22" ht="15.75" hidden="1" customHeight="1">
      <c r="A74" s="30">
        <v>12</v>
      </c>
      <c r="B74" s="15" t="s">
        <v>74</v>
      </c>
      <c r="C74" s="17" t="s">
        <v>31</v>
      </c>
      <c r="D74" s="15"/>
      <c r="E74" s="19">
        <v>5</v>
      </c>
      <c r="F74" s="100">
        <v>0.5</v>
      </c>
      <c r="G74" s="13">
        <v>501.62</v>
      </c>
      <c r="H74" s="98">
        <f>F74*G74/1000</f>
        <v>0.25080999999999998</v>
      </c>
      <c r="I74" s="13">
        <f>G74*1.1</f>
        <v>551.78200000000004</v>
      </c>
    </row>
    <row r="75" spans="1:22" ht="15.75" hidden="1" customHeight="1">
      <c r="A75" s="30"/>
      <c r="B75" s="15" t="s">
        <v>131</v>
      </c>
      <c r="C75" s="17" t="s">
        <v>30</v>
      </c>
      <c r="D75" s="15"/>
      <c r="E75" s="19">
        <v>1</v>
      </c>
      <c r="F75" s="13">
        <v>1</v>
      </c>
      <c r="G75" s="13">
        <v>120.26</v>
      </c>
      <c r="H75" s="98">
        <f>G75*F75/1000</f>
        <v>0.12026000000000001</v>
      </c>
      <c r="I75" s="13">
        <v>0</v>
      </c>
    </row>
    <row r="76" spans="1:22" ht="15.75" hidden="1" customHeight="1">
      <c r="A76" s="30"/>
      <c r="B76" s="15" t="s">
        <v>130</v>
      </c>
      <c r="C76" s="17" t="s">
        <v>30</v>
      </c>
      <c r="D76" s="15"/>
      <c r="E76" s="19">
        <v>1</v>
      </c>
      <c r="F76" s="100">
        <v>1</v>
      </c>
      <c r="G76" s="13">
        <v>99.85</v>
      </c>
      <c r="H76" s="98">
        <f>G76*F76/1000</f>
        <v>9.9849999999999994E-2</v>
      </c>
      <c r="I76" s="13">
        <v>0</v>
      </c>
    </row>
    <row r="77" spans="1:22" ht="15.75" hidden="1" customHeight="1">
      <c r="A77" s="30"/>
      <c r="B77" s="15" t="s">
        <v>88</v>
      </c>
      <c r="C77" s="17" t="s">
        <v>30</v>
      </c>
      <c r="D77" s="15"/>
      <c r="E77" s="19">
        <v>2</v>
      </c>
      <c r="F77" s="82">
        <f>SUM(E77)</f>
        <v>2</v>
      </c>
      <c r="G77" s="13">
        <v>358.51</v>
      </c>
      <c r="H77" s="98">
        <f t="shared" ref="H77" si="11">SUM(F77*G77/1000)</f>
        <v>0.71701999999999999</v>
      </c>
      <c r="I77" s="13">
        <v>0</v>
      </c>
    </row>
    <row r="78" spans="1:22" ht="15.75" hidden="1" customHeight="1">
      <c r="A78" s="30">
        <v>18</v>
      </c>
      <c r="B78" s="15" t="s">
        <v>75</v>
      </c>
      <c r="C78" s="17" t="s">
        <v>30</v>
      </c>
      <c r="D78" s="15"/>
      <c r="E78" s="19">
        <v>2</v>
      </c>
      <c r="F78" s="13">
        <v>2</v>
      </c>
      <c r="G78" s="13">
        <v>852.99</v>
      </c>
      <c r="H78" s="98">
        <f>F78*G78/1000</f>
        <v>1.7059800000000001</v>
      </c>
      <c r="I78" s="13">
        <f>G78</f>
        <v>852.99</v>
      </c>
    </row>
    <row r="79" spans="1:22" ht="15.75" hidden="1" customHeight="1">
      <c r="A79" s="30"/>
      <c r="B79" s="49" t="s">
        <v>76</v>
      </c>
      <c r="C79" s="38"/>
      <c r="D79" s="30"/>
      <c r="E79" s="30"/>
      <c r="F79" s="19"/>
      <c r="G79" s="36"/>
      <c r="H79" s="36"/>
      <c r="I79" s="19"/>
    </row>
    <row r="80" spans="1:22" ht="15.75" hidden="1" customHeight="1">
      <c r="A80" s="30">
        <v>39</v>
      </c>
      <c r="B80" s="51" t="s">
        <v>132</v>
      </c>
      <c r="C80" s="17" t="s">
        <v>77</v>
      </c>
      <c r="D80" s="15"/>
      <c r="E80" s="19"/>
      <c r="F80" s="13">
        <v>1.35</v>
      </c>
      <c r="G80" s="13">
        <v>2759.44</v>
      </c>
      <c r="H80" s="98">
        <f t="shared" ref="H80" si="12">SUM(F80*G80/1000)</f>
        <v>3.725244</v>
      </c>
      <c r="I80" s="13">
        <v>0</v>
      </c>
    </row>
    <row r="81" spans="1:21" ht="15.75" hidden="1" customHeight="1">
      <c r="A81" s="78"/>
      <c r="B81" s="76" t="s">
        <v>128</v>
      </c>
      <c r="C81" s="76"/>
      <c r="D81" s="76"/>
      <c r="E81" s="76"/>
      <c r="F81" s="76"/>
      <c r="G81" s="76"/>
      <c r="H81" s="76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36</v>
      </c>
      <c r="B82" s="79" t="s">
        <v>129</v>
      </c>
      <c r="C82" s="17"/>
      <c r="D82" s="15"/>
      <c r="E82" s="101"/>
      <c r="F82" s="13">
        <v>1</v>
      </c>
      <c r="G82" s="13">
        <v>25286</v>
      </c>
      <c r="H82" s="98">
        <f>G82*F82/1000</f>
        <v>25.286000000000001</v>
      </c>
      <c r="I82" s="13">
        <v>0</v>
      </c>
    </row>
    <row r="83" spans="1:21" ht="15.75" customHeight="1">
      <c r="A83" s="170" t="s">
        <v>145</v>
      </c>
      <c r="B83" s="171"/>
      <c r="C83" s="171"/>
      <c r="D83" s="171"/>
      <c r="E83" s="171"/>
      <c r="F83" s="171"/>
      <c r="G83" s="171"/>
      <c r="H83" s="171"/>
      <c r="I83" s="172"/>
    </row>
    <row r="84" spans="1:21" ht="15.75" customHeight="1">
      <c r="A84" s="30">
        <v>14</v>
      </c>
      <c r="B84" s="79" t="s">
        <v>133</v>
      </c>
      <c r="C84" s="17" t="s">
        <v>54</v>
      </c>
      <c r="D84" s="103" t="s">
        <v>55</v>
      </c>
      <c r="E84" s="13">
        <v>5836.1</v>
      </c>
      <c r="F84" s="13">
        <f>SUM(E84*12)</f>
        <v>70033.200000000012</v>
      </c>
      <c r="G84" s="13">
        <v>2.1</v>
      </c>
      <c r="H84" s="98">
        <f>SUM(F84*G84/1000)</f>
        <v>147.06972000000002</v>
      </c>
      <c r="I84" s="13">
        <f>F84/12*G84</f>
        <v>12255.810000000003</v>
      </c>
    </row>
    <row r="85" spans="1:21" ht="31.5" customHeight="1">
      <c r="A85" s="30">
        <v>15</v>
      </c>
      <c r="B85" s="15" t="s">
        <v>78</v>
      </c>
      <c r="C85" s="17"/>
      <c r="D85" s="103" t="s">
        <v>55</v>
      </c>
      <c r="E85" s="81">
        <v>5836.1</v>
      </c>
      <c r="F85" s="13">
        <f>E85*12</f>
        <v>70033.200000000012</v>
      </c>
      <c r="G85" s="13">
        <v>1.63</v>
      </c>
      <c r="H85" s="98">
        <f>F85*G85/1000</f>
        <v>114.15411600000002</v>
      </c>
      <c r="I85" s="13">
        <f>F85/12*G85</f>
        <v>9512.8430000000008</v>
      </c>
    </row>
    <row r="86" spans="1:21" ht="15.75" customHeight="1">
      <c r="A86" s="78"/>
      <c r="B86" s="39" t="s">
        <v>81</v>
      </c>
      <c r="C86" s="40"/>
      <c r="D86" s="16"/>
      <c r="E86" s="16"/>
      <c r="F86" s="16"/>
      <c r="G86" s="19"/>
      <c r="H86" s="19"/>
      <c r="I86" s="32">
        <f>I85+I84+I62+I35+I34+I32+I31+I28+I27+I21+I20+I18+I17+I16</f>
        <v>70041.316380555552</v>
      </c>
    </row>
    <row r="87" spans="1:21" ht="15.75" customHeight="1">
      <c r="A87" s="173" t="s">
        <v>60</v>
      </c>
      <c r="B87" s="174"/>
      <c r="C87" s="174"/>
      <c r="D87" s="174"/>
      <c r="E87" s="174"/>
      <c r="F87" s="174"/>
      <c r="G87" s="174"/>
      <c r="H87" s="174"/>
      <c r="I87" s="175"/>
    </row>
    <row r="88" spans="1:21" ht="31.5" customHeight="1">
      <c r="A88" s="30">
        <v>16</v>
      </c>
      <c r="B88" s="37" t="s">
        <v>193</v>
      </c>
      <c r="C88" s="38" t="s">
        <v>172</v>
      </c>
      <c r="D88" s="51"/>
      <c r="E88" s="13"/>
      <c r="F88" s="13">
        <v>2</v>
      </c>
      <c r="G88" s="36">
        <v>1187</v>
      </c>
      <c r="H88" s="98">
        <f t="shared" ref="H88:H89" si="13">G88*F88/1000</f>
        <v>2.3740000000000001</v>
      </c>
      <c r="I88" s="13">
        <f>G88*1</f>
        <v>1187</v>
      </c>
    </row>
    <row r="89" spans="1:21" ht="16.5" customHeight="1">
      <c r="A89" s="30">
        <v>17</v>
      </c>
      <c r="B89" s="115" t="s">
        <v>171</v>
      </c>
      <c r="C89" s="116" t="s">
        <v>172</v>
      </c>
      <c r="D89" s="51"/>
      <c r="E89" s="13"/>
      <c r="F89" s="13">
        <v>4</v>
      </c>
      <c r="G89" s="36">
        <v>134.12</v>
      </c>
      <c r="H89" s="98">
        <f t="shared" si="13"/>
        <v>0.53648000000000007</v>
      </c>
      <c r="I89" s="13">
        <f>G89*7</f>
        <v>938.84</v>
      </c>
    </row>
    <row r="90" spans="1:21" ht="28.5" customHeight="1">
      <c r="A90" s="30">
        <v>18</v>
      </c>
      <c r="B90" s="55" t="s">
        <v>158</v>
      </c>
      <c r="C90" s="63" t="s">
        <v>37</v>
      </c>
      <c r="D90" s="51"/>
      <c r="E90" s="13"/>
      <c r="F90" s="13">
        <v>14</v>
      </c>
      <c r="G90" s="36">
        <v>3724.37</v>
      </c>
      <c r="H90" s="98">
        <f>G90*F90/1000</f>
        <v>52.141179999999999</v>
      </c>
      <c r="I90" s="13">
        <f>G90*0.01</f>
        <v>37.243699999999997</v>
      </c>
    </row>
    <row r="91" spans="1:21" ht="16.5" customHeight="1">
      <c r="A91" s="30">
        <v>19</v>
      </c>
      <c r="B91" s="115" t="s">
        <v>221</v>
      </c>
      <c r="C91" s="116" t="s">
        <v>166</v>
      </c>
      <c r="D91" s="51"/>
      <c r="E91" s="13"/>
      <c r="F91" s="13">
        <v>8</v>
      </c>
      <c r="G91" s="36">
        <v>203.68</v>
      </c>
      <c r="H91" s="98">
        <f>G91*F91/1000</f>
        <v>1.62944</v>
      </c>
      <c r="I91" s="13">
        <f>G91*1</f>
        <v>203.68</v>
      </c>
    </row>
    <row r="92" spans="1:21" ht="18" customHeight="1">
      <c r="A92" s="30">
        <v>20</v>
      </c>
      <c r="B92" s="55" t="s">
        <v>83</v>
      </c>
      <c r="C92" s="63" t="s">
        <v>123</v>
      </c>
      <c r="D92" s="51"/>
      <c r="E92" s="13"/>
      <c r="F92" s="13">
        <v>4</v>
      </c>
      <c r="G92" s="36">
        <v>197.48</v>
      </c>
      <c r="H92" s="98">
        <f t="shared" ref="H92:H95" si="14">G92*F92/1000</f>
        <v>0.78991999999999996</v>
      </c>
      <c r="I92" s="13">
        <f>G92*1</f>
        <v>197.48</v>
      </c>
    </row>
    <row r="93" spans="1:21" ht="31.5" customHeight="1">
      <c r="A93" s="30">
        <v>21</v>
      </c>
      <c r="B93" s="55" t="s">
        <v>80</v>
      </c>
      <c r="C93" s="63" t="s">
        <v>123</v>
      </c>
      <c r="D93" s="117"/>
      <c r="E93" s="36"/>
      <c r="F93" s="36">
        <v>14</v>
      </c>
      <c r="G93" s="36">
        <v>86.69</v>
      </c>
      <c r="H93" s="102">
        <f t="shared" si="14"/>
        <v>1.21366</v>
      </c>
      <c r="I93" s="13">
        <f>G93*1</f>
        <v>86.69</v>
      </c>
    </row>
    <row r="94" spans="1:21" ht="15.75" customHeight="1">
      <c r="A94" s="30">
        <v>22</v>
      </c>
      <c r="B94" s="149" t="s">
        <v>222</v>
      </c>
      <c r="C94" s="40" t="s">
        <v>223</v>
      </c>
      <c r="D94" s="117"/>
      <c r="E94" s="36"/>
      <c r="F94" s="36">
        <v>3</v>
      </c>
      <c r="G94" s="36">
        <v>326.66000000000003</v>
      </c>
      <c r="H94" s="102">
        <f t="shared" si="14"/>
        <v>0.97998000000000007</v>
      </c>
      <c r="I94" s="13">
        <f>G94*0.2</f>
        <v>65.332000000000008</v>
      </c>
    </row>
    <row r="95" spans="1:21" ht="15.75" customHeight="1">
      <c r="A95" s="30">
        <v>23</v>
      </c>
      <c r="B95" s="149" t="s">
        <v>224</v>
      </c>
      <c r="C95" s="40" t="s">
        <v>225</v>
      </c>
      <c r="D95" s="37"/>
      <c r="E95" s="18"/>
      <c r="F95" s="36">
        <v>7</v>
      </c>
      <c r="G95" s="36">
        <v>45</v>
      </c>
      <c r="H95" s="102">
        <f t="shared" si="14"/>
        <v>0.315</v>
      </c>
      <c r="I95" s="13">
        <f>G95*25</f>
        <v>1125</v>
      </c>
    </row>
    <row r="96" spans="1:21" ht="15.75" customHeight="1">
      <c r="A96" s="30"/>
      <c r="B96" s="45" t="s">
        <v>51</v>
      </c>
      <c r="C96" s="41"/>
      <c r="D96" s="53"/>
      <c r="E96" s="53"/>
      <c r="F96" s="41">
        <v>1</v>
      </c>
      <c r="G96" s="41"/>
      <c r="H96" s="41"/>
      <c r="I96" s="32">
        <f>I95+I94+I93+I92+I91+I90+I89+I88</f>
        <v>3841.2657000000004</v>
      </c>
    </row>
    <row r="97" spans="1:9" ht="15.75" customHeight="1">
      <c r="A97" s="30"/>
      <c r="B97" s="51" t="s">
        <v>79</v>
      </c>
      <c r="C97" s="16"/>
      <c r="D97" s="16"/>
      <c r="E97" s="16"/>
      <c r="F97" s="42"/>
      <c r="G97" s="43"/>
      <c r="H97" s="43"/>
      <c r="I97" s="18">
        <v>0</v>
      </c>
    </row>
    <row r="98" spans="1:9" ht="15.75" customHeight="1">
      <c r="A98" s="54"/>
      <c r="B98" s="46" t="s">
        <v>147</v>
      </c>
      <c r="C98" s="34"/>
      <c r="D98" s="34"/>
      <c r="E98" s="34"/>
      <c r="F98" s="34"/>
      <c r="G98" s="34"/>
      <c r="H98" s="34"/>
      <c r="I98" s="44">
        <f>I86+I96</f>
        <v>73882.582080555556</v>
      </c>
    </row>
    <row r="99" spans="1:9" ht="15.75" customHeight="1">
      <c r="A99" s="167" t="s">
        <v>226</v>
      </c>
      <c r="B99" s="167"/>
      <c r="C99" s="167"/>
      <c r="D99" s="167"/>
      <c r="E99" s="167"/>
      <c r="F99" s="167"/>
      <c r="G99" s="167"/>
      <c r="H99" s="167"/>
      <c r="I99" s="167"/>
    </row>
    <row r="100" spans="1:9" ht="15.75" customHeight="1">
      <c r="A100" s="70"/>
      <c r="B100" s="168" t="s">
        <v>227</v>
      </c>
      <c r="C100" s="168"/>
      <c r="D100" s="168"/>
      <c r="E100" s="168"/>
      <c r="F100" s="168"/>
      <c r="G100" s="168"/>
      <c r="H100" s="77"/>
      <c r="I100" s="3"/>
    </row>
    <row r="101" spans="1:9" ht="15.75" customHeight="1">
      <c r="A101" s="73"/>
      <c r="B101" s="166" t="s">
        <v>6</v>
      </c>
      <c r="C101" s="166"/>
      <c r="D101" s="166"/>
      <c r="E101" s="166"/>
      <c r="F101" s="166"/>
      <c r="G101" s="166"/>
      <c r="H101" s="25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169" t="s">
        <v>7</v>
      </c>
      <c r="B103" s="169"/>
      <c r="C103" s="169"/>
      <c r="D103" s="169"/>
      <c r="E103" s="169"/>
      <c r="F103" s="169"/>
      <c r="G103" s="169"/>
      <c r="H103" s="169"/>
      <c r="I103" s="169"/>
    </row>
    <row r="104" spans="1:9" ht="15.75" customHeight="1">
      <c r="A104" s="169" t="s">
        <v>8</v>
      </c>
      <c r="B104" s="169"/>
      <c r="C104" s="169"/>
      <c r="D104" s="169"/>
      <c r="E104" s="169"/>
      <c r="F104" s="169"/>
      <c r="G104" s="169"/>
      <c r="H104" s="169"/>
      <c r="I104" s="169"/>
    </row>
    <row r="105" spans="1:9" ht="15.75" customHeight="1">
      <c r="A105" s="163" t="s">
        <v>61</v>
      </c>
      <c r="B105" s="163"/>
      <c r="C105" s="163"/>
      <c r="D105" s="163"/>
      <c r="E105" s="163"/>
      <c r="F105" s="163"/>
      <c r="G105" s="163"/>
      <c r="H105" s="163"/>
      <c r="I105" s="163"/>
    </row>
    <row r="106" spans="1:9" ht="15.75" customHeight="1">
      <c r="A106" s="11"/>
    </row>
    <row r="107" spans="1:9" ht="15.75" customHeight="1">
      <c r="A107" s="164" t="s">
        <v>9</v>
      </c>
      <c r="B107" s="164"/>
      <c r="C107" s="164"/>
      <c r="D107" s="164"/>
      <c r="E107" s="164"/>
      <c r="F107" s="164"/>
      <c r="G107" s="164"/>
      <c r="H107" s="164"/>
      <c r="I107" s="164"/>
    </row>
    <row r="108" spans="1:9" ht="15.75" customHeight="1">
      <c r="A108" s="4"/>
    </row>
    <row r="109" spans="1:9" ht="15.75" customHeight="1">
      <c r="B109" s="74" t="s">
        <v>10</v>
      </c>
      <c r="C109" s="165" t="s">
        <v>90</v>
      </c>
      <c r="D109" s="165"/>
      <c r="E109" s="165"/>
      <c r="F109" s="165"/>
      <c r="I109" s="72"/>
    </row>
    <row r="110" spans="1:9" ht="15.75" customHeight="1">
      <c r="A110" s="73"/>
      <c r="C110" s="166" t="s">
        <v>11</v>
      </c>
      <c r="D110" s="166"/>
      <c r="E110" s="166"/>
      <c r="F110" s="166"/>
      <c r="I110" s="71" t="s">
        <v>12</v>
      </c>
    </row>
    <row r="111" spans="1:9" ht="15.75" customHeight="1">
      <c r="A111" s="26"/>
      <c r="C111" s="12"/>
      <c r="D111" s="12"/>
      <c r="E111" s="12"/>
      <c r="G111" s="12"/>
      <c r="H111" s="12"/>
    </row>
    <row r="112" spans="1:9" ht="15.75" customHeight="1">
      <c r="B112" s="74" t="s">
        <v>13</v>
      </c>
      <c r="C112" s="160"/>
      <c r="D112" s="160"/>
      <c r="E112" s="160"/>
      <c r="F112" s="160"/>
      <c r="I112" s="72"/>
    </row>
    <row r="113" spans="1:9" ht="15.75" customHeight="1">
      <c r="A113" s="73"/>
      <c r="C113" s="161" t="s">
        <v>11</v>
      </c>
      <c r="D113" s="161"/>
      <c r="E113" s="161"/>
      <c r="F113" s="161"/>
      <c r="I113" s="71" t="s">
        <v>12</v>
      </c>
    </row>
    <row r="114" spans="1:9" ht="15.75" customHeight="1">
      <c r="A114" s="4" t="s">
        <v>14</v>
      </c>
    </row>
    <row r="115" spans="1:9" ht="15.75" customHeight="1">
      <c r="A115" s="162" t="s">
        <v>15</v>
      </c>
      <c r="B115" s="162"/>
      <c r="C115" s="162"/>
      <c r="D115" s="162"/>
      <c r="E115" s="162"/>
      <c r="F115" s="162"/>
      <c r="G115" s="162"/>
      <c r="H115" s="162"/>
      <c r="I115" s="162"/>
    </row>
    <row r="116" spans="1:9" ht="45" customHeight="1">
      <c r="A116" s="159" t="s">
        <v>16</v>
      </c>
      <c r="B116" s="159"/>
      <c r="C116" s="159"/>
      <c r="D116" s="159"/>
      <c r="E116" s="159"/>
      <c r="F116" s="159"/>
      <c r="G116" s="159"/>
      <c r="H116" s="159"/>
      <c r="I116" s="159"/>
    </row>
    <row r="117" spans="1:9" ht="30" customHeight="1">
      <c r="A117" s="159" t="s">
        <v>17</v>
      </c>
      <c r="B117" s="159"/>
      <c r="C117" s="159"/>
      <c r="D117" s="159"/>
      <c r="E117" s="159"/>
      <c r="F117" s="159"/>
      <c r="G117" s="159"/>
      <c r="H117" s="159"/>
      <c r="I117" s="159"/>
    </row>
    <row r="118" spans="1:9" ht="30" customHeight="1">
      <c r="A118" s="159" t="s">
        <v>21</v>
      </c>
      <c r="B118" s="159"/>
      <c r="C118" s="159"/>
      <c r="D118" s="159"/>
      <c r="E118" s="159"/>
      <c r="F118" s="159"/>
      <c r="G118" s="159"/>
      <c r="H118" s="159"/>
      <c r="I118" s="159"/>
    </row>
    <row r="119" spans="1:9" ht="15" customHeight="1">
      <c r="A119" s="159" t="s">
        <v>20</v>
      </c>
      <c r="B119" s="159"/>
      <c r="C119" s="159"/>
      <c r="D119" s="159"/>
      <c r="E119" s="159"/>
      <c r="F119" s="159"/>
      <c r="G119" s="159"/>
      <c r="H119" s="159"/>
      <c r="I119" s="159"/>
    </row>
  </sheetData>
  <autoFilter ref="I12:I67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2:U72"/>
    <mergeCell ref="C113:F113"/>
    <mergeCell ref="A87:I87"/>
    <mergeCell ref="A99:I99"/>
    <mergeCell ref="B100:G100"/>
    <mergeCell ref="B101:G101"/>
    <mergeCell ref="A103:I103"/>
    <mergeCell ref="A104:I104"/>
    <mergeCell ref="A105:I105"/>
    <mergeCell ref="A107:I107"/>
    <mergeCell ref="C109:F109"/>
    <mergeCell ref="C110:F110"/>
    <mergeCell ref="C112:F112"/>
    <mergeCell ref="A83:I83"/>
    <mergeCell ref="A115:I115"/>
    <mergeCell ref="A116:I116"/>
    <mergeCell ref="A117:I117"/>
    <mergeCell ref="A118:I118"/>
    <mergeCell ref="A119:I11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29"/>
  <sheetViews>
    <sheetView tabSelected="1" workbookViewId="0">
      <selection activeCell="J10" sqref="J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218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76" t="s">
        <v>164</v>
      </c>
      <c r="B3" s="176"/>
      <c r="C3" s="176"/>
      <c r="D3" s="176"/>
      <c r="E3" s="176"/>
      <c r="F3" s="176"/>
      <c r="G3" s="176"/>
      <c r="H3" s="176"/>
      <c r="I3" s="176"/>
      <c r="J3" s="3"/>
      <c r="K3" s="3"/>
      <c r="L3" s="3"/>
    </row>
    <row r="4" spans="1:13" ht="31.5" customHeight="1">
      <c r="A4" s="177" t="s">
        <v>134</v>
      </c>
      <c r="B4" s="177"/>
      <c r="C4" s="177"/>
      <c r="D4" s="177"/>
      <c r="E4" s="177"/>
      <c r="F4" s="177"/>
      <c r="G4" s="177"/>
      <c r="H4" s="177"/>
      <c r="I4" s="177"/>
    </row>
    <row r="5" spans="1:13" ht="15.75" customHeight="1">
      <c r="A5" s="176" t="s">
        <v>239</v>
      </c>
      <c r="B5" s="180"/>
      <c r="C5" s="180"/>
      <c r="D5" s="180"/>
      <c r="E5" s="180"/>
      <c r="F5" s="180"/>
      <c r="G5" s="180"/>
      <c r="H5" s="180"/>
      <c r="I5" s="180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1">
        <v>43343</v>
      </c>
      <c r="J6" s="2"/>
      <c r="K6" s="2"/>
      <c r="L6" s="2"/>
      <c r="M6" s="2"/>
    </row>
    <row r="7" spans="1:13" ht="15.75" customHeight="1">
      <c r="B7" s="74"/>
      <c r="C7" s="74"/>
      <c r="D7" s="74"/>
      <c r="E7" s="74"/>
      <c r="F7" s="3"/>
      <c r="G7" s="3"/>
      <c r="H7" s="3"/>
      <c r="J7" s="3"/>
      <c r="K7" s="3"/>
      <c r="L7" s="3"/>
      <c r="M7" s="3"/>
    </row>
    <row r="8" spans="1:13" ht="78.75" customHeight="1">
      <c r="A8" s="178" t="s">
        <v>220</v>
      </c>
      <c r="B8" s="178"/>
      <c r="C8" s="178"/>
      <c r="D8" s="178"/>
      <c r="E8" s="178"/>
      <c r="F8" s="178"/>
      <c r="G8" s="178"/>
      <c r="H8" s="178"/>
      <c r="I8" s="17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9" t="s">
        <v>143</v>
      </c>
      <c r="B10" s="179"/>
      <c r="C10" s="179"/>
      <c r="D10" s="179"/>
      <c r="E10" s="179"/>
      <c r="F10" s="179"/>
      <c r="G10" s="179"/>
      <c r="H10" s="179"/>
      <c r="I10" s="17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81" t="s">
        <v>59</v>
      </c>
      <c r="B14" s="181"/>
      <c r="C14" s="181"/>
      <c r="D14" s="181"/>
      <c r="E14" s="181"/>
      <c r="F14" s="181"/>
      <c r="G14" s="181"/>
      <c r="H14" s="181"/>
      <c r="I14" s="181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0">
        <v>1</v>
      </c>
      <c r="B16" s="79" t="s">
        <v>87</v>
      </c>
      <c r="C16" s="80" t="s">
        <v>104</v>
      </c>
      <c r="D16" s="79" t="s">
        <v>105</v>
      </c>
      <c r="E16" s="81">
        <v>164.38</v>
      </c>
      <c r="F16" s="82">
        <f>SUM(E16*156/100)</f>
        <v>256.43279999999999</v>
      </c>
      <c r="G16" s="82">
        <v>175.38</v>
      </c>
      <c r="H16" s="83">
        <f t="shared" ref="H16:H28" si="0">SUM(F16*G16/1000)</f>
        <v>44.973184463999999</v>
      </c>
      <c r="I16" s="13">
        <f>F16/12*G16</f>
        <v>3747.7653719999998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93</v>
      </c>
      <c r="C17" s="80" t="s">
        <v>104</v>
      </c>
      <c r="D17" s="79" t="s">
        <v>106</v>
      </c>
      <c r="E17" s="81">
        <v>657.52</v>
      </c>
      <c r="F17" s="82">
        <f>SUM(E17*104/100)</f>
        <v>683.82079999999996</v>
      </c>
      <c r="G17" s="82">
        <v>175.38</v>
      </c>
      <c r="H17" s="83">
        <f t="shared" si="0"/>
        <v>119.928491904</v>
      </c>
      <c r="I17" s="13">
        <f>F17/12*G17</f>
        <v>9994.0409919999984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94</v>
      </c>
      <c r="C18" s="80" t="s">
        <v>104</v>
      </c>
      <c r="D18" s="79" t="s">
        <v>107</v>
      </c>
      <c r="E18" s="81">
        <f>SUM(E16+E17)</f>
        <v>821.9</v>
      </c>
      <c r="F18" s="82">
        <f>SUM(E18*24/100)</f>
        <v>197.25599999999997</v>
      </c>
      <c r="G18" s="82">
        <v>504.5</v>
      </c>
      <c r="H18" s="83">
        <f t="shared" si="0"/>
        <v>99.515651999999989</v>
      </c>
      <c r="I18" s="13">
        <f>F18/12*G18</f>
        <v>8292.9709999999995</v>
      </c>
      <c r="J18" s="23"/>
      <c r="K18" s="8"/>
      <c r="L18" s="8"/>
      <c r="M18" s="8"/>
    </row>
    <row r="19" spans="1:13" ht="19.5" hidden="1" customHeight="1">
      <c r="A19" s="30">
        <v>4</v>
      </c>
      <c r="B19" s="79" t="s">
        <v>108</v>
      </c>
      <c r="C19" s="80" t="s">
        <v>109</v>
      </c>
      <c r="D19" s="79" t="s">
        <v>110</v>
      </c>
      <c r="E19" s="81">
        <v>51.2</v>
      </c>
      <c r="F19" s="82">
        <f>SUM(E19/10)</f>
        <v>5.12</v>
      </c>
      <c r="G19" s="82">
        <v>170.16</v>
      </c>
      <c r="H19" s="83">
        <f t="shared" si="0"/>
        <v>0.87121919999999997</v>
      </c>
      <c r="I19" s="13">
        <f>F19/2*G19</f>
        <v>435.6096</v>
      </c>
      <c r="J19" s="23"/>
      <c r="K19" s="8"/>
      <c r="L19" s="8"/>
      <c r="M19" s="8"/>
    </row>
    <row r="20" spans="1:13" ht="15.75" customHeight="1">
      <c r="A20" s="30">
        <v>4</v>
      </c>
      <c r="B20" s="79" t="s">
        <v>98</v>
      </c>
      <c r="C20" s="80" t="s">
        <v>104</v>
      </c>
      <c r="D20" s="79" t="s">
        <v>181</v>
      </c>
      <c r="E20" s="81">
        <v>58.4</v>
      </c>
      <c r="F20" s="82">
        <v>6.9</v>
      </c>
      <c r="G20" s="136">
        <v>193.55</v>
      </c>
      <c r="H20" s="83">
        <f t="shared" ref="H20:H21" si="1">SUM(F20*G20/1000)</f>
        <v>1.3354950000000001</v>
      </c>
      <c r="I20" s="13">
        <f>F20/12*G20</f>
        <v>111.29125000000002</v>
      </c>
      <c r="J20" s="23"/>
      <c r="K20" s="8"/>
      <c r="L20" s="8"/>
      <c r="M20" s="8"/>
    </row>
    <row r="21" spans="1:13" ht="15.75" customHeight="1">
      <c r="A21" s="30">
        <v>5</v>
      </c>
      <c r="B21" s="79" t="s">
        <v>99</v>
      </c>
      <c r="C21" s="80" t="s">
        <v>104</v>
      </c>
      <c r="D21" s="79" t="s">
        <v>181</v>
      </c>
      <c r="E21" s="81">
        <v>13.41</v>
      </c>
      <c r="F21" s="82">
        <v>1.61</v>
      </c>
      <c r="G21" s="136">
        <v>191.98</v>
      </c>
      <c r="H21" s="83">
        <f t="shared" si="1"/>
        <v>0.30908780000000002</v>
      </c>
      <c r="I21" s="13">
        <f>F21/12*G21</f>
        <v>25.757316666666668</v>
      </c>
      <c r="J21" s="23"/>
      <c r="K21" s="8"/>
      <c r="L21" s="8"/>
      <c r="M21" s="8"/>
    </row>
    <row r="22" spans="1:13" ht="18.75" hidden="1" customHeight="1">
      <c r="A22" s="30">
        <v>7</v>
      </c>
      <c r="B22" s="79" t="s">
        <v>111</v>
      </c>
      <c r="C22" s="80" t="s">
        <v>52</v>
      </c>
      <c r="D22" s="79" t="s">
        <v>110</v>
      </c>
      <c r="E22" s="81">
        <v>1025.5999999999999</v>
      </c>
      <c r="F22" s="82">
        <f>SUM(E22/100)</f>
        <v>10.255999999999998</v>
      </c>
      <c r="G22" s="82">
        <v>269.26</v>
      </c>
      <c r="H22" s="83">
        <f t="shared" si="0"/>
        <v>2.7615305599999997</v>
      </c>
      <c r="I22" s="13">
        <f t="shared" ref="I22:I26" si="2">F22*G22</f>
        <v>2761.5305599999997</v>
      </c>
      <c r="J22" s="23"/>
      <c r="K22" s="8"/>
      <c r="L22" s="8"/>
      <c r="M22" s="8"/>
    </row>
    <row r="23" spans="1:13" ht="21.75" hidden="1" customHeight="1">
      <c r="A23" s="30">
        <v>8</v>
      </c>
      <c r="B23" s="79" t="s">
        <v>112</v>
      </c>
      <c r="C23" s="80" t="s">
        <v>52</v>
      </c>
      <c r="D23" s="79" t="s">
        <v>110</v>
      </c>
      <c r="E23" s="84">
        <v>60.5</v>
      </c>
      <c r="F23" s="82">
        <f>SUM(E23/100)</f>
        <v>0.60499999999999998</v>
      </c>
      <c r="G23" s="82">
        <v>44.29</v>
      </c>
      <c r="H23" s="83">
        <f t="shared" si="0"/>
        <v>2.6795449999999998E-2</v>
      </c>
      <c r="I23" s="13">
        <f t="shared" si="2"/>
        <v>26.795449999999999</v>
      </c>
      <c r="J23" s="23"/>
      <c r="K23" s="8"/>
      <c r="L23" s="8"/>
      <c r="M23" s="8"/>
    </row>
    <row r="24" spans="1:13" ht="20.25" hidden="1" customHeight="1">
      <c r="A24" s="30">
        <v>9</v>
      </c>
      <c r="B24" s="79" t="s">
        <v>102</v>
      </c>
      <c r="C24" s="80" t="s">
        <v>52</v>
      </c>
      <c r="D24" s="79" t="s">
        <v>53</v>
      </c>
      <c r="E24" s="85">
        <v>19.149999999999999</v>
      </c>
      <c r="F24" s="82">
        <f>E24/100</f>
        <v>0.19149999999999998</v>
      </c>
      <c r="G24" s="82">
        <v>389.42</v>
      </c>
      <c r="H24" s="83">
        <f>G24*F24/100</f>
        <v>0.74573929999999988</v>
      </c>
      <c r="I24" s="13">
        <f t="shared" si="2"/>
        <v>74.57392999999999</v>
      </c>
      <c r="J24" s="23"/>
      <c r="K24" s="8"/>
      <c r="L24" s="8"/>
      <c r="M24" s="8"/>
    </row>
    <row r="25" spans="1:13" ht="14.25" hidden="1" customHeight="1">
      <c r="A25" s="30">
        <v>10</v>
      </c>
      <c r="B25" s="79" t="s">
        <v>135</v>
      </c>
      <c r="C25" s="80" t="s">
        <v>52</v>
      </c>
      <c r="D25" s="79" t="s">
        <v>53</v>
      </c>
      <c r="E25" s="86">
        <v>31.5</v>
      </c>
      <c r="F25" s="82">
        <f>E25/100</f>
        <v>0.315</v>
      </c>
      <c r="G25" s="82">
        <v>216.12</v>
      </c>
      <c r="H25" s="83">
        <f>G25*F25/1000</f>
        <v>6.8077799999999994E-2</v>
      </c>
      <c r="I25" s="13">
        <f t="shared" si="2"/>
        <v>68.077799999999996</v>
      </c>
      <c r="J25" s="23"/>
      <c r="K25" s="8"/>
      <c r="L25" s="8"/>
      <c r="M25" s="8"/>
    </row>
    <row r="26" spans="1:13" ht="16.5" hidden="1" customHeight="1">
      <c r="A26" s="30">
        <v>11</v>
      </c>
      <c r="B26" s="79" t="s">
        <v>103</v>
      </c>
      <c r="C26" s="80" t="s">
        <v>52</v>
      </c>
      <c r="D26" s="79" t="s">
        <v>53</v>
      </c>
      <c r="E26" s="81">
        <v>37.5</v>
      </c>
      <c r="F26" s="82">
        <f>SUM(E26/100)</f>
        <v>0.375</v>
      </c>
      <c r="G26" s="82">
        <v>520.79999999999995</v>
      </c>
      <c r="H26" s="83">
        <f t="shared" si="0"/>
        <v>0.19529999999999997</v>
      </c>
      <c r="I26" s="13">
        <f t="shared" si="2"/>
        <v>195.29999999999998</v>
      </c>
      <c r="J26" s="23"/>
      <c r="K26" s="8"/>
      <c r="L26" s="8"/>
      <c r="M26" s="8"/>
    </row>
    <row r="27" spans="1:13" ht="15.75" customHeight="1">
      <c r="A27" s="30">
        <v>6</v>
      </c>
      <c r="B27" s="79" t="s">
        <v>64</v>
      </c>
      <c r="C27" s="80" t="s">
        <v>33</v>
      </c>
      <c r="D27" s="79"/>
      <c r="E27" s="81">
        <v>0.1</v>
      </c>
      <c r="F27" s="82">
        <f>SUM(E27*365)</f>
        <v>36.5</v>
      </c>
      <c r="G27" s="82">
        <v>147.03</v>
      </c>
      <c r="H27" s="83">
        <f t="shared" si="0"/>
        <v>5.3665950000000002</v>
      </c>
      <c r="I27" s="13">
        <f>F27/12*G27</f>
        <v>447.21625</v>
      </c>
      <c r="J27" s="23"/>
      <c r="K27" s="8"/>
      <c r="L27" s="8"/>
      <c r="M27" s="8"/>
    </row>
    <row r="28" spans="1:13" ht="15.75" customHeight="1">
      <c r="A28" s="30">
        <v>7</v>
      </c>
      <c r="B28" s="87" t="s">
        <v>23</v>
      </c>
      <c r="C28" s="80" t="s">
        <v>24</v>
      </c>
      <c r="D28" s="79"/>
      <c r="E28" s="81">
        <v>5836.1</v>
      </c>
      <c r="F28" s="82">
        <f>SUM(E28*12)</f>
        <v>70033.200000000012</v>
      </c>
      <c r="G28" s="82">
        <v>3.33</v>
      </c>
      <c r="H28" s="83">
        <f t="shared" si="0"/>
        <v>233.21055600000005</v>
      </c>
      <c r="I28" s="13">
        <f>F28/12*G28</f>
        <v>19434.213000000003</v>
      </c>
      <c r="J28" s="23"/>
      <c r="K28" s="8"/>
      <c r="L28" s="8"/>
      <c r="M28" s="8"/>
    </row>
    <row r="29" spans="1:13" ht="15.75" customHeight="1">
      <c r="A29" s="182" t="s">
        <v>85</v>
      </c>
      <c r="B29" s="182"/>
      <c r="C29" s="182"/>
      <c r="D29" s="182"/>
      <c r="E29" s="182"/>
      <c r="F29" s="182"/>
      <c r="G29" s="182"/>
      <c r="H29" s="182"/>
      <c r="I29" s="182"/>
      <c r="J29" s="23"/>
      <c r="K29" s="8"/>
      <c r="L29" s="8"/>
      <c r="M29" s="8"/>
    </row>
    <row r="30" spans="1:13" ht="15.75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9"/>
      <c r="J30" s="23"/>
      <c r="K30" s="8"/>
      <c r="L30" s="8"/>
      <c r="M30" s="8"/>
    </row>
    <row r="31" spans="1:13" ht="15.75" customHeight="1">
      <c r="A31" s="40">
        <v>8</v>
      </c>
      <c r="B31" s="79" t="s">
        <v>113</v>
      </c>
      <c r="C31" s="80" t="s">
        <v>114</v>
      </c>
      <c r="D31" s="79" t="s">
        <v>115</v>
      </c>
      <c r="E31" s="82">
        <v>659.5</v>
      </c>
      <c r="F31" s="82">
        <f>SUM(E31*52/1000)</f>
        <v>34.293999999999997</v>
      </c>
      <c r="G31" s="82">
        <v>155.88999999999999</v>
      </c>
      <c r="H31" s="83">
        <f t="shared" ref="H31:H33" si="3">SUM(F31*G31/1000)</f>
        <v>5.346091659999999</v>
      </c>
      <c r="I31" s="13">
        <f>F31/6*G31</f>
        <v>891.01527666666652</v>
      </c>
      <c r="J31" s="23"/>
      <c r="K31" s="8"/>
      <c r="L31" s="8"/>
      <c r="M31" s="8"/>
    </row>
    <row r="32" spans="1:13" ht="31.5" customHeight="1">
      <c r="A32" s="40">
        <v>9</v>
      </c>
      <c r="B32" s="79" t="s">
        <v>149</v>
      </c>
      <c r="C32" s="80" t="s">
        <v>114</v>
      </c>
      <c r="D32" s="79" t="s">
        <v>116</v>
      </c>
      <c r="E32" s="82">
        <v>567.9</v>
      </c>
      <c r="F32" s="82">
        <f>SUM(E32*78/1000)</f>
        <v>44.296199999999999</v>
      </c>
      <c r="G32" s="82">
        <v>258.63</v>
      </c>
      <c r="H32" s="83">
        <f t="shared" si="3"/>
        <v>11.456326206</v>
      </c>
      <c r="I32" s="13">
        <f t="shared" ref="I32:I35" si="4">F32/6*G32</f>
        <v>1909.3877009999999</v>
      </c>
      <c r="J32" s="23"/>
      <c r="K32" s="8"/>
      <c r="L32" s="8"/>
      <c r="M32" s="8"/>
    </row>
    <row r="33" spans="1:14" ht="15.75" hidden="1" customHeight="1">
      <c r="A33" s="40">
        <v>16</v>
      </c>
      <c r="B33" s="79" t="s">
        <v>27</v>
      </c>
      <c r="C33" s="80" t="s">
        <v>114</v>
      </c>
      <c r="D33" s="79" t="s">
        <v>53</v>
      </c>
      <c r="E33" s="82">
        <v>659.5</v>
      </c>
      <c r="F33" s="82">
        <f>SUM(E33/1000)</f>
        <v>0.65949999999999998</v>
      </c>
      <c r="G33" s="82">
        <v>3020.33</v>
      </c>
      <c r="H33" s="83">
        <f t="shared" si="3"/>
        <v>1.9919076349999998</v>
      </c>
      <c r="I33" s="13">
        <f>F33*G33</f>
        <v>1991.9076349999998</v>
      </c>
      <c r="J33" s="23"/>
      <c r="K33" s="8"/>
      <c r="L33" s="8"/>
      <c r="M33" s="8"/>
    </row>
    <row r="34" spans="1:14" ht="15.75" customHeight="1">
      <c r="A34" s="40">
        <v>10</v>
      </c>
      <c r="B34" s="79" t="s">
        <v>136</v>
      </c>
      <c r="C34" s="80" t="s">
        <v>39</v>
      </c>
      <c r="D34" s="79" t="s">
        <v>148</v>
      </c>
      <c r="E34" s="82">
        <v>8</v>
      </c>
      <c r="F34" s="82">
        <v>12.4</v>
      </c>
      <c r="G34" s="82">
        <v>1302.02</v>
      </c>
      <c r="H34" s="83">
        <v>16.145</v>
      </c>
      <c r="I34" s="13">
        <f t="shared" si="4"/>
        <v>2690.8413333333338</v>
      </c>
      <c r="J34" s="23"/>
      <c r="K34" s="8"/>
      <c r="L34" s="8"/>
      <c r="M34" s="8"/>
    </row>
    <row r="35" spans="1:14" ht="15.75" customHeight="1">
      <c r="A35" s="40">
        <v>11</v>
      </c>
      <c r="B35" s="79" t="s">
        <v>117</v>
      </c>
      <c r="C35" s="80" t="s">
        <v>30</v>
      </c>
      <c r="D35" s="79" t="s">
        <v>63</v>
      </c>
      <c r="E35" s="88">
        <v>0.33</v>
      </c>
      <c r="F35" s="82">
        <v>51.666666666666664</v>
      </c>
      <c r="G35" s="82">
        <v>56.69</v>
      </c>
      <c r="H35" s="83">
        <f>SUM(G35*155/3/1000)</f>
        <v>2.9289833333333331</v>
      </c>
      <c r="I35" s="13">
        <f t="shared" si="4"/>
        <v>488.16388888888883</v>
      </c>
      <c r="J35" s="23"/>
      <c r="K35" s="8"/>
    </row>
    <row r="36" spans="1:14" ht="15.75" hidden="1" customHeight="1">
      <c r="A36" s="40">
        <v>4</v>
      </c>
      <c r="B36" s="79" t="s">
        <v>65</v>
      </c>
      <c r="C36" s="80" t="s">
        <v>33</v>
      </c>
      <c r="D36" s="79" t="s">
        <v>67</v>
      </c>
      <c r="E36" s="81"/>
      <c r="F36" s="82">
        <v>4</v>
      </c>
      <c r="G36" s="82">
        <v>191.32</v>
      </c>
      <c r="H36" s="83">
        <f t="shared" ref="H36:H37" si="5">SUM(F36*G36/1000)</f>
        <v>0.76527999999999996</v>
      </c>
      <c r="I36" s="13">
        <v>0</v>
      </c>
      <c r="J36" s="24"/>
    </row>
    <row r="37" spans="1:14" ht="15.75" hidden="1" customHeight="1">
      <c r="A37" s="30">
        <v>8</v>
      </c>
      <c r="B37" s="79" t="s">
        <v>66</v>
      </c>
      <c r="C37" s="80" t="s">
        <v>32</v>
      </c>
      <c r="D37" s="79" t="s">
        <v>67</v>
      </c>
      <c r="E37" s="81"/>
      <c r="F37" s="82">
        <v>3</v>
      </c>
      <c r="G37" s="82">
        <v>1136.32</v>
      </c>
      <c r="H37" s="83">
        <f t="shared" si="5"/>
        <v>3.40896</v>
      </c>
      <c r="I37" s="13">
        <v>0</v>
      </c>
      <c r="J37" s="24"/>
    </row>
    <row r="38" spans="1:14" ht="15.75" hidden="1" customHeight="1">
      <c r="A38" s="40"/>
      <c r="B38" s="48" t="s">
        <v>5</v>
      </c>
      <c r="C38" s="48"/>
      <c r="D38" s="48"/>
      <c r="E38" s="48"/>
      <c r="F38" s="13"/>
      <c r="G38" s="14"/>
      <c r="H38" s="14"/>
      <c r="I38" s="19"/>
      <c r="J38" s="24"/>
    </row>
    <row r="39" spans="1:14" ht="15.75" hidden="1" customHeight="1">
      <c r="A39" s="33">
        <v>6</v>
      </c>
      <c r="B39" s="79" t="s">
        <v>26</v>
      </c>
      <c r="C39" s="80" t="s">
        <v>32</v>
      </c>
      <c r="D39" s="79"/>
      <c r="E39" s="81"/>
      <c r="F39" s="82">
        <v>10</v>
      </c>
      <c r="G39" s="82">
        <v>1527.22</v>
      </c>
      <c r="H39" s="83">
        <f t="shared" ref="H39:H45" si="6">SUM(F39*G39/1000)</f>
        <v>15.272200000000002</v>
      </c>
      <c r="I39" s="13">
        <f>F39/6*G39</f>
        <v>2545.3666666666668</v>
      </c>
      <c r="J39" s="24"/>
    </row>
    <row r="40" spans="1:14" ht="15.75" hidden="1" customHeight="1">
      <c r="A40" s="33">
        <v>7</v>
      </c>
      <c r="B40" s="79" t="s">
        <v>68</v>
      </c>
      <c r="C40" s="80" t="s">
        <v>29</v>
      </c>
      <c r="D40" s="79" t="s">
        <v>137</v>
      </c>
      <c r="E40" s="82">
        <v>567.9</v>
      </c>
      <c r="F40" s="82">
        <f>SUM(E40*50/1000)</f>
        <v>28.395</v>
      </c>
      <c r="G40" s="82">
        <v>2102.71</v>
      </c>
      <c r="H40" s="83">
        <f t="shared" si="6"/>
        <v>59.706450449999998</v>
      </c>
      <c r="I40" s="13">
        <f>F40/6*G40</f>
        <v>9951.0750750000007</v>
      </c>
      <c r="J40" s="24"/>
    </row>
    <row r="41" spans="1:14" ht="15.75" hidden="1" customHeight="1">
      <c r="A41" s="33">
        <v>8</v>
      </c>
      <c r="B41" s="79" t="s">
        <v>95</v>
      </c>
      <c r="C41" s="80" t="s">
        <v>150</v>
      </c>
      <c r="D41" s="79" t="s">
        <v>67</v>
      </c>
      <c r="E41" s="81"/>
      <c r="F41" s="82">
        <v>66</v>
      </c>
      <c r="G41" s="82">
        <v>213.2</v>
      </c>
      <c r="H41" s="83">
        <f t="shared" si="6"/>
        <v>14.071199999999999</v>
      </c>
      <c r="I41" s="13">
        <v>0</v>
      </c>
      <c r="J41" s="24"/>
    </row>
    <row r="42" spans="1:14" ht="15.75" hidden="1" customHeight="1">
      <c r="A42" s="33">
        <v>8</v>
      </c>
      <c r="B42" s="79" t="s">
        <v>69</v>
      </c>
      <c r="C42" s="80" t="s">
        <v>29</v>
      </c>
      <c r="D42" s="79" t="s">
        <v>118</v>
      </c>
      <c r="E42" s="82">
        <v>108</v>
      </c>
      <c r="F42" s="82">
        <f>SUM(E42*155/1000)</f>
        <v>16.739999999999998</v>
      </c>
      <c r="G42" s="82">
        <v>350.75</v>
      </c>
      <c r="H42" s="83">
        <f t="shared" si="6"/>
        <v>5.871554999999999</v>
      </c>
      <c r="I42" s="13">
        <f>F42/6*G42</f>
        <v>978.59249999999986</v>
      </c>
      <c r="J42" s="24"/>
    </row>
    <row r="43" spans="1:14" ht="47.25" hidden="1" customHeight="1">
      <c r="A43" s="33">
        <v>9</v>
      </c>
      <c r="B43" s="79" t="s">
        <v>84</v>
      </c>
      <c r="C43" s="80" t="s">
        <v>114</v>
      </c>
      <c r="D43" s="79" t="s">
        <v>138</v>
      </c>
      <c r="E43" s="82">
        <v>108</v>
      </c>
      <c r="F43" s="82">
        <f>SUM(E43*20/1000)</f>
        <v>2.16</v>
      </c>
      <c r="G43" s="82">
        <v>5803.28</v>
      </c>
      <c r="H43" s="83">
        <f t="shared" si="6"/>
        <v>12.5350848</v>
      </c>
      <c r="I43" s="13">
        <f>F43/6*G43</f>
        <v>2089.1808000000001</v>
      </c>
      <c r="J43" s="24"/>
    </row>
    <row r="44" spans="1:14" ht="15.75" hidden="1" customHeight="1">
      <c r="A44" s="33">
        <v>10</v>
      </c>
      <c r="B44" s="79" t="s">
        <v>119</v>
      </c>
      <c r="C44" s="80" t="s">
        <v>114</v>
      </c>
      <c r="D44" s="79" t="s">
        <v>70</v>
      </c>
      <c r="E44" s="82">
        <v>108</v>
      </c>
      <c r="F44" s="82">
        <f>SUM(E44*45/1000)</f>
        <v>4.8600000000000003</v>
      </c>
      <c r="G44" s="82">
        <v>428.7</v>
      </c>
      <c r="H44" s="83">
        <f t="shared" si="6"/>
        <v>2.0834820000000001</v>
      </c>
      <c r="I44" s="13">
        <f>F44/6*G44</f>
        <v>347.24700000000001</v>
      </c>
      <c r="J44" s="24"/>
      <c r="L44" s="20"/>
      <c r="M44" s="21"/>
      <c r="N44" s="22"/>
    </row>
    <row r="45" spans="1:14" ht="15.75" hidden="1" customHeight="1">
      <c r="A45" s="33">
        <v>11</v>
      </c>
      <c r="B45" s="79" t="s">
        <v>71</v>
      </c>
      <c r="C45" s="80" t="s">
        <v>33</v>
      </c>
      <c r="D45" s="79"/>
      <c r="E45" s="81"/>
      <c r="F45" s="82">
        <v>0.9</v>
      </c>
      <c r="G45" s="82">
        <v>798</v>
      </c>
      <c r="H45" s="83">
        <f t="shared" si="6"/>
        <v>0.71820000000000006</v>
      </c>
      <c r="I45" s="13">
        <f>F45/6*G45</f>
        <v>119.69999999999999</v>
      </c>
      <c r="J45" s="24"/>
      <c r="L45" s="20"/>
      <c r="M45" s="21"/>
      <c r="N45" s="22"/>
    </row>
    <row r="46" spans="1:14" ht="15.75" hidden="1" customHeight="1">
      <c r="A46" s="183" t="s">
        <v>144</v>
      </c>
      <c r="B46" s="184"/>
      <c r="C46" s="184"/>
      <c r="D46" s="184"/>
      <c r="E46" s="184"/>
      <c r="F46" s="184"/>
      <c r="G46" s="184"/>
      <c r="H46" s="184"/>
      <c r="I46" s="185"/>
      <c r="J46" s="24"/>
      <c r="L46" s="20"/>
      <c r="M46" s="21"/>
      <c r="N46" s="22"/>
    </row>
    <row r="47" spans="1:14" ht="15.75" hidden="1" customHeight="1">
      <c r="A47" s="40">
        <v>19</v>
      </c>
      <c r="B47" s="79" t="s">
        <v>120</v>
      </c>
      <c r="C47" s="80" t="s">
        <v>114</v>
      </c>
      <c r="D47" s="79" t="s">
        <v>41</v>
      </c>
      <c r="E47" s="81">
        <v>1571.3</v>
      </c>
      <c r="F47" s="82">
        <f>SUM(E47*2/1000)</f>
        <v>3.1425999999999998</v>
      </c>
      <c r="G47" s="13">
        <v>849.49</v>
      </c>
      <c r="H47" s="83">
        <f t="shared" ref="H47:H55" si="7">SUM(F47*G47/1000)</f>
        <v>2.6696072740000001</v>
      </c>
      <c r="I47" s="13">
        <f t="shared" ref="I47:I49" si="8">F47/2*G47</f>
        <v>1334.803637</v>
      </c>
      <c r="J47" s="24"/>
      <c r="L47" s="20"/>
      <c r="M47" s="21"/>
      <c r="N47" s="22"/>
    </row>
    <row r="48" spans="1:14" ht="15.75" hidden="1" customHeight="1">
      <c r="A48" s="40">
        <v>20</v>
      </c>
      <c r="B48" s="79" t="s">
        <v>34</v>
      </c>
      <c r="C48" s="80" t="s">
        <v>114</v>
      </c>
      <c r="D48" s="79" t="s">
        <v>41</v>
      </c>
      <c r="E48" s="81">
        <v>92.8</v>
      </c>
      <c r="F48" s="82">
        <f>SUM(E48*2/1000)</f>
        <v>0.18559999999999999</v>
      </c>
      <c r="G48" s="13">
        <v>579.48</v>
      </c>
      <c r="H48" s="83">
        <f t="shared" si="7"/>
        <v>0.10755148799999999</v>
      </c>
      <c r="I48" s="13">
        <f t="shared" si="8"/>
        <v>53.775743999999996</v>
      </c>
      <c r="J48" s="24"/>
      <c r="L48" s="20"/>
      <c r="M48" s="21"/>
      <c r="N48" s="22"/>
    </row>
    <row r="49" spans="1:14" ht="15.75" hidden="1" customHeight="1">
      <c r="A49" s="40">
        <v>21</v>
      </c>
      <c r="B49" s="79" t="s">
        <v>35</v>
      </c>
      <c r="C49" s="80" t="s">
        <v>114</v>
      </c>
      <c r="D49" s="79" t="s">
        <v>41</v>
      </c>
      <c r="E49" s="81">
        <v>4737.7</v>
      </c>
      <c r="F49" s="82">
        <f>SUM(E49*2/1000)</f>
        <v>9.4754000000000005</v>
      </c>
      <c r="G49" s="13">
        <v>579.48</v>
      </c>
      <c r="H49" s="83">
        <f t="shared" si="7"/>
        <v>5.4908047920000005</v>
      </c>
      <c r="I49" s="13">
        <f t="shared" si="8"/>
        <v>2745.4023960000004</v>
      </c>
      <c r="J49" s="24"/>
      <c r="L49" s="20"/>
      <c r="M49" s="21"/>
      <c r="N49" s="22"/>
    </row>
    <row r="50" spans="1:14" ht="15.75" hidden="1" customHeight="1">
      <c r="A50" s="40">
        <v>22</v>
      </c>
      <c r="B50" s="79" t="s">
        <v>36</v>
      </c>
      <c r="C50" s="80" t="s">
        <v>114</v>
      </c>
      <c r="D50" s="79" t="s">
        <v>41</v>
      </c>
      <c r="E50" s="81">
        <v>2811.99</v>
      </c>
      <c r="F50" s="82">
        <f>SUM(E50*2/1000)</f>
        <v>5.6239799999999995</v>
      </c>
      <c r="G50" s="13">
        <v>606.77</v>
      </c>
      <c r="H50" s="83">
        <f t="shared" si="7"/>
        <v>3.4124623445999998</v>
      </c>
      <c r="I50" s="13">
        <f>F50/2*G50</f>
        <v>1706.2311722999998</v>
      </c>
      <c r="J50" s="24"/>
      <c r="L50" s="20"/>
      <c r="M50" s="21"/>
      <c r="N50" s="22"/>
    </row>
    <row r="51" spans="1:14" ht="15.75" hidden="1" customHeight="1">
      <c r="A51" s="40">
        <v>23</v>
      </c>
      <c r="B51" s="79" t="s">
        <v>56</v>
      </c>
      <c r="C51" s="80" t="s">
        <v>114</v>
      </c>
      <c r="D51" s="79" t="s">
        <v>151</v>
      </c>
      <c r="E51" s="81">
        <v>1571.3</v>
      </c>
      <c r="F51" s="82">
        <f>SUM(E51*5/1000)</f>
        <v>7.8564999999999996</v>
      </c>
      <c r="G51" s="13">
        <v>1213.55</v>
      </c>
      <c r="H51" s="83">
        <f t="shared" si="7"/>
        <v>9.5342555749999995</v>
      </c>
      <c r="I51" s="13">
        <f>F51/5*G51</f>
        <v>1906.8511149999999</v>
      </c>
      <c r="J51" s="24"/>
      <c r="L51" s="20"/>
      <c r="M51" s="21"/>
      <c r="N51" s="22"/>
    </row>
    <row r="52" spans="1:14" ht="31.5" hidden="1" customHeight="1">
      <c r="A52" s="40">
        <v>12</v>
      </c>
      <c r="B52" s="79" t="s">
        <v>121</v>
      </c>
      <c r="C52" s="80" t="s">
        <v>114</v>
      </c>
      <c r="D52" s="79" t="s">
        <v>41</v>
      </c>
      <c r="E52" s="81">
        <v>1571.3</v>
      </c>
      <c r="F52" s="82">
        <f>SUM(E52*2/1000)</f>
        <v>3.1425999999999998</v>
      </c>
      <c r="G52" s="13">
        <v>1213.55</v>
      </c>
      <c r="H52" s="83">
        <f t="shared" si="7"/>
        <v>3.8137022300000001</v>
      </c>
      <c r="I52" s="13">
        <f t="shared" ref="I52:I53" si="9">F52/2*G52</f>
        <v>1906.8511149999999</v>
      </c>
      <c r="J52" s="24"/>
      <c r="L52" s="20"/>
      <c r="M52" s="21"/>
      <c r="N52" s="22"/>
    </row>
    <row r="53" spans="1:14" ht="31.5" hidden="1" customHeight="1">
      <c r="A53" s="40">
        <v>13</v>
      </c>
      <c r="B53" s="79" t="s">
        <v>122</v>
      </c>
      <c r="C53" s="80" t="s">
        <v>37</v>
      </c>
      <c r="D53" s="79" t="s">
        <v>41</v>
      </c>
      <c r="E53" s="81">
        <v>40</v>
      </c>
      <c r="F53" s="82">
        <f>SUM(E53*2/100)</f>
        <v>0.8</v>
      </c>
      <c r="G53" s="13">
        <v>2730.49</v>
      </c>
      <c r="H53" s="83">
        <f t="shared" si="7"/>
        <v>2.1843919999999999</v>
      </c>
      <c r="I53" s="13">
        <f t="shared" si="9"/>
        <v>1092.1959999999999</v>
      </c>
      <c r="J53" s="24"/>
      <c r="L53" s="20"/>
      <c r="M53" s="21"/>
      <c r="N53" s="22"/>
    </row>
    <row r="54" spans="1:14" ht="15.75" hidden="1" customHeight="1">
      <c r="A54" s="40">
        <v>12</v>
      </c>
      <c r="B54" s="79" t="s">
        <v>38</v>
      </c>
      <c r="C54" s="80" t="s">
        <v>39</v>
      </c>
      <c r="D54" s="79" t="s">
        <v>41</v>
      </c>
      <c r="E54" s="81">
        <v>1</v>
      </c>
      <c r="F54" s="82">
        <v>0.02</v>
      </c>
      <c r="G54" s="13">
        <v>5652.13</v>
      </c>
      <c r="H54" s="83">
        <f t="shared" si="7"/>
        <v>0.11304260000000001</v>
      </c>
      <c r="I54" s="13">
        <f>F54/2*G54</f>
        <v>56.521300000000004</v>
      </c>
      <c r="J54" s="24"/>
      <c r="L54" s="20"/>
      <c r="M54" s="21"/>
      <c r="N54" s="22"/>
    </row>
    <row r="55" spans="1:14" ht="15.75" hidden="1" customHeight="1">
      <c r="A55" s="40">
        <v>10</v>
      </c>
      <c r="B55" s="79" t="s">
        <v>40</v>
      </c>
      <c r="C55" s="80" t="s">
        <v>123</v>
      </c>
      <c r="D55" s="79" t="s">
        <v>72</v>
      </c>
      <c r="E55" s="81">
        <v>238</v>
      </c>
      <c r="F55" s="82">
        <f>SUM(E55)*3</f>
        <v>714</v>
      </c>
      <c r="G55" s="13">
        <v>65.67</v>
      </c>
      <c r="H55" s="83">
        <f t="shared" si="7"/>
        <v>46.888380000000005</v>
      </c>
      <c r="I55" s="13">
        <f>E55*G55</f>
        <v>15629.460000000001</v>
      </c>
      <c r="J55" s="24"/>
      <c r="L55" s="20"/>
      <c r="M55" s="21"/>
      <c r="N55" s="22"/>
    </row>
    <row r="56" spans="1:14" ht="15.75" customHeight="1">
      <c r="A56" s="170" t="s">
        <v>161</v>
      </c>
      <c r="B56" s="171"/>
      <c r="C56" s="171"/>
      <c r="D56" s="171"/>
      <c r="E56" s="171"/>
      <c r="F56" s="171"/>
      <c r="G56" s="171"/>
      <c r="H56" s="171"/>
      <c r="I56" s="172"/>
      <c r="J56" s="24"/>
      <c r="L56" s="20"/>
      <c r="M56" s="21"/>
      <c r="N56" s="22"/>
    </row>
    <row r="57" spans="1:14" ht="15.75" hidden="1" customHeight="1">
      <c r="A57" s="78"/>
      <c r="B57" s="47" t="s">
        <v>42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hidden="1" customHeight="1">
      <c r="A58" s="40">
        <v>14</v>
      </c>
      <c r="B58" s="79" t="s">
        <v>139</v>
      </c>
      <c r="C58" s="80" t="s">
        <v>104</v>
      </c>
      <c r="D58" s="79" t="s">
        <v>124</v>
      </c>
      <c r="E58" s="81">
        <v>48</v>
      </c>
      <c r="F58" s="82">
        <f>E58*6/100</f>
        <v>2.88</v>
      </c>
      <c r="G58" s="89">
        <v>1547.28</v>
      </c>
      <c r="H58" s="83">
        <f>F58*G58/1000</f>
        <v>4.4561663999999999</v>
      </c>
      <c r="I58" s="13">
        <f>F58/6*G58</f>
        <v>742.69439999999997</v>
      </c>
      <c r="J58" s="24"/>
      <c r="L58" s="20"/>
      <c r="M58" s="21"/>
      <c r="N58" s="22"/>
    </row>
    <row r="59" spans="1:14" ht="15.75" hidden="1" customHeight="1">
      <c r="A59" s="40">
        <v>15</v>
      </c>
      <c r="B59" s="90" t="s">
        <v>96</v>
      </c>
      <c r="C59" s="91" t="s">
        <v>104</v>
      </c>
      <c r="D59" s="90" t="s">
        <v>140</v>
      </c>
      <c r="E59" s="92">
        <v>56</v>
      </c>
      <c r="F59" s="93">
        <f>E59*4/100</f>
        <v>2.2400000000000002</v>
      </c>
      <c r="G59" s="89">
        <v>1547.28</v>
      </c>
      <c r="H59" s="94">
        <f>F59*G59/1000</f>
        <v>3.4659072000000002</v>
      </c>
      <c r="I59" s="13">
        <f>F59/6*G59</f>
        <v>577.65120000000002</v>
      </c>
      <c r="J59" s="24"/>
      <c r="L59" s="20"/>
      <c r="M59" s="21"/>
      <c r="N59" s="22"/>
    </row>
    <row r="60" spans="1:14" ht="15.75" hidden="1" customHeight="1">
      <c r="A60" s="40">
        <v>15</v>
      </c>
      <c r="B60" s="90" t="s">
        <v>100</v>
      </c>
      <c r="C60" s="91" t="s">
        <v>101</v>
      </c>
      <c r="D60" s="90" t="s">
        <v>41</v>
      </c>
      <c r="E60" s="92">
        <v>8</v>
      </c>
      <c r="F60" s="93">
        <v>16</v>
      </c>
      <c r="G60" s="95">
        <v>180.78</v>
      </c>
      <c r="H60" s="94">
        <f>F60*G60/1000</f>
        <v>2.8924799999999999</v>
      </c>
      <c r="I60" s="13">
        <f>F60/2*G60</f>
        <v>1446.24</v>
      </c>
      <c r="J60" s="24"/>
      <c r="L60" s="20"/>
      <c r="M60" s="21"/>
      <c r="N60" s="22"/>
    </row>
    <row r="61" spans="1:14" ht="15.75" customHeight="1">
      <c r="A61" s="40"/>
      <c r="B61" s="76" t="s">
        <v>43</v>
      </c>
      <c r="C61" s="76"/>
      <c r="D61" s="76"/>
      <c r="E61" s="76"/>
      <c r="F61" s="76"/>
      <c r="G61" s="76"/>
      <c r="H61" s="76"/>
      <c r="I61" s="35"/>
      <c r="J61" s="24"/>
      <c r="L61" s="20"/>
      <c r="M61" s="21"/>
      <c r="N61" s="22"/>
    </row>
    <row r="62" spans="1:14" ht="15.75" customHeight="1">
      <c r="A62" s="40">
        <v>12</v>
      </c>
      <c r="B62" s="90" t="s">
        <v>97</v>
      </c>
      <c r="C62" s="91" t="s">
        <v>25</v>
      </c>
      <c r="D62" s="90" t="s">
        <v>152</v>
      </c>
      <c r="E62" s="92">
        <v>331.5</v>
      </c>
      <c r="F62" s="93">
        <v>2400</v>
      </c>
      <c r="G62" s="96">
        <v>1.2</v>
      </c>
      <c r="H62" s="94">
        <f>G62*F62/1000</f>
        <v>2.88</v>
      </c>
      <c r="I62" s="13">
        <f>F62/12*G62</f>
        <v>240</v>
      </c>
      <c r="J62" s="24"/>
      <c r="L62" s="20"/>
      <c r="M62" s="21"/>
      <c r="N62" s="22"/>
    </row>
    <row r="63" spans="1:14" ht="15.75" hidden="1" customHeight="1">
      <c r="A63" s="40">
        <v>14</v>
      </c>
      <c r="B63" s="90" t="s">
        <v>44</v>
      </c>
      <c r="C63" s="91" t="s">
        <v>25</v>
      </c>
      <c r="D63" s="90" t="s">
        <v>53</v>
      </c>
      <c r="E63" s="92">
        <v>1571.3</v>
      </c>
      <c r="F63" s="93">
        <f>E63/100</f>
        <v>15.712999999999999</v>
      </c>
      <c r="G63" s="97">
        <v>793.61</v>
      </c>
      <c r="H63" s="94">
        <f>G63*F63/1000</f>
        <v>12.469993929999999</v>
      </c>
      <c r="I63" s="13">
        <v>0</v>
      </c>
      <c r="J63" s="24"/>
      <c r="L63" s="20"/>
      <c r="M63" s="21"/>
      <c r="N63" s="22"/>
    </row>
    <row r="64" spans="1:14" ht="15" hidden="1" customHeight="1">
      <c r="A64" s="40"/>
      <c r="B64" s="76" t="s">
        <v>45</v>
      </c>
      <c r="C64" s="17"/>
      <c r="D64" s="37"/>
      <c r="E64" s="37"/>
      <c r="F64" s="16"/>
      <c r="G64" s="30"/>
      <c r="H64" s="30"/>
      <c r="I64" s="19"/>
      <c r="J64" s="24"/>
      <c r="L64" s="20"/>
      <c r="M64" s="21"/>
      <c r="N64" s="22"/>
    </row>
    <row r="65" spans="1:22" ht="18" hidden="1" customHeight="1">
      <c r="A65" s="40">
        <v>13</v>
      </c>
      <c r="B65" s="15" t="s">
        <v>46</v>
      </c>
      <c r="C65" s="17" t="s">
        <v>123</v>
      </c>
      <c r="D65" s="15" t="s">
        <v>67</v>
      </c>
      <c r="E65" s="19">
        <v>35</v>
      </c>
      <c r="F65" s="82">
        <v>35</v>
      </c>
      <c r="G65" s="13">
        <v>222.4</v>
      </c>
      <c r="H65" s="98">
        <f t="shared" ref="H65:H72" si="10">SUM(F65*G65/1000)</f>
        <v>7.7839999999999998</v>
      </c>
      <c r="I65" s="13">
        <f>G65*12</f>
        <v>2668.8</v>
      </c>
      <c r="J65" s="24"/>
      <c r="L65" s="20"/>
    </row>
    <row r="66" spans="1:22" ht="25.5" hidden="1" customHeight="1">
      <c r="A66" s="30">
        <v>29</v>
      </c>
      <c r="B66" s="15" t="s">
        <v>47</v>
      </c>
      <c r="C66" s="17" t="s">
        <v>123</v>
      </c>
      <c r="D66" s="15" t="s">
        <v>67</v>
      </c>
      <c r="E66" s="19">
        <v>17</v>
      </c>
      <c r="F66" s="82">
        <v>20</v>
      </c>
      <c r="G66" s="13">
        <v>76.25</v>
      </c>
      <c r="H66" s="98">
        <f t="shared" si="10"/>
        <v>1.5249999999999999</v>
      </c>
      <c r="I66" s="13">
        <v>0</v>
      </c>
    </row>
    <row r="67" spans="1:22" ht="22.5" hidden="1" customHeight="1">
      <c r="A67" s="30">
        <v>26</v>
      </c>
      <c r="B67" s="15" t="s">
        <v>48</v>
      </c>
      <c r="C67" s="17" t="s">
        <v>125</v>
      </c>
      <c r="D67" s="15" t="s">
        <v>53</v>
      </c>
      <c r="E67" s="81">
        <v>22639</v>
      </c>
      <c r="F67" s="13">
        <f>SUM(E67/100)</f>
        <v>226.39</v>
      </c>
      <c r="G67" s="13">
        <v>212.15</v>
      </c>
      <c r="H67" s="98">
        <f t="shared" si="10"/>
        <v>48.0286385</v>
      </c>
      <c r="I67" s="13">
        <f>F67*G67</f>
        <v>48028.638500000001</v>
      </c>
    </row>
    <row r="68" spans="1:22" ht="20.25" hidden="1" customHeight="1">
      <c r="A68" s="30">
        <v>27</v>
      </c>
      <c r="B68" s="15" t="s">
        <v>49</v>
      </c>
      <c r="C68" s="17" t="s">
        <v>126</v>
      </c>
      <c r="D68" s="15"/>
      <c r="E68" s="81">
        <v>22639</v>
      </c>
      <c r="F68" s="13">
        <f>SUM(E68/1000)</f>
        <v>22.638999999999999</v>
      </c>
      <c r="G68" s="13">
        <v>165.21</v>
      </c>
      <c r="H68" s="98">
        <f t="shared" si="10"/>
        <v>3.7401891900000002</v>
      </c>
      <c r="I68" s="13">
        <f t="shared" ref="I68:I71" si="11">F68*G68</f>
        <v>3740.1891900000001</v>
      </c>
    </row>
    <row r="69" spans="1:22" ht="19.5" hidden="1" customHeight="1">
      <c r="A69" s="30">
        <v>28</v>
      </c>
      <c r="B69" s="15" t="s">
        <v>50</v>
      </c>
      <c r="C69" s="17" t="s">
        <v>77</v>
      </c>
      <c r="D69" s="15" t="s">
        <v>53</v>
      </c>
      <c r="E69" s="81">
        <v>3145</v>
      </c>
      <c r="F69" s="13">
        <f>SUM(E69/100)</f>
        <v>31.45</v>
      </c>
      <c r="G69" s="13">
        <v>2074.63</v>
      </c>
      <c r="H69" s="98">
        <f t="shared" si="10"/>
        <v>65.247113499999998</v>
      </c>
      <c r="I69" s="13">
        <f t="shared" si="11"/>
        <v>65247.113499999999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20.25" hidden="1" customHeight="1">
      <c r="A70" s="30">
        <v>29</v>
      </c>
      <c r="B70" s="99" t="s">
        <v>127</v>
      </c>
      <c r="C70" s="17" t="s">
        <v>33</v>
      </c>
      <c r="D70" s="15"/>
      <c r="E70" s="81">
        <v>20.28</v>
      </c>
      <c r="F70" s="13">
        <f>SUM(E70)</f>
        <v>20.28</v>
      </c>
      <c r="G70" s="13">
        <v>42.67</v>
      </c>
      <c r="H70" s="98">
        <f t="shared" si="10"/>
        <v>0.86534760000000011</v>
      </c>
      <c r="I70" s="13">
        <f t="shared" si="11"/>
        <v>865.34760000000006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8" hidden="1" customHeight="1">
      <c r="A71" s="30">
        <v>30</v>
      </c>
      <c r="B71" s="99" t="s">
        <v>153</v>
      </c>
      <c r="C71" s="17" t="s">
        <v>33</v>
      </c>
      <c r="D71" s="15"/>
      <c r="E71" s="81">
        <v>20.28</v>
      </c>
      <c r="F71" s="13">
        <f>SUM(E71)</f>
        <v>20.28</v>
      </c>
      <c r="G71" s="13">
        <v>39.81</v>
      </c>
      <c r="H71" s="98">
        <f t="shared" si="10"/>
        <v>0.80734680000000014</v>
      </c>
      <c r="I71" s="13">
        <f t="shared" si="11"/>
        <v>807.34680000000014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20.25" hidden="1" customHeight="1">
      <c r="A72" s="30">
        <v>13</v>
      </c>
      <c r="B72" s="15" t="s">
        <v>57</v>
      </c>
      <c r="C72" s="17" t="s">
        <v>58</v>
      </c>
      <c r="D72" s="15" t="s">
        <v>53</v>
      </c>
      <c r="E72" s="19">
        <v>15</v>
      </c>
      <c r="F72" s="82">
        <f>SUM(E72)</f>
        <v>15</v>
      </c>
      <c r="G72" s="13">
        <v>49.88</v>
      </c>
      <c r="H72" s="98">
        <f t="shared" si="10"/>
        <v>0.74820000000000009</v>
      </c>
      <c r="I72" s="13">
        <v>0</v>
      </c>
      <c r="J72" s="5"/>
      <c r="K72" s="5"/>
      <c r="L72" s="5"/>
      <c r="M72" s="5"/>
      <c r="N72" s="5"/>
      <c r="O72" s="5"/>
      <c r="P72" s="5"/>
      <c r="Q72" s="5"/>
      <c r="R72" s="161"/>
      <c r="S72" s="161"/>
      <c r="T72" s="161"/>
      <c r="U72" s="161"/>
    </row>
    <row r="73" spans="1:22" ht="22.5" hidden="1" customHeight="1">
      <c r="A73" s="30"/>
      <c r="B73" s="48" t="s">
        <v>73</v>
      </c>
      <c r="C73" s="48"/>
      <c r="D73" s="48"/>
      <c r="E73" s="48"/>
      <c r="F73" s="19"/>
      <c r="G73" s="30"/>
      <c r="H73" s="30"/>
      <c r="I73" s="19"/>
    </row>
    <row r="74" spans="1:22" ht="20.25" hidden="1" customHeight="1">
      <c r="A74" s="30">
        <v>12</v>
      </c>
      <c r="B74" s="15" t="s">
        <v>74</v>
      </c>
      <c r="C74" s="17" t="s">
        <v>31</v>
      </c>
      <c r="D74" s="15"/>
      <c r="E74" s="19">
        <v>5</v>
      </c>
      <c r="F74" s="100">
        <v>0.5</v>
      </c>
      <c r="G74" s="13">
        <v>501.62</v>
      </c>
      <c r="H74" s="98">
        <f>F74*G74/1000</f>
        <v>0.25080999999999998</v>
      </c>
      <c r="I74" s="13">
        <f>G74*1.1</f>
        <v>551.78200000000004</v>
      </c>
    </row>
    <row r="75" spans="1:22" ht="18" hidden="1" customHeight="1">
      <c r="A75" s="30"/>
      <c r="B75" s="15" t="s">
        <v>131</v>
      </c>
      <c r="C75" s="17" t="s">
        <v>30</v>
      </c>
      <c r="D75" s="15"/>
      <c r="E75" s="19">
        <v>1</v>
      </c>
      <c r="F75" s="13">
        <v>1</v>
      </c>
      <c r="G75" s="13">
        <v>120.26</v>
      </c>
      <c r="H75" s="98">
        <f>G75*F75/1000</f>
        <v>0.12026000000000001</v>
      </c>
      <c r="I75" s="13">
        <v>0</v>
      </c>
    </row>
    <row r="76" spans="1:22" ht="19.5" hidden="1" customHeight="1">
      <c r="A76" s="30"/>
      <c r="B76" s="15" t="s">
        <v>130</v>
      </c>
      <c r="C76" s="17" t="s">
        <v>30</v>
      </c>
      <c r="D76" s="15"/>
      <c r="E76" s="19">
        <v>1</v>
      </c>
      <c r="F76" s="100">
        <v>1</v>
      </c>
      <c r="G76" s="13">
        <v>99.85</v>
      </c>
      <c r="H76" s="98">
        <f>G76*F76/1000</f>
        <v>9.9849999999999994E-2</v>
      </c>
      <c r="I76" s="13">
        <v>0</v>
      </c>
    </row>
    <row r="77" spans="1:22" ht="18" hidden="1" customHeight="1">
      <c r="A77" s="30"/>
      <c r="B77" s="15" t="s">
        <v>88</v>
      </c>
      <c r="C77" s="17" t="s">
        <v>30</v>
      </c>
      <c r="D77" s="15"/>
      <c r="E77" s="19">
        <v>2</v>
      </c>
      <c r="F77" s="82">
        <f>SUM(E77)</f>
        <v>2</v>
      </c>
      <c r="G77" s="13">
        <v>358.51</v>
      </c>
      <c r="H77" s="98">
        <f t="shared" ref="H77" si="12">SUM(F77*G77/1000)</f>
        <v>0.71701999999999999</v>
      </c>
      <c r="I77" s="13">
        <v>0</v>
      </c>
    </row>
    <row r="78" spans="1:22" ht="21" hidden="1" customHeight="1">
      <c r="A78" s="30">
        <v>18</v>
      </c>
      <c r="B78" s="15" t="s">
        <v>75</v>
      </c>
      <c r="C78" s="17" t="s">
        <v>30</v>
      </c>
      <c r="D78" s="15"/>
      <c r="E78" s="19">
        <v>2</v>
      </c>
      <c r="F78" s="13">
        <v>2</v>
      </c>
      <c r="G78" s="13">
        <v>852.99</v>
      </c>
      <c r="H78" s="98">
        <f>F78*G78/1000</f>
        <v>1.7059800000000001</v>
      </c>
      <c r="I78" s="13">
        <f>G78</f>
        <v>852.99</v>
      </c>
    </row>
    <row r="79" spans="1:22" ht="19.5" hidden="1" customHeight="1">
      <c r="A79" s="30"/>
      <c r="B79" s="49" t="s">
        <v>76</v>
      </c>
      <c r="C79" s="38"/>
      <c r="D79" s="30"/>
      <c r="E79" s="30"/>
      <c r="F79" s="19"/>
      <c r="G79" s="36"/>
      <c r="H79" s="36"/>
      <c r="I79" s="19"/>
    </row>
    <row r="80" spans="1:22" ht="19.5" hidden="1" customHeight="1">
      <c r="A80" s="30">
        <v>39</v>
      </c>
      <c r="B80" s="51" t="s">
        <v>132</v>
      </c>
      <c r="C80" s="17" t="s">
        <v>77</v>
      </c>
      <c r="D80" s="15"/>
      <c r="E80" s="19"/>
      <c r="F80" s="13">
        <v>1.35</v>
      </c>
      <c r="G80" s="13">
        <v>2759.44</v>
      </c>
      <c r="H80" s="98">
        <f t="shared" ref="H80" si="13">SUM(F80*G80/1000)</f>
        <v>3.725244</v>
      </c>
      <c r="I80" s="13">
        <v>0</v>
      </c>
    </row>
    <row r="81" spans="1:21" ht="21.75" customHeight="1">
      <c r="A81" s="78"/>
      <c r="B81" s="76" t="s">
        <v>128</v>
      </c>
      <c r="C81" s="76"/>
      <c r="D81" s="76"/>
      <c r="E81" s="76"/>
      <c r="F81" s="76"/>
      <c r="G81" s="76"/>
      <c r="H81" s="76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20.25" customHeight="1">
      <c r="A82" s="30">
        <v>13</v>
      </c>
      <c r="B82" s="79" t="s">
        <v>129</v>
      </c>
      <c r="C82" s="17"/>
      <c r="D82" s="15"/>
      <c r="E82" s="101"/>
      <c r="F82" s="13">
        <v>1</v>
      </c>
      <c r="G82" s="13">
        <v>26896</v>
      </c>
      <c r="H82" s="98">
        <f>G82*F82/1000</f>
        <v>26.896000000000001</v>
      </c>
      <c r="I82" s="13">
        <f>G82</f>
        <v>26896</v>
      </c>
    </row>
    <row r="83" spans="1:21" ht="15.75" customHeight="1">
      <c r="A83" s="170" t="s">
        <v>145</v>
      </c>
      <c r="B83" s="171"/>
      <c r="C83" s="171"/>
      <c r="D83" s="171"/>
      <c r="E83" s="171"/>
      <c r="F83" s="171"/>
      <c r="G83" s="171"/>
      <c r="H83" s="171"/>
      <c r="I83" s="172"/>
    </row>
    <row r="84" spans="1:21" ht="15.75" customHeight="1">
      <c r="A84" s="30">
        <v>14</v>
      </c>
      <c r="B84" s="79" t="s">
        <v>133</v>
      </c>
      <c r="C84" s="17" t="s">
        <v>54</v>
      </c>
      <c r="D84" s="103" t="s">
        <v>55</v>
      </c>
      <c r="E84" s="13">
        <v>5836.1</v>
      </c>
      <c r="F84" s="13">
        <f>SUM(E84*12)</f>
        <v>70033.200000000012</v>
      </c>
      <c r="G84" s="13">
        <v>2.1</v>
      </c>
      <c r="H84" s="98">
        <f>SUM(F84*G84/1000)</f>
        <v>147.06972000000002</v>
      </c>
      <c r="I84" s="13">
        <f>F84/12*G84</f>
        <v>12255.810000000003</v>
      </c>
    </row>
    <row r="85" spans="1:21" ht="31.5" customHeight="1">
      <c r="A85" s="30">
        <v>15</v>
      </c>
      <c r="B85" s="15" t="s">
        <v>78</v>
      </c>
      <c r="C85" s="17"/>
      <c r="D85" s="103" t="s">
        <v>55</v>
      </c>
      <c r="E85" s="81">
        <v>5836.1</v>
      </c>
      <c r="F85" s="13">
        <f>E85*12</f>
        <v>70033.200000000012</v>
      </c>
      <c r="G85" s="13">
        <v>1.63</v>
      </c>
      <c r="H85" s="98">
        <f>F85*G85/1000</f>
        <v>114.15411600000002</v>
      </c>
      <c r="I85" s="13">
        <f>F85/12*G85</f>
        <v>9512.8430000000008</v>
      </c>
    </row>
    <row r="86" spans="1:21" ht="15.75" customHeight="1">
      <c r="A86" s="78"/>
      <c r="B86" s="39" t="s">
        <v>81</v>
      </c>
      <c r="C86" s="40"/>
      <c r="D86" s="16"/>
      <c r="E86" s="16"/>
      <c r="F86" s="16"/>
      <c r="G86" s="19"/>
      <c r="H86" s="19"/>
      <c r="I86" s="32">
        <f>I85+I84+I65+I62+I35+I34+I32+I31+I28+I27+I21+I20+I18+I17+I16+I82</f>
        <v>99606.116380555555</v>
      </c>
    </row>
    <row r="87" spans="1:21" ht="15.75" customHeight="1">
      <c r="A87" s="173" t="s">
        <v>60</v>
      </c>
      <c r="B87" s="174"/>
      <c r="C87" s="174"/>
      <c r="D87" s="174"/>
      <c r="E87" s="174"/>
      <c r="F87" s="174"/>
      <c r="G87" s="174"/>
      <c r="H87" s="174"/>
      <c r="I87" s="175"/>
    </row>
    <row r="88" spans="1:21" ht="15.75" customHeight="1">
      <c r="A88" s="30">
        <v>16</v>
      </c>
      <c r="B88" s="37" t="s">
        <v>187</v>
      </c>
      <c r="C88" s="38" t="s">
        <v>123</v>
      </c>
      <c r="D88" s="51"/>
      <c r="E88" s="13"/>
      <c r="F88" s="13">
        <f>(3+3+30+25+15+20+20+3+15+15+20+10+3)/3</f>
        <v>60.666666666666664</v>
      </c>
      <c r="G88" s="36">
        <v>8.44</v>
      </c>
      <c r="H88" s="98">
        <f t="shared" ref="H88" si="14">G88*F88/1000</f>
        <v>0.51202666666666663</v>
      </c>
      <c r="I88" s="13">
        <f>G88*2</f>
        <v>16.88</v>
      </c>
    </row>
    <row r="89" spans="1:21" ht="15.75" customHeight="1">
      <c r="A89" s="30">
        <v>17</v>
      </c>
      <c r="B89" s="37" t="s">
        <v>189</v>
      </c>
      <c r="C89" s="38" t="s">
        <v>123</v>
      </c>
      <c r="D89" s="51"/>
      <c r="E89" s="13"/>
      <c r="F89" s="13">
        <v>14</v>
      </c>
      <c r="G89" s="36">
        <v>5.43</v>
      </c>
      <c r="H89" s="98">
        <f>G89*F89/1000</f>
        <v>7.601999999999999E-2</v>
      </c>
      <c r="I89" s="13">
        <f>G89*1</f>
        <v>5.43</v>
      </c>
    </row>
    <row r="90" spans="1:21" ht="14.25" customHeight="1">
      <c r="A90" s="30">
        <v>18</v>
      </c>
      <c r="B90" s="37" t="s">
        <v>190</v>
      </c>
      <c r="C90" s="38" t="s">
        <v>123</v>
      </c>
      <c r="D90" s="51"/>
      <c r="E90" s="13"/>
      <c r="F90" s="13">
        <v>8</v>
      </c>
      <c r="G90" s="36">
        <v>151.31</v>
      </c>
      <c r="H90" s="98">
        <f>G90*F90/1000</f>
        <v>1.21048</v>
      </c>
      <c r="I90" s="13">
        <f>G90*3</f>
        <v>453.93</v>
      </c>
    </row>
    <row r="91" spans="1:21" ht="16.5" customHeight="1">
      <c r="A91" s="30">
        <v>19</v>
      </c>
      <c r="B91" s="37" t="s">
        <v>191</v>
      </c>
      <c r="C91" s="38" t="s">
        <v>123</v>
      </c>
      <c r="D91" s="117"/>
      <c r="E91" s="36"/>
      <c r="F91" s="36">
        <v>14</v>
      </c>
      <c r="G91" s="36">
        <v>169.24</v>
      </c>
      <c r="H91" s="102">
        <f t="shared" ref="H91:H93" si="15">G91*F91/1000</f>
        <v>2.3693599999999999</v>
      </c>
      <c r="I91" s="13">
        <f>G91*2</f>
        <v>338.48</v>
      </c>
    </row>
    <row r="92" spans="1:21" ht="15.75" customHeight="1">
      <c r="A92" s="30">
        <v>20</v>
      </c>
      <c r="B92" s="37" t="s">
        <v>240</v>
      </c>
      <c r="C92" s="38" t="s">
        <v>123</v>
      </c>
      <c r="D92" s="117"/>
      <c r="E92" s="36"/>
      <c r="F92" s="36">
        <v>3</v>
      </c>
      <c r="G92" s="36">
        <v>100.37</v>
      </c>
      <c r="H92" s="102">
        <f t="shared" si="15"/>
        <v>0.30110999999999999</v>
      </c>
      <c r="I92" s="13">
        <f>G92*4</f>
        <v>401.48</v>
      </c>
    </row>
    <row r="93" spans="1:21" ht="15.75" customHeight="1">
      <c r="A93" s="30">
        <v>21</v>
      </c>
      <c r="B93" s="37" t="s">
        <v>241</v>
      </c>
      <c r="C93" s="38" t="s">
        <v>123</v>
      </c>
      <c r="D93" s="37"/>
      <c r="E93" s="18"/>
      <c r="F93" s="36">
        <v>7</v>
      </c>
      <c r="G93" s="36">
        <v>8.75</v>
      </c>
      <c r="H93" s="102">
        <f t="shared" si="15"/>
        <v>6.1249999999999999E-2</v>
      </c>
      <c r="I93" s="13">
        <f>G93*1</f>
        <v>8.75</v>
      </c>
    </row>
    <row r="94" spans="1:21" ht="30" customHeight="1">
      <c r="A94" s="30">
        <v>22</v>
      </c>
      <c r="B94" s="37" t="s">
        <v>193</v>
      </c>
      <c r="C94" s="38" t="s">
        <v>172</v>
      </c>
      <c r="D94" s="51"/>
      <c r="E94" s="36"/>
      <c r="F94" s="36">
        <v>4</v>
      </c>
      <c r="G94" s="36">
        <v>1187</v>
      </c>
      <c r="H94" s="102">
        <f>G94*F94/1000</f>
        <v>4.7480000000000002</v>
      </c>
      <c r="I94" s="13">
        <f>G94*7</f>
        <v>8309</v>
      </c>
    </row>
    <row r="95" spans="1:21" ht="14.25" customHeight="1">
      <c r="A95" s="30">
        <v>23</v>
      </c>
      <c r="B95" s="37" t="s">
        <v>242</v>
      </c>
      <c r="C95" s="38" t="s">
        <v>243</v>
      </c>
      <c r="D95" s="117"/>
      <c r="E95" s="36"/>
      <c r="F95" s="36">
        <v>2</v>
      </c>
      <c r="G95" s="36">
        <v>157.79</v>
      </c>
      <c r="H95" s="102">
        <f t="shared" ref="H95" si="16">G95*F95/1000</f>
        <v>0.31557999999999997</v>
      </c>
      <c r="I95" s="13">
        <f>G95*1</f>
        <v>157.79</v>
      </c>
    </row>
    <row r="96" spans="1:21" ht="15.75" customHeight="1">
      <c r="A96" s="30">
        <v>24</v>
      </c>
      <c r="B96" s="37" t="s">
        <v>197</v>
      </c>
      <c r="C96" s="38" t="s">
        <v>123</v>
      </c>
      <c r="D96" s="51"/>
      <c r="E96" s="36"/>
      <c r="F96" s="36">
        <v>1</v>
      </c>
      <c r="G96" s="36">
        <v>89.92</v>
      </c>
      <c r="H96" s="102">
        <f>G96*F96/1000</f>
        <v>8.992E-2</v>
      </c>
      <c r="I96" s="13">
        <f>G96*6</f>
        <v>539.52</v>
      </c>
    </row>
    <row r="97" spans="1:9" ht="31.5" customHeight="1">
      <c r="A97" s="30">
        <v>25</v>
      </c>
      <c r="B97" s="37" t="s">
        <v>200</v>
      </c>
      <c r="C97" s="38" t="s">
        <v>172</v>
      </c>
      <c r="D97" s="117"/>
      <c r="E97" s="36"/>
      <c r="F97" s="36">
        <f>32/10</f>
        <v>3.2</v>
      </c>
      <c r="G97" s="36">
        <v>1272</v>
      </c>
      <c r="H97" s="98">
        <f t="shared" ref="H97:H100" si="17">G97*F97/1000</f>
        <v>4.0704000000000002</v>
      </c>
      <c r="I97" s="13">
        <f>G97*2.5</f>
        <v>3180</v>
      </c>
    </row>
    <row r="98" spans="1:9" ht="15" customHeight="1">
      <c r="A98" s="30">
        <v>26</v>
      </c>
      <c r="B98" s="55" t="s">
        <v>83</v>
      </c>
      <c r="C98" s="63" t="s">
        <v>123</v>
      </c>
      <c r="D98" s="117"/>
      <c r="E98" s="36"/>
      <c r="F98" s="36"/>
      <c r="G98" s="36">
        <v>197.48</v>
      </c>
      <c r="H98" s="98"/>
      <c r="I98" s="13">
        <f>G98*3</f>
        <v>592.43999999999994</v>
      </c>
    </row>
    <row r="99" spans="1:9" ht="16.5" customHeight="1">
      <c r="A99" s="30">
        <v>27</v>
      </c>
      <c r="B99" s="119" t="s">
        <v>205</v>
      </c>
      <c r="C99" s="116" t="s">
        <v>123</v>
      </c>
      <c r="D99" s="117"/>
      <c r="E99" s="36"/>
      <c r="F99" s="36"/>
      <c r="G99" s="36">
        <v>197.26</v>
      </c>
      <c r="H99" s="98"/>
      <c r="I99" s="13">
        <f>G99*1</f>
        <v>197.26</v>
      </c>
    </row>
    <row r="100" spans="1:9" ht="31.5" hidden="1" customHeight="1">
      <c r="A100" s="30">
        <v>25</v>
      </c>
      <c r="B100" s="55"/>
      <c r="C100" s="63"/>
      <c r="D100" s="51"/>
      <c r="E100" s="13"/>
      <c r="F100" s="13">
        <v>2</v>
      </c>
      <c r="G100" s="13"/>
      <c r="H100" s="98">
        <f t="shared" si="17"/>
        <v>0</v>
      </c>
      <c r="I100" s="13"/>
    </row>
    <row r="101" spans="1:9" ht="13.5" customHeight="1">
      <c r="A101" s="30">
        <v>28</v>
      </c>
      <c r="B101" s="115" t="s">
        <v>171</v>
      </c>
      <c r="C101" s="116" t="s">
        <v>172</v>
      </c>
      <c r="D101" s="51"/>
      <c r="E101" s="13"/>
      <c r="F101" s="13"/>
      <c r="G101" s="137">
        <v>134.12</v>
      </c>
      <c r="H101" s="98"/>
      <c r="I101" s="13">
        <f>G101*16</f>
        <v>2145.92</v>
      </c>
    </row>
    <row r="102" spans="1:9" ht="31.5" customHeight="1">
      <c r="A102" s="30">
        <v>29</v>
      </c>
      <c r="B102" s="55" t="s">
        <v>89</v>
      </c>
      <c r="C102" s="63" t="s">
        <v>92</v>
      </c>
      <c r="D102" s="51"/>
      <c r="E102" s="13"/>
      <c r="F102" s="13"/>
      <c r="G102" s="36">
        <v>613.44000000000005</v>
      </c>
      <c r="H102" s="98"/>
      <c r="I102" s="13">
        <f>G102*1</f>
        <v>613.44000000000005</v>
      </c>
    </row>
    <row r="103" spans="1:9" ht="16.5" customHeight="1">
      <c r="A103" s="30">
        <v>30</v>
      </c>
      <c r="B103" s="37" t="s">
        <v>198</v>
      </c>
      <c r="C103" s="38" t="s">
        <v>123</v>
      </c>
      <c r="D103" s="51"/>
      <c r="E103" s="13"/>
      <c r="F103" s="13"/>
      <c r="G103" s="36">
        <v>95.25</v>
      </c>
      <c r="H103" s="98"/>
      <c r="I103" s="13">
        <f>G103*2</f>
        <v>190.5</v>
      </c>
    </row>
    <row r="104" spans="1:9" ht="16.5" customHeight="1">
      <c r="A104" s="30">
        <v>31</v>
      </c>
      <c r="B104" s="115" t="s">
        <v>221</v>
      </c>
      <c r="C104" s="116" t="s">
        <v>166</v>
      </c>
      <c r="D104" s="51"/>
      <c r="E104" s="13"/>
      <c r="F104" s="13"/>
      <c r="G104" s="36">
        <v>203.68</v>
      </c>
      <c r="H104" s="98"/>
      <c r="I104" s="13">
        <f>G104*2</f>
        <v>407.36</v>
      </c>
    </row>
    <row r="105" spans="1:9" ht="16.5" customHeight="1">
      <c r="A105" s="30"/>
      <c r="B105" s="115" t="s">
        <v>279</v>
      </c>
      <c r="C105" s="116" t="s">
        <v>280</v>
      </c>
      <c r="D105" s="51"/>
      <c r="E105" s="13"/>
      <c r="F105" s="13"/>
      <c r="G105" s="36">
        <v>58310</v>
      </c>
      <c r="H105" s="98"/>
      <c r="I105" s="13">
        <f>G105*1</f>
        <v>58310</v>
      </c>
    </row>
    <row r="106" spans="1:9" ht="15.75" customHeight="1">
      <c r="A106" s="30"/>
      <c r="B106" s="45" t="s">
        <v>51</v>
      </c>
      <c r="C106" s="41"/>
      <c r="D106" s="53"/>
      <c r="E106" s="53"/>
      <c r="F106" s="41">
        <v>1</v>
      </c>
      <c r="G106" s="41"/>
      <c r="H106" s="41"/>
      <c r="I106" s="32">
        <f>SUM(I88:I105)</f>
        <v>75868.180000000008</v>
      </c>
    </row>
    <row r="107" spans="1:9" ht="15.75" customHeight="1">
      <c r="A107" s="30"/>
      <c r="B107" s="51" t="s">
        <v>79</v>
      </c>
      <c r="C107" s="16"/>
      <c r="D107" s="16"/>
      <c r="E107" s="16"/>
      <c r="F107" s="42"/>
      <c r="G107" s="43"/>
      <c r="H107" s="43"/>
      <c r="I107" s="18">
        <v>0</v>
      </c>
    </row>
    <row r="108" spans="1:9" ht="15.75" customHeight="1">
      <c r="A108" s="54"/>
      <c r="B108" s="46" t="s">
        <v>147</v>
      </c>
      <c r="C108" s="34"/>
      <c r="D108" s="34"/>
      <c r="E108" s="34"/>
      <c r="F108" s="34"/>
      <c r="G108" s="34"/>
      <c r="H108" s="34"/>
      <c r="I108" s="44">
        <f>I86+I106</f>
        <v>175474.29638055555</v>
      </c>
    </row>
    <row r="109" spans="1:9" ht="15.75" customHeight="1">
      <c r="A109" s="167" t="s">
        <v>281</v>
      </c>
      <c r="B109" s="167"/>
      <c r="C109" s="167"/>
      <c r="D109" s="167"/>
      <c r="E109" s="167"/>
      <c r="F109" s="167"/>
      <c r="G109" s="167"/>
      <c r="H109" s="167"/>
      <c r="I109" s="167"/>
    </row>
    <row r="110" spans="1:9" ht="15.75" customHeight="1">
      <c r="A110" s="70"/>
      <c r="B110" s="168" t="s">
        <v>282</v>
      </c>
      <c r="C110" s="168"/>
      <c r="D110" s="168"/>
      <c r="E110" s="168"/>
      <c r="F110" s="168"/>
      <c r="G110" s="168"/>
      <c r="H110" s="77"/>
      <c r="I110" s="3"/>
    </row>
    <row r="111" spans="1:9" ht="15.75" customHeight="1">
      <c r="A111" s="73"/>
      <c r="B111" s="166" t="s">
        <v>6</v>
      </c>
      <c r="C111" s="166"/>
      <c r="D111" s="166"/>
      <c r="E111" s="166"/>
      <c r="F111" s="166"/>
      <c r="G111" s="166"/>
      <c r="H111" s="25"/>
      <c r="I111" s="5"/>
    </row>
    <row r="112" spans="1:9" ht="15.75" customHeight="1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ht="15.75" customHeight="1">
      <c r="A113" s="169" t="s">
        <v>7</v>
      </c>
      <c r="B113" s="169"/>
      <c r="C113" s="169"/>
      <c r="D113" s="169"/>
      <c r="E113" s="169"/>
      <c r="F113" s="169"/>
      <c r="G113" s="169"/>
      <c r="H113" s="169"/>
      <c r="I113" s="169"/>
    </row>
    <row r="114" spans="1:9" ht="15.75" customHeight="1">
      <c r="A114" s="169" t="s">
        <v>8</v>
      </c>
      <c r="B114" s="169"/>
      <c r="C114" s="169"/>
      <c r="D114" s="169"/>
      <c r="E114" s="169"/>
      <c r="F114" s="169"/>
      <c r="G114" s="169"/>
      <c r="H114" s="169"/>
      <c r="I114" s="169"/>
    </row>
    <row r="115" spans="1:9" ht="15.75" customHeight="1">
      <c r="A115" s="163" t="s">
        <v>61</v>
      </c>
      <c r="B115" s="163"/>
      <c r="C115" s="163"/>
      <c r="D115" s="163"/>
      <c r="E115" s="163"/>
      <c r="F115" s="163"/>
      <c r="G115" s="163"/>
      <c r="H115" s="163"/>
      <c r="I115" s="163"/>
    </row>
    <row r="116" spans="1:9" ht="15.75" customHeight="1">
      <c r="A116" s="11"/>
    </row>
    <row r="117" spans="1:9" ht="15.75" customHeight="1">
      <c r="A117" s="164" t="s">
        <v>9</v>
      </c>
      <c r="B117" s="164"/>
      <c r="C117" s="164"/>
      <c r="D117" s="164"/>
      <c r="E117" s="164"/>
      <c r="F117" s="164"/>
      <c r="G117" s="164"/>
      <c r="H117" s="164"/>
      <c r="I117" s="164"/>
    </row>
    <row r="118" spans="1:9" ht="15.75" customHeight="1">
      <c r="A118" s="4"/>
    </row>
    <row r="119" spans="1:9" ht="15.75" customHeight="1">
      <c r="B119" s="74" t="s">
        <v>10</v>
      </c>
      <c r="C119" s="165" t="s">
        <v>90</v>
      </c>
      <c r="D119" s="165"/>
      <c r="E119" s="165"/>
      <c r="F119" s="165"/>
      <c r="I119" s="72"/>
    </row>
    <row r="120" spans="1:9" ht="15.75" customHeight="1">
      <c r="A120" s="73"/>
      <c r="C120" s="166" t="s">
        <v>11</v>
      </c>
      <c r="D120" s="166"/>
      <c r="E120" s="166"/>
      <c r="F120" s="166"/>
      <c r="I120" s="71" t="s">
        <v>12</v>
      </c>
    </row>
    <row r="121" spans="1:9" ht="15.75" customHeight="1">
      <c r="A121" s="26"/>
      <c r="C121" s="12"/>
      <c r="D121" s="12"/>
      <c r="E121" s="12"/>
      <c r="G121" s="12"/>
      <c r="H121" s="12"/>
    </row>
    <row r="122" spans="1:9" ht="15.75" customHeight="1">
      <c r="B122" s="74" t="s">
        <v>13</v>
      </c>
      <c r="C122" s="160"/>
      <c r="D122" s="160"/>
      <c r="E122" s="160"/>
      <c r="F122" s="160"/>
      <c r="I122" s="72"/>
    </row>
    <row r="123" spans="1:9" ht="15.75" customHeight="1">
      <c r="A123" s="73"/>
      <c r="C123" s="161" t="s">
        <v>11</v>
      </c>
      <c r="D123" s="161"/>
      <c r="E123" s="161"/>
      <c r="F123" s="161"/>
      <c r="I123" s="71" t="s">
        <v>12</v>
      </c>
    </row>
    <row r="124" spans="1:9" ht="15.75" customHeight="1">
      <c r="A124" s="4" t="s">
        <v>14</v>
      </c>
    </row>
    <row r="125" spans="1:9" ht="15.75" customHeight="1">
      <c r="A125" s="162" t="s">
        <v>15</v>
      </c>
      <c r="B125" s="162"/>
      <c r="C125" s="162"/>
      <c r="D125" s="162"/>
      <c r="E125" s="162"/>
      <c r="F125" s="162"/>
      <c r="G125" s="162"/>
      <c r="H125" s="162"/>
      <c r="I125" s="162"/>
    </row>
    <row r="126" spans="1:9" ht="45" customHeight="1">
      <c r="A126" s="159" t="s">
        <v>16</v>
      </c>
      <c r="B126" s="159"/>
      <c r="C126" s="159"/>
      <c r="D126" s="159"/>
      <c r="E126" s="159"/>
      <c r="F126" s="159"/>
      <c r="G126" s="159"/>
      <c r="H126" s="159"/>
      <c r="I126" s="159"/>
    </row>
    <row r="127" spans="1:9" ht="30" customHeight="1">
      <c r="A127" s="159" t="s">
        <v>17</v>
      </c>
      <c r="B127" s="159"/>
      <c r="C127" s="159"/>
      <c r="D127" s="159"/>
      <c r="E127" s="159"/>
      <c r="F127" s="159"/>
      <c r="G127" s="159"/>
      <c r="H127" s="159"/>
      <c r="I127" s="159"/>
    </row>
    <row r="128" spans="1:9" ht="30" customHeight="1">
      <c r="A128" s="159" t="s">
        <v>21</v>
      </c>
      <c r="B128" s="159"/>
      <c r="C128" s="159"/>
      <c r="D128" s="159"/>
      <c r="E128" s="159"/>
      <c r="F128" s="159"/>
      <c r="G128" s="159"/>
      <c r="H128" s="159"/>
      <c r="I128" s="159"/>
    </row>
    <row r="129" spans="1:9" ht="15" customHeight="1">
      <c r="A129" s="159" t="s">
        <v>20</v>
      </c>
      <c r="B129" s="159"/>
      <c r="C129" s="159"/>
      <c r="D129" s="159"/>
      <c r="E129" s="159"/>
      <c r="F129" s="159"/>
      <c r="G129" s="159"/>
      <c r="H129" s="159"/>
      <c r="I129" s="159"/>
    </row>
  </sheetData>
  <autoFilter ref="I12:I67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2:U72"/>
    <mergeCell ref="C123:F123"/>
    <mergeCell ref="A87:I87"/>
    <mergeCell ref="A109:I109"/>
    <mergeCell ref="B110:G110"/>
    <mergeCell ref="B111:G111"/>
    <mergeCell ref="A113:I113"/>
    <mergeCell ref="A114:I114"/>
    <mergeCell ref="A115:I115"/>
    <mergeCell ref="A117:I117"/>
    <mergeCell ref="C119:F119"/>
    <mergeCell ref="C120:F120"/>
    <mergeCell ref="C122:F122"/>
    <mergeCell ref="A83:I83"/>
    <mergeCell ref="A125:I125"/>
    <mergeCell ref="A126:I126"/>
    <mergeCell ref="A127:I127"/>
    <mergeCell ref="A128:I128"/>
    <mergeCell ref="A129:I12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22"/>
  <sheetViews>
    <sheetView topLeftCell="A83" workbookViewId="0">
      <selection activeCell="C62" sqref="C62:I6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0.28515625" hidden="1" customWidth="1"/>
    <col min="6" max="6" width="12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218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76" t="s">
        <v>165</v>
      </c>
      <c r="B3" s="176"/>
      <c r="C3" s="176"/>
      <c r="D3" s="176"/>
      <c r="E3" s="176"/>
      <c r="F3" s="176"/>
      <c r="G3" s="176"/>
      <c r="H3" s="176"/>
      <c r="I3" s="176"/>
      <c r="J3" s="3"/>
      <c r="K3" s="3"/>
      <c r="L3" s="3"/>
    </row>
    <row r="4" spans="1:13" ht="31.5" customHeight="1">
      <c r="A4" s="177" t="s">
        <v>134</v>
      </c>
      <c r="B4" s="177"/>
      <c r="C4" s="177"/>
      <c r="D4" s="177"/>
      <c r="E4" s="177"/>
      <c r="F4" s="177"/>
      <c r="G4" s="177"/>
      <c r="H4" s="177"/>
      <c r="I4" s="177"/>
    </row>
    <row r="5" spans="1:13" ht="15.75" customHeight="1">
      <c r="A5" s="176" t="s">
        <v>244</v>
      </c>
      <c r="B5" s="180"/>
      <c r="C5" s="180"/>
      <c r="D5" s="180"/>
      <c r="E5" s="180"/>
      <c r="F5" s="180"/>
      <c r="G5" s="180"/>
      <c r="H5" s="180"/>
      <c r="I5" s="180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1">
        <v>43373</v>
      </c>
      <c r="J6" s="2"/>
      <c r="K6" s="2"/>
      <c r="L6" s="2"/>
      <c r="M6" s="2"/>
    </row>
    <row r="7" spans="1:13" ht="15.75" customHeight="1">
      <c r="B7" s="74"/>
      <c r="C7" s="74"/>
      <c r="D7" s="74"/>
      <c r="E7" s="74"/>
      <c r="F7" s="3"/>
      <c r="G7" s="3"/>
      <c r="H7" s="3"/>
      <c r="J7" s="3"/>
      <c r="K7" s="3"/>
      <c r="L7" s="3"/>
      <c r="M7" s="3"/>
    </row>
    <row r="8" spans="1:13" ht="78.75" customHeight="1">
      <c r="A8" s="178" t="s">
        <v>220</v>
      </c>
      <c r="B8" s="178"/>
      <c r="C8" s="178"/>
      <c r="D8" s="178"/>
      <c r="E8" s="178"/>
      <c r="F8" s="178"/>
      <c r="G8" s="178"/>
      <c r="H8" s="178"/>
      <c r="I8" s="17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9" t="s">
        <v>143</v>
      </c>
      <c r="B10" s="179"/>
      <c r="C10" s="179"/>
      <c r="D10" s="179"/>
      <c r="E10" s="179"/>
      <c r="F10" s="179"/>
      <c r="G10" s="179"/>
      <c r="H10" s="179"/>
      <c r="I10" s="17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81" t="s">
        <v>59</v>
      </c>
      <c r="B14" s="181"/>
      <c r="C14" s="181"/>
      <c r="D14" s="181"/>
      <c r="E14" s="181"/>
      <c r="F14" s="181"/>
      <c r="G14" s="181"/>
      <c r="H14" s="181"/>
      <c r="I14" s="181"/>
      <c r="J14" s="8"/>
      <c r="K14" s="8"/>
      <c r="L14" s="8"/>
      <c r="M14" s="8"/>
    </row>
    <row r="15" spans="1:13" ht="15.75" customHeight="1">
      <c r="A15" s="182" t="s">
        <v>4</v>
      </c>
      <c r="B15" s="182"/>
      <c r="C15" s="182"/>
      <c r="D15" s="182"/>
      <c r="E15" s="182"/>
      <c r="F15" s="182"/>
      <c r="G15" s="182"/>
      <c r="H15" s="182"/>
      <c r="I15" s="182"/>
      <c r="J15" s="8"/>
      <c r="K15" s="8"/>
      <c r="L15" s="8"/>
      <c r="M15" s="8"/>
    </row>
    <row r="16" spans="1:13" ht="15.75" customHeight="1">
      <c r="A16" s="30">
        <v>1</v>
      </c>
      <c r="B16" s="79" t="s">
        <v>87</v>
      </c>
      <c r="C16" s="80" t="s">
        <v>104</v>
      </c>
      <c r="D16" s="79" t="s">
        <v>105</v>
      </c>
      <c r="E16" s="81">
        <v>164.38</v>
      </c>
      <c r="F16" s="82">
        <f>SUM(E16*156/100)</f>
        <v>256.43279999999999</v>
      </c>
      <c r="G16" s="82">
        <v>175.38</v>
      </c>
      <c r="H16" s="83">
        <f t="shared" ref="H16:H28" si="0">SUM(F16*G16/1000)</f>
        <v>44.973184463999999</v>
      </c>
      <c r="I16" s="13">
        <f>F16/12*G16</f>
        <v>3747.7653719999998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93</v>
      </c>
      <c r="C17" s="80" t="s">
        <v>104</v>
      </c>
      <c r="D17" s="79" t="s">
        <v>106</v>
      </c>
      <c r="E17" s="81">
        <v>657.52</v>
      </c>
      <c r="F17" s="82">
        <f>SUM(E17*104/100)</f>
        <v>683.82079999999996</v>
      </c>
      <c r="G17" s="82">
        <v>175.38</v>
      </c>
      <c r="H17" s="83">
        <f t="shared" si="0"/>
        <v>119.928491904</v>
      </c>
      <c r="I17" s="13">
        <f>F17/12*G17</f>
        <v>9994.0409919999984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94</v>
      </c>
      <c r="C18" s="80" t="s">
        <v>104</v>
      </c>
      <c r="D18" s="79" t="s">
        <v>107</v>
      </c>
      <c r="E18" s="81">
        <f>SUM(E16+E17)</f>
        <v>821.9</v>
      </c>
      <c r="F18" s="82">
        <f>SUM(E18*24/100)</f>
        <v>197.25599999999997</v>
      </c>
      <c r="G18" s="82">
        <v>504.5</v>
      </c>
      <c r="H18" s="83">
        <f t="shared" si="0"/>
        <v>99.515651999999989</v>
      </c>
      <c r="I18" s="13">
        <f>F18/12*G18</f>
        <v>8292.9709999999995</v>
      </c>
      <c r="J18" s="23"/>
      <c r="K18" s="8"/>
      <c r="L18" s="8"/>
      <c r="M18" s="8"/>
    </row>
    <row r="19" spans="1:13" ht="17.25" hidden="1" customHeight="1">
      <c r="A19" s="30">
        <v>4</v>
      </c>
      <c r="B19" s="79" t="s">
        <v>108</v>
      </c>
      <c r="C19" s="80" t="s">
        <v>109</v>
      </c>
      <c r="D19" s="79" t="s">
        <v>110</v>
      </c>
      <c r="E19" s="81">
        <v>51.2</v>
      </c>
      <c r="F19" s="82">
        <f>SUM(E19/10)</f>
        <v>5.12</v>
      </c>
      <c r="G19" s="82">
        <v>170.16</v>
      </c>
      <c r="H19" s="83">
        <f t="shared" si="0"/>
        <v>0.87121919999999997</v>
      </c>
      <c r="I19" s="13">
        <f>F19/2*G19</f>
        <v>435.6096</v>
      </c>
      <c r="J19" s="23"/>
      <c r="K19" s="8"/>
      <c r="L19" s="8"/>
      <c r="M19" s="8"/>
    </row>
    <row r="20" spans="1:13" ht="19.5" customHeight="1">
      <c r="A20" s="30">
        <v>4</v>
      </c>
      <c r="B20" s="79" t="s">
        <v>98</v>
      </c>
      <c r="C20" s="80" t="s">
        <v>104</v>
      </c>
      <c r="D20" s="79" t="s">
        <v>181</v>
      </c>
      <c r="E20" s="81">
        <v>58.4</v>
      </c>
      <c r="F20" s="136">
        <v>6.9</v>
      </c>
      <c r="G20" s="136">
        <v>193.55</v>
      </c>
      <c r="H20" s="83">
        <f t="shared" si="0"/>
        <v>1.3354950000000001</v>
      </c>
      <c r="I20" s="13">
        <f>F20*G20/12</f>
        <v>111.29125000000001</v>
      </c>
      <c r="J20" s="23"/>
      <c r="K20" s="8"/>
      <c r="L20" s="8"/>
      <c r="M20" s="8"/>
    </row>
    <row r="21" spans="1:13" ht="21" customHeight="1">
      <c r="A21" s="30">
        <v>5</v>
      </c>
      <c r="B21" s="79" t="s">
        <v>99</v>
      </c>
      <c r="C21" s="80" t="s">
        <v>104</v>
      </c>
      <c r="D21" s="79" t="s">
        <v>181</v>
      </c>
      <c r="E21" s="136">
        <v>1.61</v>
      </c>
      <c r="F21" s="136">
        <v>1.61</v>
      </c>
      <c r="G21" s="136">
        <v>191.98</v>
      </c>
      <c r="H21" s="83">
        <f t="shared" si="0"/>
        <v>0.30908780000000002</v>
      </c>
      <c r="I21" s="13">
        <f>F21*G21/12</f>
        <v>25.757316666666668</v>
      </c>
      <c r="J21" s="23"/>
      <c r="K21" s="8"/>
      <c r="L21" s="8"/>
      <c r="M21" s="8"/>
    </row>
    <row r="22" spans="1:13" ht="27" hidden="1" customHeight="1">
      <c r="A22" s="30">
        <v>7</v>
      </c>
      <c r="B22" s="79" t="s">
        <v>111</v>
      </c>
      <c r="C22" s="80" t="s">
        <v>52</v>
      </c>
      <c r="D22" s="79" t="s">
        <v>110</v>
      </c>
      <c r="E22" s="81">
        <v>1025.5999999999999</v>
      </c>
      <c r="F22" s="82">
        <f>SUM(E22/100)</f>
        <v>10.255999999999998</v>
      </c>
      <c r="G22" s="82">
        <v>269.26</v>
      </c>
      <c r="H22" s="83">
        <f t="shared" si="0"/>
        <v>2.7615305599999997</v>
      </c>
      <c r="I22" s="13">
        <f t="shared" ref="I22:I26" si="1">F22*G22</f>
        <v>2761.5305599999997</v>
      </c>
      <c r="J22" s="23"/>
      <c r="K22" s="8"/>
      <c r="L22" s="8"/>
      <c r="M22" s="8"/>
    </row>
    <row r="23" spans="1:13" ht="22.5" hidden="1" customHeight="1">
      <c r="A23" s="30">
        <v>8</v>
      </c>
      <c r="B23" s="79" t="s">
        <v>112</v>
      </c>
      <c r="C23" s="80" t="s">
        <v>52</v>
      </c>
      <c r="D23" s="79" t="s">
        <v>110</v>
      </c>
      <c r="E23" s="84">
        <v>60.5</v>
      </c>
      <c r="F23" s="82">
        <f>SUM(E23/100)</f>
        <v>0.60499999999999998</v>
      </c>
      <c r="G23" s="82">
        <v>44.29</v>
      </c>
      <c r="H23" s="83">
        <f t="shared" si="0"/>
        <v>2.6795449999999998E-2</v>
      </c>
      <c r="I23" s="13">
        <f t="shared" si="1"/>
        <v>26.795449999999999</v>
      </c>
      <c r="J23" s="23"/>
      <c r="K23" s="8"/>
      <c r="L23" s="8"/>
      <c r="M23" s="8"/>
    </row>
    <row r="24" spans="1:13" ht="24" hidden="1" customHeight="1">
      <c r="A24" s="30">
        <v>9</v>
      </c>
      <c r="B24" s="79" t="s">
        <v>102</v>
      </c>
      <c r="C24" s="80" t="s">
        <v>52</v>
      </c>
      <c r="D24" s="79" t="s">
        <v>53</v>
      </c>
      <c r="E24" s="85">
        <v>19.149999999999999</v>
      </c>
      <c r="F24" s="82">
        <f>E24/100</f>
        <v>0.19149999999999998</v>
      </c>
      <c r="G24" s="82">
        <v>389.42</v>
      </c>
      <c r="H24" s="83">
        <f>G24*F24/100</f>
        <v>0.74573929999999988</v>
      </c>
      <c r="I24" s="13">
        <f t="shared" si="1"/>
        <v>74.57392999999999</v>
      </c>
      <c r="J24" s="23"/>
      <c r="K24" s="8"/>
      <c r="L24" s="8"/>
      <c r="M24" s="8"/>
    </row>
    <row r="25" spans="1:13" ht="20.25" hidden="1" customHeight="1">
      <c r="A25" s="30">
        <v>10</v>
      </c>
      <c r="B25" s="79" t="s">
        <v>135</v>
      </c>
      <c r="C25" s="80" t="s">
        <v>52</v>
      </c>
      <c r="D25" s="79" t="s">
        <v>53</v>
      </c>
      <c r="E25" s="86">
        <v>31.5</v>
      </c>
      <c r="F25" s="82">
        <f>E25/100</f>
        <v>0.315</v>
      </c>
      <c r="G25" s="82">
        <v>216.12</v>
      </c>
      <c r="H25" s="83">
        <f>G25*F25/1000</f>
        <v>6.8077799999999994E-2</v>
      </c>
      <c r="I25" s="13">
        <f t="shared" si="1"/>
        <v>68.077799999999996</v>
      </c>
      <c r="J25" s="23"/>
      <c r="K25" s="8"/>
      <c r="L25" s="8"/>
      <c r="M25" s="8"/>
    </row>
    <row r="26" spans="1:13" ht="18" hidden="1" customHeight="1">
      <c r="A26" s="30">
        <v>11</v>
      </c>
      <c r="B26" s="79" t="s">
        <v>103</v>
      </c>
      <c r="C26" s="80" t="s">
        <v>52</v>
      </c>
      <c r="D26" s="79" t="s">
        <v>53</v>
      </c>
      <c r="E26" s="81">
        <v>37.5</v>
      </c>
      <c r="F26" s="82">
        <f>SUM(E26/100)</f>
        <v>0.375</v>
      </c>
      <c r="G26" s="82">
        <v>520.79999999999995</v>
      </c>
      <c r="H26" s="83">
        <f t="shared" si="0"/>
        <v>0.19529999999999997</v>
      </c>
      <c r="I26" s="13">
        <f t="shared" si="1"/>
        <v>195.29999999999998</v>
      </c>
      <c r="J26" s="23"/>
      <c r="K26" s="8"/>
      <c r="L26" s="8"/>
      <c r="M26" s="8"/>
    </row>
    <row r="27" spans="1:13" ht="15.75" customHeight="1">
      <c r="A27" s="30">
        <v>6</v>
      </c>
      <c r="B27" s="79" t="s">
        <v>64</v>
      </c>
      <c r="C27" s="80" t="s">
        <v>33</v>
      </c>
      <c r="D27" s="79"/>
      <c r="E27" s="81">
        <v>0.1</v>
      </c>
      <c r="F27" s="82">
        <f>SUM(E27*365)</f>
        <v>36.5</v>
      </c>
      <c r="G27" s="82">
        <v>147.03</v>
      </c>
      <c r="H27" s="83">
        <f t="shared" si="0"/>
        <v>5.3665950000000002</v>
      </c>
      <c r="I27" s="13">
        <f>F27/12*G27</f>
        <v>447.21625</v>
      </c>
      <c r="J27" s="23"/>
      <c r="K27" s="8"/>
      <c r="L27" s="8"/>
      <c r="M27" s="8"/>
    </row>
    <row r="28" spans="1:13" ht="15.75" customHeight="1">
      <c r="A28" s="30">
        <v>7</v>
      </c>
      <c r="B28" s="87" t="s">
        <v>23</v>
      </c>
      <c r="C28" s="80" t="s">
        <v>24</v>
      </c>
      <c r="D28" s="79"/>
      <c r="E28" s="81">
        <v>5836.1</v>
      </c>
      <c r="F28" s="82">
        <f>SUM(E28*12)</f>
        <v>70033.200000000012</v>
      </c>
      <c r="G28" s="82">
        <v>3.33</v>
      </c>
      <c r="H28" s="83">
        <f t="shared" si="0"/>
        <v>233.21055600000005</v>
      </c>
      <c r="I28" s="13">
        <f>F28/12*G28</f>
        <v>19434.213000000003</v>
      </c>
      <c r="J28" s="23"/>
      <c r="K28" s="8"/>
      <c r="L28" s="8"/>
      <c r="M28" s="8"/>
    </row>
    <row r="29" spans="1:13" ht="15.75" customHeight="1">
      <c r="A29" s="182" t="s">
        <v>85</v>
      </c>
      <c r="B29" s="182"/>
      <c r="C29" s="182"/>
      <c r="D29" s="182"/>
      <c r="E29" s="182"/>
      <c r="F29" s="182"/>
      <c r="G29" s="182"/>
      <c r="H29" s="182"/>
      <c r="I29" s="182"/>
      <c r="J29" s="23"/>
      <c r="K29" s="8"/>
      <c r="L29" s="8"/>
      <c r="M29" s="8"/>
    </row>
    <row r="30" spans="1:13" ht="15.75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9"/>
      <c r="J30" s="23"/>
      <c r="K30" s="8"/>
      <c r="L30" s="8"/>
      <c r="M30" s="8"/>
    </row>
    <row r="31" spans="1:13" ht="15.75" customHeight="1">
      <c r="A31" s="40">
        <v>8</v>
      </c>
      <c r="B31" s="79" t="s">
        <v>113</v>
      </c>
      <c r="C31" s="80" t="s">
        <v>114</v>
      </c>
      <c r="D31" s="79" t="s">
        <v>115</v>
      </c>
      <c r="E31" s="82">
        <v>659.5</v>
      </c>
      <c r="F31" s="82">
        <f>SUM(E31*52/1000)</f>
        <v>34.293999999999997</v>
      </c>
      <c r="G31" s="82">
        <v>155.88999999999999</v>
      </c>
      <c r="H31" s="83">
        <f t="shared" ref="H31:H33" si="2">SUM(F31*G31/1000)</f>
        <v>5.346091659999999</v>
      </c>
      <c r="I31" s="13">
        <f>F31/6*G31</f>
        <v>891.01527666666652</v>
      </c>
      <c r="J31" s="23"/>
      <c r="K31" s="8"/>
      <c r="L31" s="8"/>
      <c r="M31" s="8"/>
    </row>
    <row r="32" spans="1:13" ht="31.5" customHeight="1">
      <c r="A32" s="40">
        <v>9</v>
      </c>
      <c r="B32" s="79" t="s">
        <v>149</v>
      </c>
      <c r="C32" s="80" t="s">
        <v>114</v>
      </c>
      <c r="D32" s="79" t="s">
        <v>116</v>
      </c>
      <c r="E32" s="82">
        <v>567.9</v>
      </c>
      <c r="F32" s="82">
        <f>SUM(E32*78/1000)</f>
        <v>44.296199999999999</v>
      </c>
      <c r="G32" s="82">
        <v>258.63</v>
      </c>
      <c r="H32" s="83">
        <f t="shared" si="2"/>
        <v>11.456326206</v>
      </c>
      <c r="I32" s="13">
        <f t="shared" ref="I32:I35" si="3">F32/6*G32</f>
        <v>1909.3877009999999</v>
      </c>
      <c r="J32" s="23"/>
      <c r="K32" s="8"/>
      <c r="L32" s="8"/>
      <c r="M32" s="8"/>
    </row>
    <row r="33" spans="1:14" ht="15.75" hidden="1" customHeight="1">
      <c r="A33" s="40">
        <v>16</v>
      </c>
      <c r="B33" s="79" t="s">
        <v>27</v>
      </c>
      <c r="C33" s="80" t="s">
        <v>114</v>
      </c>
      <c r="D33" s="79" t="s">
        <v>53</v>
      </c>
      <c r="E33" s="82">
        <v>659.5</v>
      </c>
      <c r="F33" s="82">
        <f>SUM(E33/1000)</f>
        <v>0.65949999999999998</v>
      </c>
      <c r="G33" s="82">
        <v>3020.33</v>
      </c>
      <c r="H33" s="83">
        <f t="shared" si="2"/>
        <v>1.9919076349999998</v>
      </c>
      <c r="I33" s="13">
        <f>F33*G33</f>
        <v>1991.9076349999998</v>
      </c>
      <c r="J33" s="23"/>
      <c r="K33" s="8"/>
      <c r="L33" s="8"/>
      <c r="M33" s="8"/>
    </row>
    <row r="34" spans="1:14" ht="15.75" customHeight="1">
      <c r="A34" s="40">
        <v>10</v>
      </c>
      <c r="B34" s="79" t="s">
        <v>136</v>
      </c>
      <c r="C34" s="80" t="s">
        <v>39</v>
      </c>
      <c r="D34" s="79" t="s">
        <v>148</v>
      </c>
      <c r="E34" s="82">
        <v>8</v>
      </c>
      <c r="F34" s="82">
        <v>12.4</v>
      </c>
      <c r="G34" s="82">
        <v>1302.02</v>
      </c>
      <c r="H34" s="83">
        <v>16.145</v>
      </c>
      <c r="I34" s="13">
        <f t="shared" si="3"/>
        <v>2690.8413333333338</v>
      </c>
      <c r="J34" s="23"/>
      <c r="K34" s="8"/>
      <c r="L34" s="8"/>
      <c r="M34" s="8"/>
    </row>
    <row r="35" spans="1:14" ht="15.75" customHeight="1">
      <c r="A35" s="40">
        <v>11</v>
      </c>
      <c r="B35" s="79" t="s">
        <v>117</v>
      </c>
      <c r="C35" s="80" t="s">
        <v>30</v>
      </c>
      <c r="D35" s="79" t="s">
        <v>63</v>
      </c>
      <c r="E35" s="88">
        <v>0.33</v>
      </c>
      <c r="F35" s="82">
        <v>51.666666666666664</v>
      </c>
      <c r="G35" s="82">
        <v>56.69</v>
      </c>
      <c r="H35" s="83">
        <f>SUM(G35*155/3/1000)</f>
        <v>2.9289833333333331</v>
      </c>
      <c r="I35" s="13">
        <f t="shared" si="3"/>
        <v>488.16388888888883</v>
      </c>
      <c r="J35" s="23"/>
      <c r="K35" s="8"/>
    </row>
    <row r="36" spans="1:14" ht="15.75" hidden="1" customHeight="1">
      <c r="A36" s="40">
        <v>4</v>
      </c>
      <c r="B36" s="79" t="s">
        <v>65</v>
      </c>
      <c r="C36" s="80" t="s">
        <v>33</v>
      </c>
      <c r="D36" s="79" t="s">
        <v>67</v>
      </c>
      <c r="E36" s="81"/>
      <c r="F36" s="82">
        <v>4</v>
      </c>
      <c r="G36" s="82">
        <v>191.32</v>
      </c>
      <c r="H36" s="83">
        <f t="shared" ref="H36:H37" si="4">SUM(F36*G36/1000)</f>
        <v>0.76527999999999996</v>
      </c>
      <c r="I36" s="13">
        <v>0</v>
      </c>
      <c r="J36" s="24"/>
    </row>
    <row r="37" spans="1:14" ht="15.75" hidden="1" customHeight="1">
      <c r="A37" s="30">
        <v>8</v>
      </c>
      <c r="B37" s="79" t="s">
        <v>66</v>
      </c>
      <c r="C37" s="80" t="s">
        <v>32</v>
      </c>
      <c r="D37" s="79" t="s">
        <v>67</v>
      </c>
      <c r="E37" s="81"/>
      <c r="F37" s="82">
        <v>3</v>
      </c>
      <c r="G37" s="82">
        <v>1136.32</v>
      </c>
      <c r="H37" s="83">
        <f t="shared" si="4"/>
        <v>3.40896</v>
      </c>
      <c r="I37" s="13">
        <v>0</v>
      </c>
      <c r="J37" s="24"/>
    </row>
    <row r="38" spans="1:14" ht="15.75" hidden="1" customHeight="1">
      <c r="A38" s="40"/>
      <c r="B38" s="48" t="s">
        <v>5</v>
      </c>
      <c r="C38" s="48"/>
      <c r="D38" s="48"/>
      <c r="E38" s="48"/>
      <c r="F38" s="13"/>
      <c r="G38" s="14"/>
      <c r="H38" s="14"/>
      <c r="I38" s="19"/>
      <c r="J38" s="24"/>
    </row>
    <row r="39" spans="1:14" ht="15.75" hidden="1" customHeight="1">
      <c r="A39" s="33">
        <v>6</v>
      </c>
      <c r="B39" s="79" t="s">
        <v>26</v>
      </c>
      <c r="C39" s="80" t="s">
        <v>32</v>
      </c>
      <c r="D39" s="79"/>
      <c r="E39" s="81"/>
      <c r="F39" s="82">
        <v>10</v>
      </c>
      <c r="G39" s="82">
        <v>1527.22</v>
      </c>
      <c r="H39" s="83">
        <f t="shared" ref="H39:H45" si="5">SUM(F39*G39/1000)</f>
        <v>15.272200000000002</v>
      </c>
      <c r="I39" s="13">
        <f>F39/6*G39</f>
        <v>2545.3666666666668</v>
      </c>
      <c r="J39" s="24"/>
    </row>
    <row r="40" spans="1:14" ht="15.75" hidden="1" customHeight="1">
      <c r="A40" s="33">
        <v>7</v>
      </c>
      <c r="B40" s="79" t="s">
        <v>68</v>
      </c>
      <c r="C40" s="80" t="s">
        <v>29</v>
      </c>
      <c r="D40" s="79" t="s">
        <v>137</v>
      </c>
      <c r="E40" s="82">
        <v>567.9</v>
      </c>
      <c r="F40" s="82">
        <f>SUM(E40*50/1000)</f>
        <v>28.395</v>
      </c>
      <c r="G40" s="82">
        <v>2102.71</v>
      </c>
      <c r="H40" s="83">
        <f t="shared" si="5"/>
        <v>59.706450449999998</v>
      </c>
      <c r="I40" s="13">
        <f>F40/6*G40</f>
        <v>9951.0750750000007</v>
      </c>
      <c r="J40" s="24"/>
    </row>
    <row r="41" spans="1:14" ht="15.75" hidden="1" customHeight="1">
      <c r="A41" s="33">
        <v>8</v>
      </c>
      <c r="B41" s="79" t="s">
        <v>95</v>
      </c>
      <c r="C41" s="80" t="s">
        <v>150</v>
      </c>
      <c r="D41" s="79" t="s">
        <v>67</v>
      </c>
      <c r="E41" s="81"/>
      <c r="F41" s="82">
        <v>66</v>
      </c>
      <c r="G41" s="82">
        <v>213.2</v>
      </c>
      <c r="H41" s="83">
        <f t="shared" si="5"/>
        <v>14.071199999999999</v>
      </c>
      <c r="I41" s="13">
        <v>0</v>
      </c>
      <c r="J41" s="24"/>
    </row>
    <row r="42" spans="1:14" ht="15.75" hidden="1" customHeight="1">
      <c r="A42" s="33">
        <v>8</v>
      </c>
      <c r="B42" s="79" t="s">
        <v>69</v>
      </c>
      <c r="C42" s="80" t="s">
        <v>29</v>
      </c>
      <c r="D42" s="79" t="s">
        <v>118</v>
      </c>
      <c r="E42" s="82">
        <v>108</v>
      </c>
      <c r="F42" s="82">
        <f>SUM(E42*155/1000)</f>
        <v>16.739999999999998</v>
      </c>
      <c r="G42" s="82">
        <v>350.75</v>
      </c>
      <c r="H42" s="83">
        <f t="shared" si="5"/>
        <v>5.871554999999999</v>
      </c>
      <c r="I42" s="13">
        <f>F42/6*G42</f>
        <v>978.59249999999986</v>
      </c>
      <c r="J42" s="24"/>
    </row>
    <row r="43" spans="1:14" ht="47.25" hidden="1" customHeight="1">
      <c r="A43" s="33">
        <v>9</v>
      </c>
      <c r="B43" s="79" t="s">
        <v>84</v>
      </c>
      <c r="C43" s="80" t="s">
        <v>114</v>
      </c>
      <c r="D43" s="79" t="s">
        <v>138</v>
      </c>
      <c r="E43" s="82">
        <v>108</v>
      </c>
      <c r="F43" s="82">
        <f>SUM(E43*20/1000)</f>
        <v>2.16</v>
      </c>
      <c r="G43" s="82">
        <v>5803.28</v>
      </c>
      <c r="H43" s="83">
        <f t="shared" si="5"/>
        <v>12.5350848</v>
      </c>
      <c r="I43" s="13">
        <f>F43/6*G43</f>
        <v>2089.1808000000001</v>
      </c>
      <c r="J43" s="24"/>
    </row>
    <row r="44" spans="1:14" ht="15.75" hidden="1" customHeight="1">
      <c r="A44" s="33">
        <v>10</v>
      </c>
      <c r="B44" s="79" t="s">
        <v>119</v>
      </c>
      <c r="C44" s="80" t="s">
        <v>114</v>
      </c>
      <c r="D44" s="79" t="s">
        <v>70</v>
      </c>
      <c r="E44" s="82">
        <v>108</v>
      </c>
      <c r="F44" s="82">
        <f>SUM(E44*45/1000)</f>
        <v>4.8600000000000003</v>
      </c>
      <c r="G44" s="82">
        <v>428.7</v>
      </c>
      <c r="H44" s="83">
        <f t="shared" si="5"/>
        <v>2.0834820000000001</v>
      </c>
      <c r="I44" s="13">
        <f>F44/6*G44</f>
        <v>347.24700000000001</v>
      </c>
      <c r="J44" s="24"/>
      <c r="L44" s="20"/>
      <c r="M44" s="21"/>
      <c r="N44" s="22"/>
    </row>
    <row r="45" spans="1:14" ht="15.75" hidden="1" customHeight="1">
      <c r="A45" s="33">
        <v>11</v>
      </c>
      <c r="B45" s="79" t="s">
        <v>71</v>
      </c>
      <c r="C45" s="80" t="s">
        <v>33</v>
      </c>
      <c r="D45" s="79"/>
      <c r="E45" s="81"/>
      <c r="F45" s="82">
        <v>0.9</v>
      </c>
      <c r="G45" s="82">
        <v>798</v>
      </c>
      <c r="H45" s="83">
        <f t="shared" si="5"/>
        <v>0.71820000000000006</v>
      </c>
      <c r="I45" s="13">
        <f>F45/6*G45</f>
        <v>119.69999999999999</v>
      </c>
      <c r="J45" s="24"/>
      <c r="L45" s="20"/>
      <c r="M45" s="21"/>
      <c r="N45" s="22"/>
    </row>
    <row r="46" spans="1:14" ht="15.75" customHeight="1">
      <c r="A46" s="183" t="s">
        <v>144</v>
      </c>
      <c r="B46" s="184"/>
      <c r="C46" s="184"/>
      <c r="D46" s="184"/>
      <c r="E46" s="184"/>
      <c r="F46" s="184"/>
      <c r="G46" s="184"/>
      <c r="H46" s="184"/>
      <c r="I46" s="185"/>
      <c r="J46" s="24"/>
      <c r="L46" s="20"/>
      <c r="M46" s="21"/>
      <c r="N46" s="22"/>
    </row>
    <row r="47" spans="1:14" ht="15.75" customHeight="1">
      <c r="A47" s="40">
        <v>12</v>
      </c>
      <c r="B47" s="79" t="s">
        <v>120</v>
      </c>
      <c r="C47" s="80" t="s">
        <v>114</v>
      </c>
      <c r="D47" s="79" t="s">
        <v>41</v>
      </c>
      <c r="E47" s="81">
        <v>1571.3</v>
      </c>
      <c r="F47" s="82">
        <f>SUM(E47*2/1000)</f>
        <v>3.1425999999999998</v>
      </c>
      <c r="G47" s="13">
        <v>849.49</v>
      </c>
      <c r="H47" s="83">
        <f t="shared" ref="H47:H55" si="6">SUM(F47*G47/1000)</f>
        <v>2.6696072740000001</v>
      </c>
      <c r="I47" s="13">
        <f t="shared" ref="I47:I49" si="7">F47/2*G47</f>
        <v>1334.803637</v>
      </c>
      <c r="J47" s="24"/>
      <c r="L47" s="20"/>
      <c r="M47" s="21"/>
      <c r="N47" s="22"/>
    </row>
    <row r="48" spans="1:14" ht="15.75" customHeight="1">
      <c r="A48" s="40">
        <v>13</v>
      </c>
      <c r="B48" s="79" t="s">
        <v>34</v>
      </c>
      <c r="C48" s="80" t="s">
        <v>114</v>
      </c>
      <c r="D48" s="79" t="s">
        <v>41</v>
      </c>
      <c r="E48" s="81">
        <v>92.8</v>
      </c>
      <c r="F48" s="82">
        <f>SUM(E48*2/1000)</f>
        <v>0.18559999999999999</v>
      </c>
      <c r="G48" s="13">
        <v>579.48</v>
      </c>
      <c r="H48" s="83">
        <f t="shared" si="6"/>
        <v>0.10755148799999999</v>
      </c>
      <c r="I48" s="13">
        <f t="shared" si="7"/>
        <v>53.775743999999996</v>
      </c>
      <c r="J48" s="24"/>
      <c r="L48" s="20"/>
      <c r="M48" s="21"/>
      <c r="N48" s="22"/>
    </row>
    <row r="49" spans="1:14" ht="15.75" customHeight="1">
      <c r="A49" s="40">
        <v>14</v>
      </c>
      <c r="B49" s="79" t="s">
        <v>35</v>
      </c>
      <c r="C49" s="80" t="s">
        <v>114</v>
      </c>
      <c r="D49" s="79" t="s">
        <v>41</v>
      </c>
      <c r="E49" s="81">
        <v>4737.7</v>
      </c>
      <c r="F49" s="82">
        <f>SUM(E49*2/1000)</f>
        <v>9.4754000000000005</v>
      </c>
      <c r="G49" s="13">
        <v>579.48</v>
      </c>
      <c r="H49" s="83">
        <f t="shared" si="6"/>
        <v>5.4908047920000005</v>
      </c>
      <c r="I49" s="13">
        <f t="shared" si="7"/>
        <v>2745.4023960000004</v>
      </c>
      <c r="J49" s="24"/>
      <c r="L49" s="20"/>
      <c r="M49" s="21"/>
      <c r="N49" s="22"/>
    </row>
    <row r="50" spans="1:14" ht="15.75" customHeight="1">
      <c r="A50" s="40">
        <v>15</v>
      </c>
      <c r="B50" s="79" t="s">
        <v>36</v>
      </c>
      <c r="C50" s="80" t="s">
        <v>114</v>
      </c>
      <c r="D50" s="79" t="s">
        <v>41</v>
      </c>
      <c r="E50" s="81">
        <v>2811.99</v>
      </c>
      <c r="F50" s="82">
        <f>SUM(E50*2/1000)</f>
        <v>5.6239799999999995</v>
      </c>
      <c r="G50" s="13">
        <v>606.77</v>
      </c>
      <c r="H50" s="83">
        <f t="shared" si="6"/>
        <v>3.4124623445999998</v>
      </c>
      <c r="I50" s="13">
        <f>F50/2*G50</f>
        <v>1706.2311722999998</v>
      </c>
      <c r="J50" s="24"/>
      <c r="L50" s="20"/>
      <c r="M50" s="21"/>
      <c r="N50" s="22"/>
    </row>
    <row r="51" spans="1:14" ht="15.75" customHeight="1">
      <c r="A51" s="40">
        <v>16</v>
      </c>
      <c r="B51" s="79" t="s">
        <v>56</v>
      </c>
      <c r="C51" s="80" t="s">
        <v>114</v>
      </c>
      <c r="D51" s="79" t="s">
        <v>151</v>
      </c>
      <c r="E51" s="81">
        <v>1571.3</v>
      </c>
      <c r="F51" s="82">
        <f>SUM(E51*5/1000)</f>
        <v>7.8564999999999996</v>
      </c>
      <c r="G51" s="13">
        <v>1213.55</v>
      </c>
      <c r="H51" s="83">
        <f t="shared" si="6"/>
        <v>9.5342555749999995</v>
      </c>
      <c r="I51" s="13">
        <f>F51/5*G51</f>
        <v>1906.8511149999999</v>
      </c>
      <c r="J51" s="24"/>
      <c r="L51" s="20"/>
      <c r="M51" s="21"/>
      <c r="N51" s="22"/>
    </row>
    <row r="52" spans="1:14" ht="31.5" hidden="1" customHeight="1">
      <c r="A52" s="40">
        <v>12</v>
      </c>
      <c r="B52" s="79" t="s">
        <v>121</v>
      </c>
      <c r="C52" s="80" t="s">
        <v>114</v>
      </c>
      <c r="D52" s="79" t="s">
        <v>41</v>
      </c>
      <c r="E52" s="81">
        <v>1571.3</v>
      </c>
      <c r="F52" s="82">
        <f>SUM(E52*2/1000)</f>
        <v>3.1425999999999998</v>
      </c>
      <c r="G52" s="13">
        <v>1213.55</v>
      </c>
      <c r="H52" s="83">
        <f t="shared" si="6"/>
        <v>3.8137022300000001</v>
      </c>
      <c r="I52" s="13">
        <f t="shared" ref="I52:I53" si="8">F52/2*G52</f>
        <v>1906.8511149999999</v>
      </c>
      <c r="J52" s="24"/>
      <c r="L52" s="20"/>
      <c r="M52" s="21"/>
      <c r="N52" s="22"/>
    </row>
    <row r="53" spans="1:14" ht="31.5" hidden="1" customHeight="1">
      <c r="A53" s="40">
        <v>13</v>
      </c>
      <c r="B53" s="79" t="s">
        <v>122</v>
      </c>
      <c r="C53" s="80" t="s">
        <v>37</v>
      </c>
      <c r="D53" s="79" t="s">
        <v>41</v>
      </c>
      <c r="E53" s="81">
        <v>40</v>
      </c>
      <c r="F53" s="82">
        <f>SUM(E53*2/100)</f>
        <v>0.8</v>
      </c>
      <c r="G53" s="13">
        <v>2730.49</v>
      </c>
      <c r="H53" s="83">
        <f t="shared" si="6"/>
        <v>2.1843919999999999</v>
      </c>
      <c r="I53" s="13">
        <f t="shared" si="8"/>
        <v>1092.1959999999999</v>
      </c>
      <c r="J53" s="24"/>
      <c r="L53" s="20"/>
      <c r="M53" s="21"/>
      <c r="N53" s="22"/>
    </row>
    <row r="54" spans="1:14" ht="15.75" hidden="1" customHeight="1">
      <c r="A54" s="40">
        <v>12</v>
      </c>
      <c r="B54" s="79" t="s">
        <v>38</v>
      </c>
      <c r="C54" s="80" t="s">
        <v>39</v>
      </c>
      <c r="D54" s="79" t="s">
        <v>41</v>
      </c>
      <c r="E54" s="81">
        <v>1</v>
      </c>
      <c r="F54" s="82">
        <v>0.02</v>
      </c>
      <c r="G54" s="13">
        <v>5652.13</v>
      </c>
      <c r="H54" s="83">
        <f t="shared" si="6"/>
        <v>0.11304260000000001</v>
      </c>
      <c r="I54" s="13">
        <f>F54/2*G54</f>
        <v>56.521300000000004</v>
      </c>
      <c r="J54" s="24"/>
      <c r="L54" s="20"/>
      <c r="M54" s="21"/>
      <c r="N54" s="22"/>
    </row>
    <row r="55" spans="1:14" ht="15.75" hidden="1" customHeight="1">
      <c r="A55" s="40">
        <v>10</v>
      </c>
      <c r="B55" s="79" t="s">
        <v>40</v>
      </c>
      <c r="C55" s="80" t="s">
        <v>123</v>
      </c>
      <c r="D55" s="79" t="s">
        <v>72</v>
      </c>
      <c r="E55" s="81">
        <v>238</v>
      </c>
      <c r="F55" s="82">
        <f>SUM(E55)*3</f>
        <v>714</v>
      </c>
      <c r="G55" s="13">
        <v>65.67</v>
      </c>
      <c r="H55" s="83">
        <f t="shared" si="6"/>
        <v>46.888380000000005</v>
      </c>
      <c r="I55" s="13">
        <f>E55*G55</f>
        <v>15629.460000000001</v>
      </c>
      <c r="J55" s="24"/>
      <c r="L55" s="20"/>
      <c r="M55" s="21"/>
      <c r="N55" s="22"/>
    </row>
    <row r="56" spans="1:14" ht="15.75" customHeight="1">
      <c r="A56" s="170" t="s">
        <v>145</v>
      </c>
      <c r="B56" s="171"/>
      <c r="C56" s="171"/>
      <c r="D56" s="171"/>
      <c r="E56" s="171"/>
      <c r="F56" s="171"/>
      <c r="G56" s="171"/>
      <c r="H56" s="171"/>
      <c r="I56" s="172"/>
      <c r="J56" s="24"/>
      <c r="L56" s="20"/>
      <c r="M56" s="21"/>
      <c r="N56" s="22"/>
    </row>
    <row r="57" spans="1:14" ht="15.75" hidden="1" customHeight="1">
      <c r="A57" s="78"/>
      <c r="B57" s="47" t="s">
        <v>42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hidden="1" customHeight="1">
      <c r="A58" s="40">
        <v>14</v>
      </c>
      <c r="B58" s="79" t="s">
        <v>139</v>
      </c>
      <c r="C58" s="80" t="s">
        <v>104</v>
      </c>
      <c r="D58" s="79" t="s">
        <v>124</v>
      </c>
      <c r="E58" s="81">
        <v>48</v>
      </c>
      <c r="F58" s="82">
        <f>E58*6/100</f>
        <v>2.88</v>
      </c>
      <c r="G58" s="89">
        <v>1547.28</v>
      </c>
      <c r="H58" s="83">
        <f>F58*G58/1000</f>
        <v>4.4561663999999999</v>
      </c>
      <c r="I58" s="13">
        <f>F58/6*G58</f>
        <v>742.69439999999997</v>
      </c>
      <c r="J58" s="24"/>
      <c r="L58" s="20"/>
      <c r="M58" s="21"/>
      <c r="N58" s="22"/>
    </row>
    <row r="59" spans="1:14" ht="15.75" hidden="1" customHeight="1">
      <c r="A59" s="40">
        <v>15</v>
      </c>
      <c r="B59" s="90" t="s">
        <v>96</v>
      </c>
      <c r="C59" s="91" t="s">
        <v>104</v>
      </c>
      <c r="D59" s="90" t="s">
        <v>140</v>
      </c>
      <c r="E59" s="92">
        <v>56</v>
      </c>
      <c r="F59" s="93">
        <f>E59*4/100</f>
        <v>2.2400000000000002</v>
      </c>
      <c r="G59" s="89">
        <v>1547.28</v>
      </c>
      <c r="H59" s="94">
        <f>F59*G59/1000</f>
        <v>3.4659072000000002</v>
      </c>
      <c r="I59" s="13">
        <f>F59/6*G59</f>
        <v>577.65120000000002</v>
      </c>
      <c r="J59" s="24"/>
      <c r="L59" s="20"/>
      <c r="M59" s="21"/>
      <c r="N59" s="22"/>
    </row>
    <row r="60" spans="1:14" ht="15.75" hidden="1" customHeight="1">
      <c r="A60" s="40">
        <v>15</v>
      </c>
      <c r="B60" s="90" t="s">
        <v>100</v>
      </c>
      <c r="C60" s="91" t="s">
        <v>101</v>
      </c>
      <c r="D60" s="90" t="s">
        <v>41</v>
      </c>
      <c r="E60" s="92">
        <v>8</v>
      </c>
      <c r="F60" s="93">
        <v>16</v>
      </c>
      <c r="G60" s="95">
        <v>180.78</v>
      </c>
      <c r="H60" s="94">
        <f>F60*G60/1000</f>
        <v>2.8924799999999999</v>
      </c>
      <c r="I60" s="13">
        <f>F60/2*G60</f>
        <v>1446.24</v>
      </c>
      <c r="J60" s="24"/>
      <c r="L60" s="20"/>
      <c r="M60" s="21"/>
      <c r="N60" s="22"/>
    </row>
    <row r="61" spans="1:14" ht="15.75" customHeight="1">
      <c r="A61" s="40"/>
      <c r="B61" s="76" t="s">
        <v>43</v>
      </c>
      <c r="C61" s="76"/>
      <c r="D61" s="76"/>
      <c r="E61" s="76"/>
      <c r="F61" s="76"/>
      <c r="G61" s="76"/>
      <c r="H61" s="76"/>
      <c r="I61" s="35"/>
      <c r="J61" s="24"/>
      <c r="L61" s="20"/>
      <c r="M61" s="21"/>
      <c r="N61" s="22"/>
    </row>
    <row r="62" spans="1:14" ht="15.75" customHeight="1">
      <c r="A62" s="40">
        <v>17</v>
      </c>
      <c r="B62" s="90" t="s">
        <v>97</v>
      </c>
      <c r="C62" s="91" t="s">
        <v>25</v>
      </c>
      <c r="D62" s="90" t="s">
        <v>152</v>
      </c>
      <c r="E62" s="92">
        <v>331.5</v>
      </c>
      <c r="F62" s="93">
        <v>2400</v>
      </c>
      <c r="G62" s="96">
        <v>1.2</v>
      </c>
      <c r="H62" s="94">
        <f>G62*F62/1000</f>
        <v>2.88</v>
      </c>
      <c r="I62" s="13">
        <f>F62/12*G62</f>
        <v>240</v>
      </c>
      <c r="J62" s="24"/>
      <c r="L62" s="20"/>
      <c r="M62" s="21"/>
      <c r="N62" s="22"/>
    </row>
    <row r="63" spans="1:14" ht="15.75" hidden="1" customHeight="1">
      <c r="A63" s="40">
        <v>14</v>
      </c>
      <c r="B63" s="90" t="s">
        <v>44</v>
      </c>
      <c r="C63" s="91" t="s">
        <v>25</v>
      </c>
      <c r="D63" s="90" t="s">
        <v>53</v>
      </c>
      <c r="E63" s="92">
        <v>1571.3</v>
      </c>
      <c r="F63" s="93">
        <f>E63/100</f>
        <v>15.712999999999999</v>
      </c>
      <c r="G63" s="97">
        <v>793.61</v>
      </c>
      <c r="H63" s="94">
        <f>G63*F63/1000</f>
        <v>12.469993929999999</v>
      </c>
      <c r="I63" s="13">
        <v>0</v>
      </c>
      <c r="J63" s="24"/>
      <c r="L63" s="20"/>
      <c r="M63" s="21"/>
      <c r="N63" s="22"/>
    </row>
    <row r="64" spans="1:14" ht="15.75" customHeight="1">
      <c r="A64" s="40"/>
      <c r="B64" s="76" t="s">
        <v>45</v>
      </c>
      <c r="C64" s="17"/>
      <c r="D64" s="37"/>
      <c r="E64" s="37"/>
      <c r="F64" s="16"/>
      <c r="G64" s="30"/>
      <c r="H64" s="30"/>
      <c r="I64" s="19"/>
      <c r="J64" s="24"/>
      <c r="L64" s="20"/>
      <c r="M64" s="21"/>
      <c r="N64" s="22"/>
    </row>
    <row r="65" spans="1:22" ht="15.75" customHeight="1">
      <c r="A65" s="40">
        <v>18</v>
      </c>
      <c r="B65" s="15" t="s">
        <v>46</v>
      </c>
      <c r="C65" s="17" t="s">
        <v>123</v>
      </c>
      <c r="D65" s="15" t="s">
        <v>67</v>
      </c>
      <c r="E65" s="19">
        <v>35</v>
      </c>
      <c r="F65" s="82">
        <v>35</v>
      </c>
      <c r="G65" s="13">
        <v>222.4</v>
      </c>
      <c r="H65" s="98">
        <f t="shared" ref="H65:H72" si="9">SUM(F65*G65/1000)</f>
        <v>7.7839999999999998</v>
      </c>
      <c r="I65" s="13">
        <f>G65*7</f>
        <v>1556.8</v>
      </c>
      <c r="J65" s="24"/>
      <c r="L65" s="20"/>
    </row>
    <row r="66" spans="1:22" ht="15.75" hidden="1" customHeight="1">
      <c r="A66" s="30">
        <v>29</v>
      </c>
      <c r="B66" s="15" t="s">
        <v>47</v>
      </c>
      <c r="C66" s="17" t="s">
        <v>123</v>
      </c>
      <c r="D66" s="15" t="s">
        <v>67</v>
      </c>
      <c r="E66" s="19">
        <v>17</v>
      </c>
      <c r="F66" s="82">
        <v>20</v>
      </c>
      <c r="G66" s="13">
        <v>76.25</v>
      </c>
      <c r="H66" s="98">
        <f t="shared" si="9"/>
        <v>1.5249999999999999</v>
      </c>
      <c r="I66" s="13">
        <v>0</v>
      </c>
    </row>
    <row r="67" spans="1:22" ht="15.75" hidden="1" customHeight="1">
      <c r="A67" s="30">
        <v>26</v>
      </c>
      <c r="B67" s="15" t="s">
        <v>48</v>
      </c>
      <c r="C67" s="17" t="s">
        <v>125</v>
      </c>
      <c r="D67" s="15" t="s">
        <v>53</v>
      </c>
      <c r="E67" s="81">
        <v>22639</v>
      </c>
      <c r="F67" s="13">
        <f>SUM(E67/100)</f>
        <v>226.39</v>
      </c>
      <c r="G67" s="13">
        <v>212.15</v>
      </c>
      <c r="H67" s="98">
        <f t="shared" si="9"/>
        <v>48.0286385</v>
      </c>
      <c r="I67" s="13">
        <f>F67*G67</f>
        <v>48028.638500000001</v>
      </c>
    </row>
    <row r="68" spans="1:22" ht="15.75" hidden="1" customHeight="1">
      <c r="A68" s="30">
        <v>27</v>
      </c>
      <c r="B68" s="15" t="s">
        <v>49</v>
      </c>
      <c r="C68" s="17" t="s">
        <v>126</v>
      </c>
      <c r="D68" s="15"/>
      <c r="E68" s="81">
        <v>22639</v>
      </c>
      <c r="F68" s="13">
        <f>SUM(E68/1000)</f>
        <v>22.638999999999999</v>
      </c>
      <c r="G68" s="13">
        <v>165.21</v>
      </c>
      <c r="H68" s="98">
        <f t="shared" si="9"/>
        <v>3.7401891900000002</v>
      </c>
      <c r="I68" s="13">
        <f t="shared" ref="I68:I72" si="10">F68*G68</f>
        <v>3740.1891900000001</v>
      </c>
    </row>
    <row r="69" spans="1:22" ht="15.75" hidden="1" customHeight="1">
      <c r="A69" s="30">
        <v>28</v>
      </c>
      <c r="B69" s="15" t="s">
        <v>50</v>
      </c>
      <c r="C69" s="17" t="s">
        <v>77</v>
      </c>
      <c r="D69" s="15" t="s">
        <v>53</v>
      </c>
      <c r="E69" s="81">
        <v>3145</v>
      </c>
      <c r="F69" s="13">
        <f>SUM(E69/100)</f>
        <v>31.45</v>
      </c>
      <c r="G69" s="13">
        <v>2074.63</v>
      </c>
      <c r="H69" s="98">
        <f t="shared" si="9"/>
        <v>65.247113499999998</v>
      </c>
      <c r="I69" s="13">
        <f t="shared" si="10"/>
        <v>65247.113499999999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29</v>
      </c>
      <c r="B70" s="99" t="s">
        <v>127</v>
      </c>
      <c r="C70" s="17" t="s">
        <v>33</v>
      </c>
      <c r="D70" s="15"/>
      <c r="E70" s="81">
        <v>20.28</v>
      </c>
      <c r="F70" s="13">
        <f>SUM(E70)</f>
        <v>20.28</v>
      </c>
      <c r="G70" s="13">
        <v>42.67</v>
      </c>
      <c r="H70" s="98">
        <f t="shared" si="9"/>
        <v>0.86534760000000011</v>
      </c>
      <c r="I70" s="13">
        <f t="shared" si="10"/>
        <v>865.34760000000006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30</v>
      </c>
      <c r="B71" s="99" t="s">
        <v>153</v>
      </c>
      <c r="C71" s="17" t="s">
        <v>33</v>
      </c>
      <c r="D71" s="15"/>
      <c r="E71" s="81">
        <v>20.28</v>
      </c>
      <c r="F71" s="13">
        <f>SUM(E71)</f>
        <v>20.28</v>
      </c>
      <c r="G71" s="13">
        <v>39.81</v>
      </c>
      <c r="H71" s="98">
        <f t="shared" si="9"/>
        <v>0.80734680000000014</v>
      </c>
      <c r="I71" s="13">
        <f t="shared" si="10"/>
        <v>807.34680000000014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19</v>
      </c>
      <c r="B72" s="15" t="s">
        <v>57</v>
      </c>
      <c r="C72" s="17" t="s">
        <v>58</v>
      </c>
      <c r="D72" s="15" t="s">
        <v>53</v>
      </c>
      <c r="E72" s="19">
        <v>15</v>
      </c>
      <c r="F72" s="82">
        <f>SUM(E72)</f>
        <v>15</v>
      </c>
      <c r="G72" s="13">
        <v>49.88</v>
      </c>
      <c r="H72" s="98">
        <f t="shared" si="9"/>
        <v>0.74820000000000009</v>
      </c>
      <c r="I72" s="13">
        <f t="shared" si="10"/>
        <v>748.2</v>
      </c>
      <c r="J72" s="5"/>
      <c r="K72" s="5"/>
      <c r="L72" s="5"/>
      <c r="M72" s="5"/>
      <c r="N72" s="5"/>
      <c r="O72" s="5"/>
      <c r="P72" s="5"/>
      <c r="Q72" s="5"/>
      <c r="R72" s="161"/>
      <c r="S72" s="161"/>
      <c r="T72" s="161"/>
      <c r="U72" s="161"/>
    </row>
    <row r="73" spans="1:22" ht="15.75" hidden="1" customHeight="1">
      <c r="A73" s="30"/>
      <c r="B73" s="48" t="s">
        <v>73</v>
      </c>
      <c r="C73" s="48"/>
      <c r="D73" s="48"/>
      <c r="E73" s="48"/>
      <c r="F73" s="19"/>
      <c r="G73" s="30"/>
      <c r="H73" s="30"/>
      <c r="I73" s="19"/>
    </row>
    <row r="74" spans="1:22" ht="15.75" hidden="1" customHeight="1">
      <c r="A74" s="30">
        <v>13</v>
      </c>
      <c r="B74" s="15" t="s">
        <v>74</v>
      </c>
      <c r="C74" s="17" t="s">
        <v>31</v>
      </c>
      <c r="D74" s="15"/>
      <c r="E74" s="19">
        <v>5</v>
      </c>
      <c r="F74" s="100">
        <v>0.5</v>
      </c>
      <c r="G74" s="13">
        <v>501.62</v>
      </c>
      <c r="H74" s="98">
        <f>F74*G74/1000</f>
        <v>0.25080999999999998</v>
      </c>
      <c r="I74" s="13">
        <f>G74*0.1</f>
        <v>50.162000000000006</v>
      </c>
    </row>
    <row r="75" spans="1:22" ht="15.75" hidden="1" customHeight="1">
      <c r="A75" s="30">
        <v>14</v>
      </c>
      <c r="B75" s="15" t="s">
        <v>131</v>
      </c>
      <c r="C75" s="17" t="s">
        <v>30</v>
      </c>
      <c r="D75" s="15"/>
      <c r="E75" s="19">
        <v>1</v>
      </c>
      <c r="F75" s="13">
        <v>1</v>
      </c>
      <c r="G75" s="13">
        <v>120.26</v>
      </c>
      <c r="H75" s="98">
        <f>G75*F75/1000</f>
        <v>0.12026000000000001</v>
      </c>
      <c r="I75" s="13">
        <f>G75</f>
        <v>120.26</v>
      </c>
    </row>
    <row r="76" spans="1:22" ht="15.75" hidden="1" customHeight="1">
      <c r="A76" s="30"/>
      <c r="B76" s="15" t="s">
        <v>130</v>
      </c>
      <c r="C76" s="17" t="s">
        <v>30</v>
      </c>
      <c r="D76" s="15"/>
      <c r="E76" s="19">
        <v>1</v>
      </c>
      <c r="F76" s="100">
        <v>1</v>
      </c>
      <c r="G76" s="13">
        <v>99.85</v>
      </c>
      <c r="H76" s="98">
        <f>G76*F76/1000</f>
        <v>9.9849999999999994E-2</v>
      </c>
      <c r="I76" s="13">
        <v>0</v>
      </c>
    </row>
    <row r="77" spans="1:22" ht="15.75" hidden="1" customHeight="1">
      <c r="A77" s="30"/>
      <c r="B77" s="15" t="s">
        <v>88</v>
      </c>
      <c r="C77" s="17" t="s">
        <v>30</v>
      </c>
      <c r="D77" s="15"/>
      <c r="E77" s="19">
        <v>2</v>
      </c>
      <c r="F77" s="82">
        <f>SUM(E77)</f>
        <v>2</v>
      </c>
      <c r="G77" s="13">
        <v>358.51</v>
      </c>
      <c r="H77" s="98">
        <f t="shared" ref="H77" si="11">SUM(F77*G77/1000)</f>
        <v>0.71701999999999999</v>
      </c>
      <c r="I77" s="13">
        <v>0</v>
      </c>
    </row>
    <row r="78" spans="1:22" ht="15.75" hidden="1" customHeight="1">
      <c r="A78" s="30">
        <v>18</v>
      </c>
      <c r="B78" s="15" t="s">
        <v>75</v>
      </c>
      <c r="C78" s="17" t="s">
        <v>30</v>
      </c>
      <c r="D78" s="15"/>
      <c r="E78" s="19">
        <v>2</v>
      </c>
      <c r="F78" s="13">
        <v>2</v>
      </c>
      <c r="G78" s="13">
        <v>852.99</v>
      </c>
      <c r="H78" s="98">
        <f>F78*G78/1000</f>
        <v>1.7059800000000001</v>
      </c>
      <c r="I78" s="13">
        <f>G78</f>
        <v>852.99</v>
      </c>
    </row>
    <row r="79" spans="1:22" ht="15.75" hidden="1" customHeight="1">
      <c r="A79" s="30"/>
      <c r="B79" s="49" t="s">
        <v>76</v>
      </c>
      <c r="C79" s="38"/>
      <c r="D79" s="30"/>
      <c r="E79" s="30"/>
      <c r="F79" s="19"/>
      <c r="G79" s="36"/>
      <c r="H79" s="36"/>
      <c r="I79" s="19"/>
    </row>
    <row r="80" spans="1:22" ht="15.75" hidden="1" customHeight="1">
      <c r="A80" s="30">
        <v>39</v>
      </c>
      <c r="B80" s="51" t="s">
        <v>132</v>
      </c>
      <c r="C80" s="17" t="s">
        <v>77</v>
      </c>
      <c r="D80" s="15"/>
      <c r="E80" s="19"/>
      <c r="F80" s="13">
        <v>1.35</v>
      </c>
      <c r="G80" s="13">
        <v>2759.44</v>
      </c>
      <c r="H80" s="98">
        <f t="shared" ref="H80" si="12">SUM(F80*G80/1000)</f>
        <v>3.725244</v>
      </c>
      <c r="I80" s="13">
        <v>0</v>
      </c>
    </row>
    <row r="81" spans="1:21" ht="15.75" hidden="1" customHeight="1">
      <c r="A81" s="78"/>
      <c r="B81" s="76" t="s">
        <v>128</v>
      </c>
      <c r="C81" s="76"/>
      <c r="D81" s="76"/>
      <c r="E81" s="76"/>
      <c r="F81" s="76"/>
      <c r="G81" s="76"/>
      <c r="H81" s="76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12</v>
      </c>
      <c r="B82" s="79" t="s">
        <v>129</v>
      </c>
      <c r="C82" s="17"/>
      <c r="D82" s="15"/>
      <c r="E82" s="101"/>
      <c r="F82" s="13">
        <v>1</v>
      </c>
      <c r="G82" s="13">
        <v>25286</v>
      </c>
      <c r="H82" s="98">
        <f>G82*F82/1000</f>
        <v>25.286000000000001</v>
      </c>
      <c r="I82" s="13">
        <f>G82</f>
        <v>25286</v>
      </c>
    </row>
    <row r="83" spans="1:21" ht="15.75" customHeight="1">
      <c r="A83" s="170" t="s">
        <v>146</v>
      </c>
      <c r="B83" s="171"/>
      <c r="C83" s="171"/>
      <c r="D83" s="171"/>
      <c r="E83" s="171"/>
      <c r="F83" s="171"/>
      <c r="G83" s="171"/>
      <c r="H83" s="171"/>
      <c r="I83" s="172"/>
    </row>
    <row r="84" spans="1:21" ht="15.75" customHeight="1">
      <c r="A84" s="30">
        <v>20</v>
      </c>
      <c r="B84" s="79" t="s">
        <v>133</v>
      </c>
      <c r="C84" s="17" t="s">
        <v>54</v>
      </c>
      <c r="D84" s="103" t="s">
        <v>55</v>
      </c>
      <c r="E84" s="13">
        <v>5836.1</v>
      </c>
      <c r="F84" s="13">
        <f>SUM(E84*12)</f>
        <v>70033.200000000012</v>
      </c>
      <c r="G84" s="13">
        <v>2.1</v>
      </c>
      <c r="H84" s="98">
        <f>SUM(F84*G84/1000)</f>
        <v>147.06972000000002</v>
      </c>
      <c r="I84" s="13">
        <f>F84/12*G84</f>
        <v>12255.810000000003</v>
      </c>
    </row>
    <row r="85" spans="1:21" ht="31.5" customHeight="1">
      <c r="A85" s="30">
        <v>21</v>
      </c>
      <c r="B85" s="15" t="s">
        <v>78</v>
      </c>
      <c r="C85" s="17"/>
      <c r="D85" s="103" t="s">
        <v>55</v>
      </c>
      <c r="E85" s="81">
        <v>5836.1</v>
      </c>
      <c r="F85" s="13">
        <f>E85*12</f>
        <v>70033.200000000012</v>
      </c>
      <c r="G85" s="13">
        <v>1.63</v>
      </c>
      <c r="H85" s="98">
        <f>F85*G85/1000</f>
        <v>114.15411600000002</v>
      </c>
      <c r="I85" s="13">
        <f>F85/12*G85</f>
        <v>9512.8430000000008</v>
      </c>
    </row>
    <row r="86" spans="1:21" ht="15.75" customHeight="1">
      <c r="A86" s="78"/>
      <c r="B86" s="39" t="s">
        <v>81</v>
      </c>
      <c r="C86" s="40"/>
      <c r="D86" s="16"/>
      <c r="E86" s="16"/>
      <c r="F86" s="16"/>
      <c r="G86" s="19"/>
      <c r="H86" s="19"/>
      <c r="I86" s="32">
        <f>I85+I84+I72+I65+I62+I51+I50+I49+I48+I47+I35+I34+I32+I31+I28+I27+I21+I20+I18+I17+I16</f>
        <v>80093.38044485556</v>
      </c>
    </row>
    <row r="87" spans="1:21" ht="15.75" customHeight="1">
      <c r="A87" s="173" t="s">
        <v>60</v>
      </c>
      <c r="B87" s="174"/>
      <c r="C87" s="174"/>
      <c r="D87" s="174"/>
      <c r="E87" s="174"/>
      <c r="F87" s="174"/>
      <c r="G87" s="174"/>
      <c r="H87" s="174"/>
      <c r="I87" s="175"/>
    </row>
    <row r="88" spans="1:21" ht="15.75" customHeight="1">
      <c r="A88" s="30">
        <v>22</v>
      </c>
      <c r="B88" s="115" t="s">
        <v>171</v>
      </c>
      <c r="C88" s="116" t="s">
        <v>172</v>
      </c>
      <c r="D88" s="51"/>
      <c r="E88" s="13"/>
      <c r="F88" s="13">
        <f>(3+3+30+25+15+20+20+3+15+15+20+10+3)/3</f>
        <v>60.666666666666664</v>
      </c>
      <c r="G88" s="36">
        <v>134.12</v>
      </c>
      <c r="H88" s="98">
        <f t="shared" ref="H88:H89" si="13">G88*F88/1000</f>
        <v>8.136613333333333</v>
      </c>
      <c r="I88" s="13">
        <f>G88*24</f>
        <v>3218.88</v>
      </c>
    </row>
    <row r="89" spans="1:21" ht="16.5" customHeight="1">
      <c r="A89" s="30">
        <v>23</v>
      </c>
      <c r="B89" s="115" t="s">
        <v>245</v>
      </c>
      <c r="C89" s="116" t="s">
        <v>123</v>
      </c>
      <c r="D89" s="51"/>
      <c r="E89" s="13"/>
      <c r="F89" s="13">
        <v>4</v>
      </c>
      <c r="G89" s="36">
        <v>109.73</v>
      </c>
      <c r="H89" s="98">
        <f t="shared" si="13"/>
        <v>0.43892000000000003</v>
      </c>
      <c r="I89" s="13">
        <f>G89*1</f>
        <v>109.73</v>
      </c>
    </row>
    <row r="90" spans="1:21" ht="15.75" customHeight="1">
      <c r="A90" s="30">
        <v>24</v>
      </c>
      <c r="B90" s="115" t="s">
        <v>246</v>
      </c>
      <c r="C90" s="116" t="s">
        <v>123</v>
      </c>
      <c r="D90" s="51"/>
      <c r="E90" s="13"/>
      <c r="F90" s="13">
        <v>14</v>
      </c>
      <c r="G90" s="36">
        <v>27.36</v>
      </c>
      <c r="H90" s="98">
        <f>G90*F90/1000</f>
        <v>0.38303999999999994</v>
      </c>
      <c r="I90" s="13">
        <f>G90*1</f>
        <v>27.36</v>
      </c>
    </row>
    <row r="91" spans="1:21" ht="16.5" customHeight="1">
      <c r="A91" s="30">
        <v>25</v>
      </c>
      <c r="B91" s="115" t="s">
        <v>247</v>
      </c>
      <c r="C91" s="116" t="s">
        <v>123</v>
      </c>
      <c r="D91" s="51"/>
      <c r="E91" s="13"/>
      <c r="F91" s="13">
        <v>8</v>
      </c>
      <c r="G91" s="36">
        <v>78.89</v>
      </c>
      <c r="H91" s="98">
        <f>G91*F91/1000</f>
        <v>0.63112000000000001</v>
      </c>
      <c r="I91" s="13">
        <f>G91*1</f>
        <v>78.89</v>
      </c>
    </row>
    <row r="92" spans="1:21" ht="15.75" customHeight="1">
      <c r="A92" s="30">
        <v>26</v>
      </c>
      <c r="B92" s="115" t="s">
        <v>248</v>
      </c>
      <c r="C92" s="116" t="s">
        <v>123</v>
      </c>
      <c r="D92" s="51"/>
      <c r="E92" s="13"/>
      <c r="F92" s="13">
        <v>2</v>
      </c>
      <c r="G92" s="36">
        <v>89.15</v>
      </c>
      <c r="H92" s="98">
        <f>G92*F92/1000</f>
        <v>0.17830000000000001</v>
      </c>
      <c r="I92" s="13">
        <f>G92*1</f>
        <v>89.15</v>
      </c>
    </row>
    <row r="93" spans="1:21" ht="31.5" customHeight="1">
      <c r="A93" s="30">
        <v>27</v>
      </c>
      <c r="B93" s="55" t="s">
        <v>89</v>
      </c>
      <c r="C93" s="63" t="s">
        <v>92</v>
      </c>
      <c r="D93" s="117"/>
      <c r="E93" s="36"/>
      <c r="F93" s="36">
        <v>14</v>
      </c>
      <c r="G93" s="36">
        <v>613.44000000000005</v>
      </c>
      <c r="H93" s="102">
        <f t="shared" ref="H93" si="14">G93*F93/1000</f>
        <v>8.5881600000000002</v>
      </c>
      <c r="I93" s="13">
        <f>G93*2</f>
        <v>1226.8800000000001</v>
      </c>
    </row>
    <row r="94" spans="1:21" ht="15.75" customHeight="1">
      <c r="A94" s="30">
        <v>28</v>
      </c>
      <c r="B94" s="149" t="s">
        <v>224</v>
      </c>
      <c r="C94" s="40" t="s">
        <v>225</v>
      </c>
      <c r="D94" s="37"/>
      <c r="E94" s="18"/>
      <c r="F94" s="36">
        <v>7</v>
      </c>
      <c r="G94" s="36">
        <v>45</v>
      </c>
      <c r="H94" s="102">
        <f t="shared" ref="H94" si="15">G94*F94/1000</f>
        <v>0.315</v>
      </c>
      <c r="I94" s="13">
        <f>G94*25</f>
        <v>1125</v>
      </c>
    </row>
    <row r="95" spans="1:21" ht="15.75" customHeight="1">
      <c r="A95" s="30">
        <v>29</v>
      </c>
      <c r="B95" s="149" t="s">
        <v>249</v>
      </c>
      <c r="C95" s="40" t="s">
        <v>123</v>
      </c>
      <c r="D95" s="51"/>
      <c r="E95" s="36"/>
      <c r="F95" s="36">
        <v>4</v>
      </c>
      <c r="G95" s="36">
        <v>30</v>
      </c>
      <c r="H95" s="102">
        <f>G95*F95/1000</f>
        <v>0.12</v>
      </c>
      <c r="I95" s="13">
        <f>G95*1</f>
        <v>30</v>
      </c>
    </row>
    <row r="96" spans="1:21" ht="29.25" customHeight="1">
      <c r="A96" s="30">
        <v>30</v>
      </c>
      <c r="B96" s="115" t="s">
        <v>250</v>
      </c>
      <c r="C96" s="116" t="s">
        <v>251</v>
      </c>
      <c r="D96" s="51"/>
      <c r="E96" s="13"/>
      <c r="F96" s="13">
        <v>2.5</v>
      </c>
      <c r="G96" s="36">
        <v>24829.08</v>
      </c>
      <c r="H96" s="98">
        <f>G96*F96/1000</f>
        <v>62.072700000000005</v>
      </c>
      <c r="I96" s="13">
        <f>G96*0.01</f>
        <v>248.29080000000002</v>
      </c>
    </row>
    <row r="97" spans="1:9" ht="15.75" customHeight="1">
      <c r="A97" s="30">
        <v>31</v>
      </c>
      <c r="B97" s="37" t="s">
        <v>190</v>
      </c>
      <c r="C97" s="38" t="s">
        <v>123</v>
      </c>
      <c r="D97" s="51"/>
      <c r="E97" s="13"/>
      <c r="F97" s="13"/>
      <c r="G97" s="36">
        <v>151.31</v>
      </c>
      <c r="H97" s="98"/>
      <c r="I97" s="13">
        <f>G97*2</f>
        <v>302.62</v>
      </c>
    </row>
    <row r="98" spans="1:9" ht="14.25" customHeight="1">
      <c r="A98" s="30">
        <v>32</v>
      </c>
      <c r="B98" s="37" t="s">
        <v>191</v>
      </c>
      <c r="C98" s="38" t="s">
        <v>123</v>
      </c>
      <c r="D98" s="51"/>
      <c r="E98" s="13"/>
      <c r="F98" s="13"/>
      <c r="G98" s="36">
        <v>169.24</v>
      </c>
      <c r="H98" s="98"/>
      <c r="I98" s="13">
        <f>G98*2</f>
        <v>338.48</v>
      </c>
    </row>
    <row r="99" spans="1:9" ht="15.75" customHeight="1">
      <c r="A99" s="30"/>
      <c r="B99" s="45" t="s">
        <v>51</v>
      </c>
      <c r="C99" s="41"/>
      <c r="D99" s="53"/>
      <c r="E99" s="53"/>
      <c r="F99" s="41">
        <v>1</v>
      </c>
      <c r="G99" s="41"/>
      <c r="H99" s="41"/>
      <c r="I99" s="32">
        <f>SUM(I88:I98)</f>
        <v>6795.2808000000005</v>
      </c>
    </row>
    <row r="100" spans="1:9" ht="15.75" customHeight="1">
      <c r="A100" s="30"/>
      <c r="B100" s="51" t="s">
        <v>79</v>
      </c>
      <c r="C100" s="16"/>
      <c r="D100" s="16"/>
      <c r="E100" s="16"/>
      <c r="F100" s="42"/>
      <c r="G100" s="43"/>
      <c r="H100" s="43"/>
      <c r="I100" s="18">
        <v>0</v>
      </c>
    </row>
    <row r="101" spans="1:9" ht="15.75" customHeight="1">
      <c r="A101" s="54"/>
      <c r="B101" s="46" t="s">
        <v>147</v>
      </c>
      <c r="C101" s="34"/>
      <c r="D101" s="34"/>
      <c r="E101" s="34"/>
      <c r="F101" s="34"/>
      <c r="G101" s="34"/>
      <c r="H101" s="34"/>
      <c r="I101" s="44">
        <f>I86+I99</f>
        <v>86888.661244855553</v>
      </c>
    </row>
    <row r="102" spans="1:9" ht="15.75" customHeight="1">
      <c r="A102" s="167" t="s">
        <v>252</v>
      </c>
      <c r="B102" s="167"/>
      <c r="C102" s="167"/>
      <c r="D102" s="167"/>
      <c r="E102" s="167"/>
      <c r="F102" s="167"/>
      <c r="G102" s="167"/>
      <c r="H102" s="167"/>
      <c r="I102" s="167"/>
    </row>
    <row r="103" spans="1:9" ht="15.75" customHeight="1">
      <c r="A103" s="70"/>
      <c r="B103" s="168" t="s">
        <v>253</v>
      </c>
      <c r="C103" s="168"/>
      <c r="D103" s="168"/>
      <c r="E103" s="168"/>
      <c r="F103" s="168"/>
      <c r="G103" s="168"/>
      <c r="H103" s="77"/>
      <c r="I103" s="3"/>
    </row>
    <row r="104" spans="1:9" ht="15.75" customHeight="1">
      <c r="A104" s="73"/>
      <c r="B104" s="166" t="s">
        <v>6</v>
      </c>
      <c r="C104" s="166"/>
      <c r="D104" s="166"/>
      <c r="E104" s="166"/>
      <c r="F104" s="166"/>
      <c r="G104" s="166"/>
      <c r="H104" s="25"/>
      <c r="I104" s="5"/>
    </row>
    <row r="105" spans="1:9" ht="15.75" customHeight="1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 customHeight="1">
      <c r="A106" s="169" t="s">
        <v>7</v>
      </c>
      <c r="B106" s="169"/>
      <c r="C106" s="169"/>
      <c r="D106" s="169"/>
      <c r="E106" s="169"/>
      <c r="F106" s="169"/>
      <c r="G106" s="169"/>
      <c r="H106" s="169"/>
      <c r="I106" s="169"/>
    </row>
    <row r="107" spans="1:9" ht="15.75" customHeight="1">
      <c r="A107" s="169" t="s">
        <v>8</v>
      </c>
      <c r="B107" s="169"/>
      <c r="C107" s="169"/>
      <c r="D107" s="169"/>
      <c r="E107" s="169"/>
      <c r="F107" s="169"/>
      <c r="G107" s="169"/>
      <c r="H107" s="169"/>
      <c r="I107" s="169"/>
    </row>
    <row r="108" spans="1:9" ht="15.75" customHeight="1">
      <c r="A108" s="163" t="s">
        <v>61</v>
      </c>
      <c r="B108" s="163"/>
      <c r="C108" s="163"/>
      <c r="D108" s="163"/>
      <c r="E108" s="163"/>
      <c r="F108" s="163"/>
      <c r="G108" s="163"/>
      <c r="H108" s="163"/>
      <c r="I108" s="163"/>
    </row>
    <row r="109" spans="1:9" ht="15.75" customHeight="1">
      <c r="A109" s="11"/>
    </row>
    <row r="110" spans="1:9" ht="15.75" customHeight="1">
      <c r="A110" s="164" t="s">
        <v>9</v>
      </c>
      <c r="B110" s="164"/>
      <c r="C110" s="164"/>
      <c r="D110" s="164"/>
      <c r="E110" s="164"/>
      <c r="F110" s="164"/>
      <c r="G110" s="164"/>
      <c r="H110" s="164"/>
      <c r="I110" s="164"/>
    </row>
    <row r="111" spans="1:9" ht="15.75" customHeight="1">
      <c r="A111" s="4"/>
    </row>
    <row r="112" spans="1:9" ht="15.75" customHeight="1">
      <c r="B112" s="74" t="s">
        <v>10</v>
      </c>
      <c r="C112" s="165" t="s">
        <v>90</v>
      </c>
      <c r="D112" s="165"/>
      <c r="E112" s="165"/>
      <c r="F112" s="165"/>
      <c r="I112" s="72"/>
    </row>
    <row r="113" spans="1:9" ht="15.75" customHeight="1">
      <c r="A113" s="73"/>
      <c r="C113" s="166" t="s">
        <v>11</v>
      </c>
      <c r="D113" s="166"/>
      <c r="E113" s="166"/>
      <c r="F113" s="166"/>
      <c r="I113" s="71" t="s">
        <v>12</v>
      </c>
    </row>
    <row r="114" spans="1:9" ht="15.75" customHeight="1">
      <c r="A114" s="26"/>
      <c r="C114" s="12"/>
      <c r="D114" s="12"/>
      <c r="E114" s="12"/>
      <c r="G114" s="12"/>
      <c r="H114" s="12"/>
    </row>
    <row r="115" spans="1:9" ht="15.75" customHeight="1">
      <c r="B115" s="74" t="s">
        <v>13</v>
      </c>
      <c r="C115" s="160"/>
      <c r="D115" s="160"/>
      <c r="E115" s="160"/>
      <c r="F115" s="160"/>
      <c r="I115" s="72"/>
    </row>
    <row r="116" spans="1:9" ht="15.75" customHeight="1">
      <c r="A116" s="73"/>
      <c r="C116" s="161" t="s">
        <v>11</v>
      </c>
      <c r="D116" s="161"/>
      <c r="E116" s="161"/>
      <c r="F116" s="161"/>
      <c r="I116" s="71" t="s">
        <v>12</v>
      </c>
    </row>
    <row r="117" spans="1:9" ht="15.75" customHeight="1">
      <c r="A117" s="4" t="s">
        <v>14</v>
      </c>
    </row>
    <row r="118" spans="1:9" ht="15.75" customHeight="1">
      <c r="A118" s="162" t="s">
        <v>15</v>
      </c>
      <c r="B118" s="162"/>
      <c r="C118" s="162"/>
      <c r="D118" s="162"/>
      <c r="E118" s="162"/>
      <c r="F118" s="162"/>
      <c r="G118" s="162"/>
      <c r="H118" s="162"/>
      <c r="I118" s="162"/>
    </row>
    <row r="119" spans="1:9" ht="45" customHeight="1">
      <c r="A119" s="159" t="s">
        <v>16</v>
      </c>
      <c r="B119" s="159"/>
      <c r="C119" s="159"/>
      <c r="D119" s="159"/>
      <c r="E119" s="159"/>
      <c r="F119" s="159"/>
      <c r="G119" s="159"/>
      <c r="H119" s="159"/>
      <c r="I119" s="159"/>
    </row>
    <row r="120" spans="1:9" ht="30" customHeight="1">
      <c r="A120" s="159" t="s">
        <v>17</v>
      </c>
      <c r="B120" s="159"/>
      <c r="C120" s="159"/>
      <c r="D120" s="159"/>
      <c r="E120" s="159"/>
      <c r="F120" s="159"/>
      <c r="G120" s="159"/>
      <c r="H120" s="159"/>
      <c r="I120" s="159"/>
    </row>
    <row r="121" spans="1:9" ht="30" customHeight="1">
      <c r="A121" s="159" t="s">
        <v>21</v>
      </c>
      <c r="B121" s="159"/>
      <c r="C121" s="159"/>
      <c r="D121" s="159"/>
      <c r="E121" s="159"/>
      <c r="F121" s="159"/>
      <c r="G121" s="159"/>
      <c r="H121" s="159"/>
      <c r="I121" s="159"/>
    </row>
    <row r="122" spans="1:9" ht="15" customHeight="1">
      <c r="A122" s="159" t="s">
        <v>20</v>
      </c>
      <c r="B122" s="159"/>
      <c r="C122" s="159"/>
      <c r="D122" s="159"/>
      <c r="E122" s="159"/>
      <c r="F122" s="159"/>
      <c r="G122" s="159"/>
      <c r="H122" s="159"/>
      <c r="I122" s="159"/>
    </row>
  </sheetData>
  <autoFilter ref="I12:I67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2:U72"/>
    <mergeCell ref="C116:F116"/>
    <mergeCell ref="A87:I87"/>
    <mergeCell ref="A102:I102"/>
    <mergeCell ref="B103:G103"/>
    <mergeCell ref="B104:G104"/>
    <mergeCell ref="A106:I106"/>
    <mergeCell ref="A107:I107"/>
    <mergeCell ref="A108:I108"/>
    <mergeCell ref="A110:I110"/>
    <mergeCell ref="C112:F112"/>
    <mergeCell ref="C113:F113"/>
    <mergeCell ref="C115:F115"/>
    <mergeCell ref="A83:I83"/>
    <mergeCell ref="A118:I118"/>
    <mergeCell ref="A119:I119"/>
    <mergeCell ref="A120:I120"/>
    <mergeCell ref="A121:I121"/>
    <mergeCell ref="A122:I12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13</vt:i4>
      </vt:variant>
    </vt:vector>
  </HeadingPairs>
  <TitlesOfParts>
    <vt:vector size="25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'05.18'!Заголовки_для_печати</vt:lpstr>
      <vt:lpstr>'01.18'!Область_печати</vt:lpstr>
      <vt:lpstr>'02.18'!Область_печати</vt:lpstr>
      <vt:lpstr>'03.18'!Область_печати</vt:lpstr>
      <vt:lpstr>'04.18'!Область_печати</vt:lpstr>
      <vt:lpstr>'05.18'!Область_печати</vt:lpstr>
      <vt:lpstr>'06.18'!Область_печати</vt:lpstr>
      <vt:lpstr>'07.18'!Область_печати</vt:lpstr>
      <vt:lpstr>'08.18'!Область_печати</vt:lpstr>
      <vt:lpstr>'09.18'!Область_печати</vt:lpstr>
      <vt:lpstr>'10.18'!Область_печати</vt:lpstr>
      <vt:lpstr>'11.18'!Область_печати</vt:lpstr>
      <vt:lpstr>'12.18'!Область_печати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2019-02-21T07:10:35Z</cp:lastPrinted>
  <dcterms:created xsi:type="dcterms:W3CDTF">2016-03-25T08:33:47Z</dcterms:created>
  <dcterms:modified xsi:type="dcterms:W3CDTF">2019-02-21T07:14:32Z</dcterms:modified>
</cp:coreProperties>
</file>