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,2" sheetId="1" r:id="rId1"/>
  </sheets>
  <definedNames>
    <definedName name="_xlnm.Print_Area" localSheetId="0">'Нефт.,2'!$A$1:$U$152</definedName>
  </definedNames>
  <calcPr calcId="124519"/>
</workbook>
</file>

<file path=xl/calcChain.xml><?xml version="1.0" encoding="utf-8"?>
<calcChain xmlns="http://schemas.openxmlformats.org/spreadsheetml/2006/main">
  <c r="U86" i="1"/>
  <c r="L40"/>
  <c r="K40"/>
  <c r="F40"/>
  <c r="T97"/>
  <c r="T139"/>
  <c r="U139" s="1"/>
  <c r="H139"/>
  <c r="N97"/>
  <c r="O115"/>
  <c r="O116"/>
  <c r="O120"/>
  <c r="O113"/>
  <c r="T62"/>
  <c r="T92"/>
  <c r="C150"/>
  <c r="C147"/>
  <c r="T101"/>
  <c r="F101"/>
  <c r="T118"/>
  <c r="T98"/>
  <c r="T138"/>
  <c r="U138"/>
  <c r="H138"/>
  <c r="T107"/>
  <c r="T127"/>
  <c r="S136"/>
  <c r="U136" s="1"/>
  <c r="H136"/>
  <c r="S98"/>
  <c r="R107"/>
  <c r="T137"/>
  <c r="U137" s="1"/>
  <c r="H137"/>
  <c r="T111" l="1"/>
  <c r="T122"/>
  <c r="T105"/>
  <c r="T103"/>
  <c r="S62"/>
  <c r="S97"/>
  <c r="S127"/>
  <c r="S101"/>
  <c r="S92"/>
  <c r="S135"/>
  <c r="U135" s="1"/>
  <c r="H135"/>
  <c r="S115" l="1"/>
  <c r="S116"/>
  <c r="S120"/>
  <c r="S126"/>
  <c r="R134"/>
  <c r="U134" s="1"/>
  <c r="H134"/>
  <c r="R101"/>
  <c r="R97"/>
  <c r="R62"/>
  <c r="U80" l="1"/>
  <c r="U57"/>
  <c r="U59"/>
  <c r="U63"/>
  <c r="U72"/>
  <c r="U73"/>
  <c r="U76"/>
  <c r="U78"/>
  <c r="U37"/>
  <c r="U29"/>
  <c r="U30"/>
  <c r="Q133"/>
  <c r="U133" s="1"/>
  <c r="F133"/>
  <c r="H133" s="1"/>
  <c r="Q132"/>
  <c r="U132" s="1"/>
  <c r="F132"/>
  <c r="H132" s="1"/>
  <c r="Q131"/>
  <c r="U131" s="1"/>
  <c r="F131"/>
  <c r="H131" s="1"/>
  <c r="P105"/>
  <c r="P112"/>
  <c r="P96"/>
  <c r="P126"/>
  <c r="U126" s="1"/>
  <c r="H126"/>
  <c r="P125" l="1"/>
  <c r="U125" s="1"/>
  <c r="H125"/>
  <c r="P117"/>
  <c r="P115"/>
  <c r="P120"/>
  <c r="U120" s="1"/>
  <c r="H120"/>
  <c r="P124"/>
  <c r="U124" s="1"/>
  <c r="P123"/>
  <c r="U123" s="1"/>
  <c r="H123"/>
  <c r="P113"/>
  <c r="P101"/>
  <c r="P92"/>
  <c r="O101"/>
  <c r="Q62" l="1"/>
  <c r="Q105"/>
  <c r="Q107"/>
  <c r="Q98"/>
  <c r="Q130"/>
  <c r="U130" s="1"/>
  <c r="H130"/>
  <c r="Q92"/>
  <c r="Q121"/>
  <c r="Q96"/>
  <c r="Q111"/>
  <c r="P110"/>
  <c r="P121"/>
  <c r="U121" s="1"/>
  <c r="H121"/>
  <c r="P129"/>
  <c r="U129" s="1"/>
  <c r="F129"/>
  <c r="H129" s="1"/>
  <c r="P98"/>
  <c r="P128"/>
  <c r="U128" s="1"/>
  <c r="P107"/>
  <c r="P127"/>
  <c r="U127" s="1"/>
  <c r="P75"/>
  <c r="U75" s="1"/>
  <c r="P122"/>
  <c r="U122" s="1"/>
  <c r="P111"/>
  <c r="H119"/>
  <c r="O119"/>
  <c r="U119" s="1"/>
  <c r="N110"/>
  <c r="U110" s="1"/>
  <c r="O118"/>
  <c r="U118" s="1"/>
  <c r="H118"/>
  <c r="O98"/>
  <c r="O107"/>
  <c r="N107"/>
  <c r="N109"/>
  <c r="U109" s="1"/>
  <c r="H109"/>
  <c r="O62"/>
  <c r="O117"/>
  <c r="U117" s="1"/>
  <c r="H117"/>
  <c r="U116" l="1"/>
  <c r="H116"/>
  <c r="U115"/>
  <c r="H115"/>
  <c r="O114"/>
  <c r="U114" s="1"/>
  <c r="H114"/>
  <c r="U113"/>
  <c r="H113"/>
  <c r="O112" l="1"/>
  <c r="U112" s="1"/>
  <c r="H112"/>
  <c r="O111"/>
  <c r="U111" s="1"/>
  <c r="O92"/>
  <c r="N62"/>
  <c r="N92" l="1"/>
  <c r="R52"/>
  <c r="N52"/>
  <c r="I52"/>
  <c r="U52" l="1"/>
  <c r="F108"/>
  <c r="L108" s="1"/>
  <c r="U108" s="1"/>
  <c r="L100"/>
  <c r="L98"/>
  <c r="L107"/>
  <c r="U107" s="1"/>
  <c r="M101"/>
  <c r="M62"/>
  <c r="L101"/>
  <c r="L106"/>
  <c r="U106" s="1"/>
  <c r="H106"/>
  <c r="L62"/>
  <c r="L103"/>
  <c r="L105"/>
  <c r="U105" s="1"/>
  <c r="L96"/>
  <c r="L104"/>
  <c r="U104" s="1"/>
  <c r="K103"/>
  <c r="U103" s="1"/>
  <c r="H103"/>
  <c r="K101" l="1"/>
  <c r="U101" s="1"/>
  <c r="K102"/>
  <c r="U102" s="1"/>
  <c r="J100"/>
  <c r="U100" s="1"/>
  <c r="H100"/>
  <c r="J74"/>
  <c r="U74" s="1"/>
  <c r="J99"/>
  <c r="U99" s="1"/>
  <c r="H99"/>
  <c r="J71"/>
  <c r="U71" s="1"/>
  <c r="J98"/>
  <c r="U98" s="1"/>
  <c r="J96"/>
  <c r="U96" s="1"/>
  <c r="J62"/>
  <c r="J97"/>
  <c r="U97" s="1"/>
  <c r="J95"/>
  <c r="U95" s="1"/>
  <c r="H95"/>
  <c r="I92"/>
  <c r="U92" s="1"/>
  <c r="H92"/>
  <c r="H94"/>
  <c r="I94"/>
  <c r="U94" s="1"/>
  <c r="I62" l="1"/>
  <c r="U62" s="1"/>
  <c r="I93"/>
  <c r="U93" s="1"/>
  <c r="H73"/>
  <c r="H20"/>
  <c r="T56"/>
  <c r="T36"/>
  <c r="T41"/>
  <c r="T34"/>
  <c r="S34"/>
  <c r="H108"/>
  <c r="H96"/>
  <c r="F128"/>
  <c r="H128" s="1"/>
  <c r="H104"/>
  <c r="Q69"/>
  <c r="U69" s="1"/>
  <c r="S56"/>
  <c r="R51"/>
  <c r="S36"/>
  <c r="S41"/>
  <c r="L34"/>
  <c r="H111"/>
  <c r="H127"/>
  <c r="L51"/>
  <c r="U51" s="1"/>
  <c r="H110"/>
  <c r="H107"/>
  <c r="H101"/>
  <c r="U82"/>
  <c r="H122"/>
  <c r="H105"/>
  <c r="U140" l="1"/>
  <c r="H97" l="1"/>
  <c r="H124"/>
  <c r="M20" l="1"/>
  <c r="U20" s="1"/>
  <c r="L56"/>
  <c r="L36" l="1"/>
  <c r="L41"/>
  <c r="K34"/>
  <c r="K56"/>
  <c r="K36" l="1"/>
  <c r="K41"/>
  <c r="J34"/>
  <c r="F27" l="1"/>
  <c r="H27" s="1"/>
  <c r="H102"/>
  <c r="H93"/>
  <c r="H98"/>
  <c r="H140" l="1"/>
  <c r="Q27"/>
  <c r="R27"/>
  <c r="P27"/>
  <c r="O27"/>
  <c r="N27"/>
  <c r="M27"/>
  <c r="H80"/>
  <c r="F60"/>
  <c r="J56"/>
  <c r="J41"/>
  <c r="J36"/>
  <c r="I56"/>
  <c r="I41"/>
  <c r="I36"/>
  <c r="I34"/>
  <c r="U34" s="1"/>
  <c r="H60"/>
  <c r="U36" l="1"/>
  <c r="U56"/>
  <c r="U27"/>
  <c r="U41"/>
  <c r="T60"/>
  <c r="S60"/>
  <c r="R60"/>
  <c r="P60"/>
  <c r="Q60"/>
  <c r="O60"/>
  <c r="N60"/>
  <c r="M60"/>
  <c r="L60"/>
  <c r="K60"/>
  <c r="J60"/>
  <c r="I60"/>
  <c r="H74"/>
  <c r="H72"/>
  <c r="H56"/>
  <c r="F52"/>
  <c r="U60" l="1"/>
  <c r="H37"/>
  <c r="H36"/>
  <c r="F39"/>
  <c r="F35"/>
  <c r="F14"/>
  <c r="M14" s="1"/>
  <c r="U14" s="1"/>
  <c r="F15"/>
  <c r="F16"/>
  <c r="F17"/>
  <c r="F18"/>
  <c r="F19"/>
  <c r="S39" l="1"/>
  <c r="T39"/>
  <c r="S35"/>
  <c r="T35"/>
  <c r="M18"/>
  <c r="U18" s="1"/>
  <c r="M16"/>
  <c r="U16" s="1"/>
  <c r="M19"/>
  <c r="U19" s="1"/>
  <c r="M17"/>
  <c r="U17" s="1"/>
  <c r="M15"/>
  <c r="U15" s="1"/>
  <c r="L35"/>
  <c r="K35"/>
  <c r="L39"/>
  <c r="K39"/>
  <c r="I35"/>
  <c r="U35" s="1"/>
  <c r="J35"/>
  <c r="I39"/>
  <c r="U39" s="1"/>
  <c r="J39"/>
  <c r="H59"/>
  <c r="F143" l="1"/>
  <c r="H142"/>
  <c r="E84"/>
  <c r="H88" s="1"/>
  <c r="F82"/>
  <c r="H82" s="1"/>
  <c r="F81"/>
  <c r="H78"/>
  <c r="H76"/>
  <c r="F75"/>
  <c r="H75" s="1"/>
  <c r="H71"/>
  <c r="H69"/>
  <c r="F68"/>
  <c r="M68" s="1"/>
  <c r="U68" s="1"/>
  <c r="F67"/>
  <c r="M67" s="1"/>
  <c r="U67" s="1"/>
  <c r="F66"/>
  <c r="M66" s="1"/>
  <c r="U66" s="1"/>
  <c r="F65"/>
  <c r="M65" s="1"/>
  <c r="U65" s="1"/>
  <c r="F64"/>
  <c r="M64" s="1"/>
  <c r="U64" s="1"/>
  <c r="H63"/>
  <c r="H62"/>
  <c r="H57"/>
  <c r="F55"/>
  <c r="H52"/>
  <c r="H51"/>
  <c r="F50"/>
  <c r="F49"/>
  <c r="F48"/>
  <c r="F47"/>
  <c r="F46"/>
  <c r="F45"/>
  <c r="F44"/>
  <c r="H41"/>
  <c r="H39"/>
  <c r="F38"/>
  <c r="H35"/>
  <c r="H34"/>
  <c r="F31"/>
  <c r="T31" s="1"/>
  <c r="H30"/>
  <c r="H29"/>
  <c r="F28"/>
  <c r="F26"/>
  <c r="F25"/>
  <c r="F24"/>
  <c r="F21"/>
  <c r="M21" s="1"/>
  <c r="U21" s="1"/>
  <c r="H18"/>
  <c r="H17"/>
  <c r="H14"/>
  <c r="E13"/>
  <c r="F13" s="1"/>
  <c r="T13" s="1"/>
  <c r="F12"/>
  <c r="T12" s="1"/>
  <c r="F11"/>
  <c r="S11" l="1"/>
  <c r="T11"/>
  <c r="S55"/>
  <c r="T55"/>
  <c r="T81"/>
  <c r="S81"/>
  <c r="S28"/>
  <c r="T28"/>
  <c r="S38"/>
  <c r="T38"/>
  <c r="Q48"/>
  <c r="T48"/>
  <c r="R11"/>
  <c r="P11"/>
  <c r="Q11"/>
  <c r="Q13"/>
  <c r="S13"/>
  <c r="R13"/>
  <c r="Q25"/>
  <c r="R25"/>
  <c r="Q31"/>
  <c r="S31"/>
  <c r="R31"/>
  <c r="M45"/>
  <c r="Q45"/>
  <c r="M47"/>
  <c r="Q47"/>
  <c r="L49"/>
  <c r="R49"/>
  <c r="L55"/>
  <c r="R81"/>
  <c r="P81"/>
  <c r="Q81"/>
  <c r="R12"/>
  <c r="Q12"/>
  <c r="S12"/>
  <c r="R24"/>
  <c r="P24"/>
  <c r="Q24"/>
  <c r="M26"/>
  <c r="U26" s="1"/>
  <c r="R28"/>
  <c r="Q28"/>
  <c r="M44"/>
  <c r="Q44"/>
  <c r="M46"/>
  <c r="Q46"/>
  <c r="L50"/>
  <c r="R50"/>
  <c r="P12"/>
  <c r="O12"/>
  <c r="N11"/>
  <c r="O11"/>
  <c r="P13"/>
  <c r="O13"/>
  <c r="P25"/>
  <c r="O25"/>
  <c r="N31"/>
  <c r="P31"/>
  <c r="O31"/>
  <c r="N81"/>
  <c r="O81"/>
  <c r="O24"/>
  <c r="N24"/>
  <c r="P28"/>
  <c r="O28"/>
  <c r="N28"/>
  <c r="N12"/>
  <c r="M12"/>
  <c r="L12"/>
  <c r="K12"/>
  <c r="M11"/>
  <c r="L11"/>
  <c r="K11"/>
  <c r="J11"/>
  <c r="N13"/>
  <c r="M13"/>
  <c r="L13"/>
  <c r="K13"/>
  <c r="N25"/>
  <c r="M25"/>
  <c r="U25" s="1"/>
  <c r="M31"/>
  <c r="L31"/>
  <c r="K31"/>
  <c r="K55"/>
  <c r="J55"/>
  <c r="M81"/>
  <c r="L81"/>
  <c r="K81"/>
  <c r="J81"/>
  <c r="M24"/>
  <c r="U24" s="1"/>
  <c r="M28"/>
  <c r="L28"/>
  <c r="K28"/>
  <c r="J28"/>
  <c r="L38"/>
  <c r="K38"/>
  <c r="J48"/>
  <c r="M48"/>
  <c r="H26"/>
  <c r="H21"/>
  <c r="H25"/>
  <c r="H64"/>
  <c r="H66"/>
  <c r="H68"/>
  <c r="H24"/>
  <c r="H65"/>
  <c r="H67"/>
  <c r="I11"/>
  <c r="U11" s="1"/>
  <c r="I12"/>
  <c r="J12"/>
  <c r="I28"/>
  <c r="J38"/>
  <c r="H44"/>
  <c r="H46"/>
  <c r="I48"/>
  <c r="U48" s="1"/>
  <c r="H50"/>
  <c r="I13"/>
  <c r="U13" s="1"/>
  <c r="J13"/>
  <c r="J31"/>
  <c r="H45"/>
  <c r="H47"/>
  <c r="H49"/>
  <c r="I81"/>
  <c r="U81" s="1"/>
  <c r="H31"/>
  <c r="I31"/>
  <c r="U31" s="1"/>
  <c r="H55"/>
  <c r="I55"/>
  <c r="U55" s="1"/>
  <c r="H38"/>
  <c r="I38"/>
  <c r="U38" s="1"/>
  <c r="H40"/>
  <c r="U40"/>
  <c r="H81"/>
  <c r="H83" s="1"/>
  <c r="H28"/>
  <c r="H48"/>
  <c r="H11"/>
  <c r="H12"/>
  <c r="H16"/>
  <c r="H13"/>
  <c r="H15"/>
  <c r="F84"/>
  <c r="H19"/>
  <c r="H42"/>
  <c r="U49" l="1"/>
  <c r="U47"/>
  <c r="U45"/>
  <c r="U28"/>
  <c r="U12"/>
  <c r="U50"/>
  <c r="U46"/>
  <c r="U44"/>
  <c r="H79"/>
  <c r="T84"/>
  <c r="S84"/>
  <c r="R84"/>
  <c r="P84"/>
  <c r="Q84"/>
  <c r="N84"/>
  <c r="O84"/>
  <c r="M84"/>
  <c r="L84"/>
  <c r="J84"/>
  <c r="J143" s="1"/>
  <c r="K84"/>
  <c r="H53"/>
  <c r="H32"/>
  <c r="U79"/>
  <c r="T143"/>
  <c r="Q143"/>
  <c r="R143"/>
  <c r="P143"/>
  <c r="M143"/>
  <c r="U32"/>
  <c r="N143"/>
  <c r="O143"/>
  <c r="S143"/>
  <c r="I84"/>
  <c r="U84" s="1"/>
  <c r="L143"/>
  <c r="U83"/>
  <c r="U53"/>
  <c r="K143"/>
  <c r="U42"/>
  <c r="H84"/>
  <c r="H85" s="1"/>
  <c r="H22"/>
  <c r="U22" l="1"/>
  <c r="U85"/>
  <c r="I143"/>
  <c r="H86"/>
  <c r="H89" s="1"/>
  <c r="G143" s="1"/>
  <c r="H143" s="1"/>
  <c r="C149" l="1"/>
  <c r="U143" l="1"/>
  <c r="C148" l="1"/>
  <c r="C152"/>
</calcChain>
</file>

<file path=xl/sharedStrings.xml><?xml version="1.0" encoding="utf-8"?>
<sst xmlns="http://schemas.openxmlformats.org/spreadsheetml/2006/main" count="419" uniqueCount="294">
  <si>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</si>
  <si>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</si>
  <si>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</si>
  <si>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</si>
  <si>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</si>
  <si>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</si>
  <si>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</si>
  <si>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</si>
  <si>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</si>
  <si>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</si>
  <si>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</si>
  <si>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</si>
  <si>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</si>
  <si>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</si>
  <si>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</si>
  <si>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</si>
  <si>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</si>
  <si>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</si>
  <si>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</si>
  <si>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</si>
  <si>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</si>
  <si>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</si>
  <si>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</si>
  <si>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</si>
  <si>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</si>
  <si>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</si>
  <si>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</si>
  <si>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</si>
  <si>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</si>
  <si>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</si>
  <si>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</si>
  <si>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</si>
  <si>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</si>
  <si>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</si>
  <si>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</si>
  <si>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</si>
  <si>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</si>
  <si>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</si>
  <si>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</si>
  <si>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</si>
  <si>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</si>
  <si>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</si>
  <si>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</si>
  <si>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</si>
  <si>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</si>
  <si>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</si>
  <si>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</si>
  <si>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</si>
  <si>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</si>
  <si>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</si>
  <si>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</si>
  <si>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</si>
  <si>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</si>
  <si>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</si>
  <si>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</si>
  <si>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</si>
  <si>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</si>
  <si>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</si>
  <si>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</si>
  <si>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</si>
  <si>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</si>
  <si>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</si>
  <si>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</si>
  <si>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</si>
  <si>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</si>
  <si>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</si>
  <si>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</si>
  <si>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</si>
  <si>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</si>
  <si>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</si>
  <si>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</si>
  <si>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</si>
  <si>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</si>
  <si>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</si>
  <si>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</si>
  <si>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</si>
  <si>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</si>
  <si>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</si>
  <si>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</si>
  <si>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</si>
  <si>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</si>
  <si>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</si>
  <si>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</si>
  <si>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</si>
  <si>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Смена выключателей</t>
  </si>
  <si>
    <t>Смена патронов</t>
  </si>
  <si>
    <t>Замена ламп ДРЛ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</si>
  <si>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</si>
  <si>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</si>
  <si>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</si>
  <si>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</si>
  <si>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</si>
  <si>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</si>
  <si>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</si>
  <si>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</si>
  <si>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</si>
  <si>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</si>
  <si>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</si>
  <si>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</si>
  <si>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</si>
  <si>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</si>
  <si>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</si>
  <si>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</si>
  <si>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</si>
  <si>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</si>
  <si>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</si>
  <si>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</si>
  <si>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</si>
  <si>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3 раза в год</t>
  </si>
  <si>
    <t>Очистка чердака, подвала от мусора</t>
  </si>
  <si>
    <t>12 раз за сезон</t>
  </si>
  <si>
    <t>24 раза за сезон</t>
  </si>
  <si>
    <t>30 раз за сезон</t>
  </si>
  <si>
    <t>Вывоз снега с придомовой территории</t>
  </si>
  <si>
    <t>Очистка внутреннего водостока</t>
  </si>
  <si>
    <t>водосток</t>
  </si>
  <si>
    <t xml:space="preserve">Очистка водостоков от наледи 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</si>
  <si>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</si>
  <si>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</si>
  <si>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</si>
  <si>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</si>
  <si>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Дератизация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</si>
  <si>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</si>
  <si>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</si>
  <si>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</si>
  <si>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</si>
  <si>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</si>
  <si>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</si>
  <si>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</si>
  <si>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</si>
  <si>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</si>
  <si>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</si>
  <si>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</si>
  <si>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калькуляция</t>
  </si>
  <si>
    <t>1шт.</t>
  </si>
  <si>
    <t>Стоимость (руб.)</t>
  </si>
  <si>
    <t>5 этажей, 8 подъездов</t>
  </si>
  <si>
    <t>договор</t>
  </si>
  <si>
    <t>ТО внутридомового газ.оборудования</t>
  </si>
  <si>
    <t>Выполне ние       май</t>
  </si>
  <si>
    <t>Ремонт дверных полотен со сменой брусков обвязки горизонтальных на 2 сопряжения верхних</t>
  </si>
  <si>
    <t>брусок</t>
  </si>
  <si>
    <t>место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</si>
  <si>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</si>
  <si>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</si>
  <si>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</si>
  <si>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</si>
  <si>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>Сдвигание снега в дни снегопада (проезды)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</si>
  <si>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</si>
  <si>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</si>
  <si>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</si>
  <si>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</si>
  <si>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</si>
  <si>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</si>
  <si>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смета</t>
  </si>
  <si>
    <t>1 м</t>
  </si>
  <si>
    <t>1 шт</t>
  </si>
  <si>
    <t>Осмотр рулонной кровли</t>
  </si>
  <si>
    <t>счёт</t>
  </si>
  <si>
    <t>Ревизия 110 мм</t>
  </si>
  <si>
    <t>Переход чугун-пластик Ду 110 с манжетой</t>
  </si>
  <si>
    <t>1 соединение</t>
  </si>
  <si>
    <t>маш/час</t>
  </si>
  <si>
    <t>Смена арматуры - вентилей и клапанов обратных муфтовых диаметром до 20 мм</t>
  </si>
  <si>
    <t>10 м2</t>
  </si>
  <si>
    <t>3м</t>
  </si>
  <si>
    <t>Внеплановый осмотр электросетей, армазуры и электрооборудования на лестничных клетках</t>
  </si>
  <si>
    <t>Смена дверных приборов (замки навесные)</t>
  </si>
  <si>
    <t>ТЕР 51-001</t>
  </si>
  <si>
    <t>ТЕР 51-009</t>
  </si>
  <si>
    <t>ТЕР 51-025</t>
  </si>
  <si>
    <t>ТЕР 51-031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</si>
  <si>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</si>
  <si>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</si>
  <si>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</si>
  <si>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</si>
  <si>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</si>
  <si>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</si>
  <si>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</si>
  <si>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</si>
  <si>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</si>
  <si>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</si>
  <si>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</si>
  <si>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</si>
  <si>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</si>
  <si>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</si>
  <si>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</si>
  <si>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</si>
  <si>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</si>
  <si>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</si>
  <si>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</si>
  <si>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</si>
  <si>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</si>
  <si>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</si>
  <si>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</si>
  <si>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</si>
  <si>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 xml:space="preserve">пр.ТЕР 54-041 </t>
  </si>
  <si>
    <t>пр.ТЕР 54-041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</si>
  <si>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</si>
  <si>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</si>
  <si>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</si>
  <si>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</si>
  <si>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</si>
  <si>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</si>
  <si>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</si>
  <si>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</si>
  <si>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</si>
  <si>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33-025</t>
  </si>
  <si>
    <t>ТЕР 33-028</t>
  </si>
  <si>
    <t>ТЕР 33-043</t>
  </si>
  <si>
    <t>ТЕР 33-049</t>
  </si>
  <si>
    <t>ТЕР 33-030</t>
  </si>
  <si>
    <t>ТЕР 15-006</t>
  </si>
  <si>
    <t>пр.ТЕР 32-098</t>
  </si>
  <si>
    <t>пр.ТЕР 32-083</t>
  </si>
  <si>
    <t>ТЕР 32-027</t>
  </si>
  <si>
    <t>ТЕР 32-028</t>
  </si>
  <si>
    <t>пр.ТЕР 2-2-1-2-7</t>
  </si>
  <si>
    <t>ТЕР 15-051</t>
  </si>
  <si>
    <t>Подключение и отключение сварочного аппарата</t>
  </si>
  <si>
    <t>ТЕР 33-060</t>
  </si>
  <si>
    <t>пр.ТЕР 32-027</t>
  </si>
  <si>
    <t>100шт</t>
  </si>
  <si>
    <t>Внеплановый осмотр вводных электрических щитков</t>
  </si>
  <si>
    <t>100 м шва</t>
  </si>
  <si>
    <t>пр.ТЕР 07-05-039-1</t>
  </si>
  <si>
    <t>Баланс выполненных работ на 01.01.2017 г. ( -долг за предприятием, +долг за населением)</t>
  </si>
  <si>
    <t>С учетом показателя инфляции (К=1,054)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</si>
  <si>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</si>
  <si>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</si>
  <si>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</si>
  <si>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</si>
  <si>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2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</si>
  <si>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1 полотно</t>
  </si>
  <si>
    <t>ТЕР 20-1-134-2</t>
  </si>
  <si>
    <t>пр.ТЕР 32-101</t>
  </si>
  <si>
    <t>Прочистка засоров фановых труб</t>
  </si>
  <si>
    <t>пр.ТЕР 33-023</t>
  </si>
  <si>
    <t>Работа автовышки</t>
  </si>
  <si>
    <t>пр.ТЕР 32-097</t>
  </si>
  <si>
    <t>Отвод 110*90°</t>
  </si>
  <si>
    <t>Манжета 100</t>
  </si>
  <si>
    <r>
      <t>Патрубок компенсационный ПП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 100</t>
    </r>
  </si>
  <si>
    <t>ТЕР 33-041</t>
  </si>
  <si>
    <t>ТЕР 33-022</t>
  </si>
  <si>
    <t>пр.ТЕР 17-017</t>
  </si>
  <si>
    <t>пр.ТЕР 22-038</t>
  </si>
  <si>
    <t>Простая масляная окраска ранее окрашенных входных металлических дверей (I-VIII под. и 2 двери в подвал)</t>
  </si>
  <si>
    <t>Смена пробко-спускных кранов</t>
  </si>
  <si>
    <t>ТЕР 31-047</t>
  </si>
  <si>
    <t>Отвод 110*45°</t>
  </si>
  <si>
    <r>
      <t>Тройник 110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110/90°</t>
    </r>
  </si>
  <si>
    <t>Муфта ремонтная 110</t>
  </si>
  <si>
    <t>пр.ТЕР 2-2-1-2-17</t>
  </si>
  <si>
    <t>1 место</t>
  </si>
  <si>
    <t>ТЕР 21-003</t>
  </si>
  <si>
    <t>Окрашивание ранее окрашенных водоэмульсионной краской стен с расчисткой старой краски до 10 %, помещений площадью менее 5 м2</t>
  </si>
  <si>
    <t>ТЕР 22-083</t>
  </si>
  <si>
    <t>Окрашивание ранее окрашенных водоэмульсионной краской потолков с расчисткой старой краски до 10 %, помещений площадью менее 5 м2</t>
  </si>
  <si>
    <t>ТЕР 22-089</t>
  </si>
  <si>
    <t>пр.ТЕР 31-047</t>
  </si>
  <si>
    <r>
      <t>Переход 110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</t>
    </r>
  </si>
  <si>
    <t>1м</t>
  </si>
  <si>
    <t>ТЕР Q2-2-1-3-3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</si>
  <si>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</si>
  <si>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</si>
  <si>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руб.</t>
  </si>
  <si>
    <t>15 раз за сезон</t>
  </si>
  <si>
    <t>Пристрожка полотна по кромкам (3-й подъезд)</t>
  </si>
  <si>
    <t>Ремонт штукатурки внутренних стен по камню известковым раствором площадью до 10 м2 толщиной слоя до 20 мм (кв.101)</t>
  </si>
  <si>
    <t>Ремонт входной площадки (7 подъезд)</t>
  </si>
  <si>
    <t>Смена светодиодных светильников ( 8-й подъезд)</t>
  </si>
  <si>
    <t>Ремонт групповых щитков на лестничной клетке без ремонта автоматов (6-й подъезд)</t>
  </si>
  <si>
    <t>Смена плавкой вставки (кв. 46)</t>
  </si>
  <si>
    <t>Смена пакетных выключателей (кв. 2)</t>
  </si>
  <si>
    <t>Смена светодиодных светильников (4-й подъезд)</t>
  </si>
  <si>
    <t>Ремонт и регулировка доводчика (без стоимости доводчика) (8-й подъезд)</t>
  </si>
  <si>
    <t>Ремонт и регулировка доводчика (со стоимостью доводчика) (1-й подъезд)</t>
  </si>
  <si>
    <t>Дезинфекция подвала (1-й,3-й подъезд)</t>
  </si>
  <si>
    <t>Установка хомута диаметром 50-75 мм (7-й подъезд)</t>
  </si>
  <si>
    <t>Прочистка засоров канализации (1-й,3-й ,7-й,8-й подъезд, кв 92,76)</t>
  </si>
  <si>
    <t>Смена полиэтиленовых канализационных труб 110×2000 мм (кв 102,101,104)</t>
  </si>
  <si>
    <t>Смена трубопроводов на полипропиленовые трубы PN20 диаметром 20 мм (кв.68,104,101)</t>
  </si>
  <si>
    <t>Смена вентилей диаметром до 20 мм (без стоимсти материалов) (кв 107,45,41,60)</t>
  </si>
  <si>
    <t>Смена трубопроводов на полипропиленовые трубы PN25 диаметром 25 мм (кв, 68,91)</t>
  </si>
  <si>
    <t>Смена трубопроводов на полипропиленовые трубы PN25 диаметром 20 мм (кв. 40,42.92,68,91)</t>
  </si>
  <si>
    <t>Смена пробко-спускных кранов (без учёта материалов) (кв.58)</t>
  </si>
  <si>
    <t>Герметизация стыков трубопроводов (кв 50,47)</t>
  </si>
  <si>
    <t>Установка хомута диаметром до 50 мм (кв.12,88,54,41,104,55,112)</t>
  </si>
  <si>
    <t>Смена арматуры - вентилей и клапанов обратных муфтовых диаметром до 32 мм(кв 115)</t>
  </si>
  <si>
    <t>Смена трубопроводов на полипропиленовые трубы PN25 диаметром до 32 мм (кв 93)</t>
  </si>
  <si>
    <t>Устройство герметизации горизонтальных и вертикальных стыков стеновых панелей (над кв.72)</t>
  </si>
  <si>
    <t>Герметизация мест примыкания мягкой кровли к фановой трубе( 7-й подъезд)</t>
  </si>
  <si>
    <t>Уплотнение сгонов с применением льняной пряди или асбестового шнура (без разборки сгонов) (кв 71)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</si>
</sst>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5" borderId="0" xfId="0" applyFill="1"/>
    <xf numFmtId="0" fontId="1" fillId="4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/>
    <xf numFmtId="0" fontId="3" fillId="4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4" fontId="1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3" fillId="10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4" fillId="8" borderId="1" xfId="0" applyNumberFormat="1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4" fontId="0" fillId="8" borderId="1" xfId="0" applyNumberForma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0" fillId="4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0" fillId="13" borderId="0" xfId="0" applyFill="1"/>
    <xf numFmtId="0" fontId="0" fillId="0" borderId="0" xfId="0" applyFill="1"/>
    <xf numFmtId="0" fontId="1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vertical="center"/>
    </xf>
    <xf numFmtId="4" fontId="3" fillId="11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1" fillId="5" borderId="1" xfId="0" applyFont="1" applyFill="1" applyBorder="1"/>
    <xf numFmtId="4" fontId="3" fillId="1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56"/>
  <sheetViews>
    <sheetView tabSelected="1" view="pageBreakPreview" zoomScaleNormal="75" zoomScaleSheetLayoutView="100" workbookViewId="0">
      <pane ySplit="7" topLeftCell="A99" activePane="bottomLeft" state="frozen"/>
      <selection activeCell="B1" sqref="B1"/>
      <selection pane="bottomLeft" activeCell="B97" sqref="B97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9" width="11.42578125" customWidth="1"/>
    <col min="10" max="10" width="10.5703125" customWidth="1"/>
    <col min="11" max="11" width="11.28515625" customWidth="1"/>
    <col min="12" max="12" width="11" customWidth="1"/>
    <col min="13" max="14" width="11.28515625" customWidth="1"/>
    <col min="15" max="15" width="10.85546875" customWidth="1"/>
    <col min="16" max="16" width="11.140625" customWidth="1"/>
    <col min="17" max="19" width="11" customWidth="1"/>
    <col min="20" max="20" width="11.28515625" customWidth="1"/>
    <col min="21" max="21" width="13.5703125" customWidth="1"/>
  </cols>
  <sheetData>
    <row r="1" spans="1:21" ht="14.25" customHeight="1">
      <c r="A1" s="81"/>
    </row>
    <row r="3" spans="1:21" ht="18">
      <c r="A3" s="75"/>
      <c r="B3" s="117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29"/>
      <c r="N3" s="29"/>
      <c r="O3" s="29"/>
      <c r="P3" s="29"/>
      <c r="Q3" s="29"/>
      <c r="R3" s="29"/>
      <c r="S3" s="29"/>
      <c r="T3" s="29"/>
      <c r="U3" s="29"/>
    </row>
    <row r="4" spans="1:21" ht="35.25" customHeight="1">
      <c r="A4" s="29"/>
      <c r="B4" s="118" t="s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29"/>
      <c r="N4" s="29"/>
      <c r="O4" s="29"/>
      <c r="P4" s="29"/>
      <c r="Q4" s="29"/>
      <c r="R4" s="29"/>
      <c r="S4" s="29"/>
      <c r="T4" s="29"/>
      <c r="U4" s="29"/>
    </row>
    <row r="5" spans="1:21" ht="18">
      <c r="A5" s="29"/>
      <c r="B5" s="118" t="s">
        <v>232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29"/>
      <c r="N5" s="29"/>
      <c r="O5" s="29"/>
      <c r="P5" s="29"/>
      <c r="Q5" s="29"/>
      <c r="R5" s="29"/>
      <c r="S5" s="29"/>
      <c r="T5" s="29"/>
      <c r="U5" s="29"/>
    </row>
    <row r="6" spans="1:21" ht="14.25">
      <c r="A6" s="29"/>
      <c r="B6" s="119" t="s">
        <v>136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29"/>
      <c r="N6" s="29"/>
      <c r="O6" s="29"/>
      <c r="P6" s="29"/>
      <c r="Q6" s="29"/>
      <c r="R6" s="29"/>
      <c r="S6" s="29"/>
      <c r="T6" s="29"/>
      <c r="U6" s="29"/>
    </row>
    <row r="7" spans="1:21" ht="50.25" customHeight="1">
      <c r="A7" s="94" t="s">
        <v>2</v>
      </c>
      <c r="B7" s="94" t="s">
        <v>3</v>
      </c>
      <c r="C7" s="94" t="s">
        <v>4</v>
      </c>
      <c r="D7" s="94" t="s">
        <v>5</v>
      </c>
      <c r="E7" s="94" t="s">
        <v>6</v>
      </c>
      <c r="F7" s="94" t="s">
        <v>7</v>
      </c>
      <c r="G7" s="94" t="s">
        <v>8</v>
      </c>
      <c r="H7" s="94" t="s">
        <v>9</v>
      </c>
      <c r="I7" s="15" t="s">
        <v>122</v>
      </c>
      <c r="J7" s="15" t="s">
        <v>123</v>
      </c>
      <c r="K7" s="15" t="s">
        <v>124</v>
      </c>
      <c r="L7" s="15" t="s">
        <v>125</v>
      </c>
      <c r="M7" s="15" t="s">
        <v>139</v>
      </c>
      <c r="N7" s="15" t="s">
        <v>126</v>
      </c>
      <c r="O7" s="15" t="s">
        <v>127</v>
      </c>
      <c r="P7" s="15" t="s">
        <v>128</v>
      </c>
      <c r="Q7" s="15" t="s">
        <v>129</v>
      </c>
      <c r="R7" s="15" t="s">
        <v>130</v>
      </c>
      <c r="S7" s="15" t="s">
        <v>131</v>
      </c>
      <c r="T7" s="15" t="s">
        <v>132</v>
      </c>
      <c r="U7" s="15" t="s">
        <v>135</v>
      </c>
    </row>
    <row r="8" spans="1:21">
      <c r="A8" s="26">
        <v>1</v>
      </c>
      <c r="B8" s="95">
        <v>2</v>
      </c>
      <c r="C8" s="26">
        <v>3</v>
      </c>
      <c r="D8" s="95">
        <v>4</v>
      </c>
      <c r="E8" s="95">
        <v>5</v>
      </c>
      <c r="F8" s="26">
        <v>6</v>
      </c>
      <c r="G8" s="26">
        <v>7</v>
      </c>
      <c r="H8" s="2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</row>
    <row r="9" spans="1:21" ht="38.25">
      <c r="A9" s="26"/>
      <c r="B9" s="96" t="s">
        <v>10</v>
      </c>
      <c r="C9" s="26"/>
      <c r="D9" s="8"/>
      <c r="E9" s="8"/>
      <c r="F9" s="26"/>
      <c r="G9" s="26"/>
      <c r="H9" s="97"/>
      <c r="I9" s="17"/>
      <c r="J9" s="17"/>
      <c r="K9" s="17"/>
      <c r="L9" s="17"/>
      <c r="M9" s="98"/>
      <c r="N9" s="18"/>
      <c r="O9" s="18"/>
      <c r="P9" s="18"/>
      <c r="Q9" s="18"/>
      <c r="R9" s="18"/>
      <c r="S9" s="18"/>
      <c r="T9" s="18"/>
      <c r="U9" s="18"/>
    </row>
    <row r="10" spans="1:21">
      <c r="A10" s="26"/>
      <c r="B10" s="96" t="s">
        <v>11</v>
      </c>
      <c r="C10" s="26"/>
      <c r="D10" s="8"/>
      <c r="E10" s="8"/>
      <c r="F10" s="26"/>
      <c r="G10" s="26"/>
      <c r="H10" s="97"/>
      <c r="I10" s="17"/>
      <c r="J10" s="17"/>
      <c r="K10" s="17"/>
      <c r="L10" s="17"/>
      <c r="M10" s="98"/>
      <c r="N10" s="18"/>
      <c r="O10" s="18"/>
      <c r="P10" s="18"/>
      <c r="Q10" s="18"/>
      <c r="R10" s="18"/>
      <c r="S10" s="18"/>
      <c r="T10" s="18"/>
      <c r="U10" s="18"/>
    </row>
    <row r="11" spans="1:21" ht="25.5">
      <c r="A11" s="26" t="s">
        <v>168</v>
      </c>
      <c r="B11" s="8" t="s">
        <v>12</v>
      </c>
      <c r="C11" s="26" t="s">
        <v>13</v>
      </c>
      <c r="D11" s="8" t="s">
        <v>14</v>
      </c>
      <c r="E11" s="27">
        <v>129.88</v>
      </c>
      <c r="F11" s="22">
        <f>SUM(E11*156/100)</f>
        <v>202.61279999999999</v>
      </c>
      <c r="G11" s="22">
        <v>175.38</v>
      </c>
      <c r="H11" s="22">
        <f t="shared" ref="H11:H21" si="0">SUM(F11*G11/1000)</f>
        <v>35.534232863999996</v>
      </c>
      <c r="I11" s="19">
        <f>F11/12*G11</f>
        <v>2961.186072</v>
      </c>
      <c r="J11" s="19">
        <f>F11/12*G11</f>
        <v>2961.186072</v>
      </c>
      <c r="K11" s="19">
        <f>F11/12*G11</f>
        <v>2961.186072</v>
      </c>
      <c r="L11" s="19">
        <f>F11/12*G11</f>
        <v>2961.186072</v>
      </c>
      <c r="M11" s="19">
        <f>F11/12*G11</f>
        <v>2961.186072</v>
      </c>
      <c r="N11" s="19">
        <f>F11/12*G11</f>
        <v>2961.186072</v>
      </c>
      <c r="O11" s="19">
        <f>F11/12*G11</f>
        <v>2961.186072</v>
      </c>
      <c r="P11" s="19">
        <f>F11/12*G11</f>
        <v>2961.186072</v>
      </c>
      <c r="Q11" s="19">
        <f>F11/12*G11</f>
        <v>2961.186072</v>
      </c>
      <c r="R11" s="19">
        <f>F11/12*G11</f>
        <v>2961.186072</v>
      </c>
      <c r="S11" s="19">
        <f>F11/12*G11</f>
        <v>2961.186072</v>
      </c>
      <c r="T11" s="19">
        <f>F11/12*G11</f>
        <v>2961.186072</v>
      </c>
      <c r="U11" s="19">
        <f>SUM(I11:T11)</f>
        <v>35534.232863999998</v>
      </c>
    </row>
    <row r="12" spans="1:21" ht="25.5">
      <c r="A12" s="26" t="s">
        <v>168</v>
      </c>
      <c r="B12" s="8" t="s">
        <v>15</v>
      </c>
      <c r="C12" s="26" t="s">
        <v>13</v>
      </c>
      <c r="D12" s="8" t="s">
        <v>16</v>
      </c>
      <c r="E12" s="27">
        <v>519.52</v>
      </c>
      <c r="F12" s="22">
        <f>SUM(E12*104/100)</f>
        <v>540.30079999999998</v>
      </c>
      <c r="G12" s="22">
        <v>175.38</v>
      </c>
      <c r="H12" s="22">
        <f t="shared" si="0"/>
        <v>94.757954303999995</v>
      </c>
      <c r="I12" s="19">
        <f>F12/12*G12</f>
        <v>7896.4961919999996</v>
      </c>
      <c r="J12" s="19">
        <f>F12/12*G12</f>
        <v>7896.4961919999996</v>
      </c>
      <c r="K12" s="19">
        <f t="shared" ref="K12:K13" si="1">F12/12*G12</f>
        <v>7896.4961919999996</v>
      </c>
      <c r="L12" s="19">
        <f t="shared" ref="L12:L13" si="2">F12/12*G12</f>
        <v>7896.4961919999996</v>
      </c>
      <c r="M12" s="19">
        <f t="shared" ref="M12:M13" si="3">F12/12*G12</f>
        <v>7896.4961919999996</v>
      </c>
      <c r="N12" s="19">
        <f t="shared" ref="N12:N13" si="4">F12/12*G12</f>
        <v>7896.4961919999996</v>
      </c>
      <c r="O12" s="19">
        <f t="shared" ref="O12:O13" si="5">F12/12*G12</f>
        <v>7896.4961919999996</v>
      </c>
      <c r="P12" s="19">
        <f t="shared" ref="P12:P13" si="6">F12/12*G12</f>
        <v>7896.4961919999996</v>
      </c>
      <c r="Q12" s="19">
        <f t="shared" ref="Q12:Q13" si="7">F12/12*G12</f>
        <v>7896.4961919999996</v>
      </c>
      <c r="R12" s="19">
        <f t="shared" ref="R12:R13" si="8">F12/12*G12</f>
        <v>7896.4961919999996</v>
      </c>
      <c r="S12" s="19">
        <f t="shared" ref="S12:S13" si="9">F12/12*G12</f>
        <v>7896.4961919999996</v>
      </c>
      <c r="T12" s="19">
        <f t="shared" ref="T12:T13" si="10">F12/12*G12</f>
        <v>7896.4961919999996</v>
      </c>
      <c r="U12" s="19">
        <f t="shared" ref="U12:U21" si="11">SUM(I12:T12)</f>
        <v>94757.954304000014</v>
      </c>
    </row>
    <row r="13" spans="1:21" ht="25.5">
      <c r="A13" s="26" t="s">
        <v>169</v>
      </c>
      <c r="B13" s="8" t="s">
        <v>17</v>
      </c>
      <c r="C13" s="26" t="s">
        <v>13</v>
      </c>
      <c r="D13" s="8" t="s">
        <v>18</v>
      </c>
      <c r="E13" s="27">
        <f>SUM(E11+E12)</f>
        <v>649.4</v>
      </c>
      <c r="F13" s="22">
        <f>SUM(E13*24/100)</f>
        <v>155.85599999999999</v>
      </c>
      <c r="G13" s="22">
        <v>504.5</v>
      </c>
      <c r="H13" s="22">
        <f t="shared" si="0"/>
        <v>78.629351999999997</v>
      </c>
      <c r="I13" s="19">
        <f>F13/12*G13</f>
        <v>6552.4459999999999</v>
      </c>
      <c r="J13" s="19">
        <f>F13/12*G13</f>
        <v>6552.4459999999999</v>
      </c>
      <c r="K13" s="19">
        <f t="shared" si="1"/>
        <v>6552.4459999999999</v>
      </c>
      <c r="L13" s="19">
        <f t="shared" si="2"/>
        <v>6552.4459999999999</v>
      </c>
      <c r="M13" s="19">
        <f t="shared" si="3"/>
        <v>6552.4459999999999</v>
      </c>
      <c r="N13" s="19">
        <f t="shared" si="4"/>
        <v>6552.4459999999999</v>
      </c>
      <c r="O13" s="19">
        <f t="shared" si="5"/>
        <v>6552.4459999999999</v>
      </c>
      <c r="P13" s="19">
        <f t="shared" si="6"/>
        <v>6552.4459999999999</v>
      </c>
      <c r="Q13" s="19">
        <f t="shared" si="7"/>
        <v>6552.4459999999999</v>
      </c>
      <c r="R13" s="19">
        <f t="shared" si="8"/>
        <v>6552.4459999999999</v>
      </c>
      <c r="S13" s="19">
        <f t="shared" si="9"/>
        <v>6552.4459999999999</v>
      </c>
      <c r="T13" s="19">
        <f t="shared" si="10"/>
        <v>6552.4459999999999</v>
      </c>
      <c r="U13" s="19">
        <f t="shared" si="11"/>
        <v>78629.351999999984</v>
      </c>
    </row>
    <row r="14" spans="1:21">
      <c r="A14" s="26" t="s">
        <v>171</v>
      </c>
      <c r="B14" s="8" t="s">
        <v>19</v>
      </c>
      <c r="C14" s="26" t="s">
        <v>20</v>
      </c>
      <c r="D14" s="8" t="s">
        <v>105</v>
      </c>
      <c r="E14" s="27">
        <v>124.8</v>
      </c>
      <c r="F14" s="22">
        <f>SUM(E14/10)</f>
        <v>12.48</v>
      </c>
      <c r="G14" s="22">
        <v>170.16</v>
      </c>
      <c r="H14" s="22">
        <f t="shared" si="0"/>
        <v>2.1235967999999996</v>
      </c>
      <c r="I14" s="19">
        <v>0</v>
      </c>
      <c r="J14" s="19">
        <v>0</v>
      </c>
      <c r="K14" s="19">
        <v>0</v>
      </c>
      <c r="L14" s="19">
        <v>0</v>
      </c>
      <c r="M14" s="19">
        <f>F14/2*G14</f>
        <v>1061.7983999999999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f t="shared" si="11"/>
        <v>1061.7983999999999</v>
      </c>
    </row>
    <row r="15" spans="1:21">
      <c r="A15" s="26" t="s">
        <v>170</v>
      </c>
      <c r="B15" s="8" t="s">
        <v>21</v>
      </c>
      <c r="C15" s="26" t="s">
        <v>13</v>
      </c>
      <c r="D15" s="8" t="s">
        <v>34</v>
      </c>
      <c r="E15" s="27">
        <v>57.5</v>
      </c>
      <c r="F15" s="22">
        <f>SUM(E15/100)</f>
        <v>0.57499999999999996</v>
      </c>
      <c r="G15" s="22">
        <v>217.88</v>
      </c>
      <c r="H15" s="22">
        <f t="shared" si="0"/>
        <v>0.125281</v>
      </c>
      <c r="I15" s="19">
        <v>0</v>
      </c>
      <c r="J15" s="19">
        <v>0</v>
      </c>
      <c r="K15" s="19">
        <v>0</v>
      </c>
      <c r="L15" s="19">
        <v>0</v>
      </c>
      <c r="M15" s="19">
        <f t="shared" ref="M15:M21" si="12">F15*G15</f>
        <v>125.28099999999999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f t="shared" si="11"/>
        <v>125.28099999999999</v>
      </c>
    </row>
    <row r="16" spans="1:21">
      <c r="A16" s="26" t="s">
        <v>172</v>
      </c>
      <c r="B16" s="8" t="s">
        <v>22</v>
      </c>
      <c r="C16" s="26" t="s">
        <v>13</v>
      </c>
      <c r="D16" s="8" t="s">
        <v>34</v>
      </c>
      <c r="E16" s="27">
        <v>13.41</v>
      </c>
      <c r="F16" s="22">
        <f>SUM(E16/100)</f>
        <v>0.1341</v>
      </c>
      <c r="G16" s="22">
        <v>216.12</v>
      </c>
      <c r="H16" s="22">
        <f t="shared" si="0"/>
        <v>2.8981692E-2</v>
      </c>
      <c r="I16" s="19">
        <v>0</v>
      </c>
      <c r="J16" s="19">
        <v>0</v>
      </c>
      <c r="K16" s="19">
        <v>0</v>
      </c>
      <c r="L16" s="19">
        <v>0</v>
      </c>
      <c r="M16" s="19">
        <f t="shared" si="12"/>
        <v>28.981691999999999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f t="shared" si="11"/>
        <v>28.981691999999999</v>
      </c>
    </row>
    <row r="17" spans="1:21">
      <c r="A17" s="26" t="s">
        <v>173</v>
      </c>
      <c r="B17" s="8" t="s">
        <v>23</v>
      </c>
      <c r="C17" s="26" t="s">
        <v>24</v>
      </c>
      <c r="D17" s="8" t="s">
        <v>105</v>
      </c>
      <c r="E17" s="27">
        <v>820.5</v>
      </c>
      <c r="F17" s="22">
        <f>SUM(E17/100)</f>
        <v>8.2050000000000001</v>
      </c>
      <c r="G17" s="22">
        <v>269.26</v>
      </c>
      <c r="H17" s="22">
        <f t="shared" si="0"/>
        <v>2.2092782999999998</v>
      </c>
      <c r="I17" s="19">
        <v>0</v>
      </c>
      <c r="J17" s="19">
        <v>0</v>
      </c>
      <c r="K17" s="19">
        <v>0</v>
      </c>
      <c r="L17" s="19">
        <v>0</v>
      </c>
      <c r="M17" s="19">
        <f t="shared" si="12"/>
        <v>2209.2782999999999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f t="shared" si="11"/>
        <v>2209.2782999999999</v>
      </c>
    </row>
    <row r="18" spans="1:21">
      <c r="A18" s="26" t="s">
        <v>174</v>
      </c>
      <c r="B18" s="8" t="s">
        <v>25</v>
      </c>
      <c r="C18" s="26" t="s">
        <v>24</v>
      </c>
      <c r="D18" s="8" t="s">
        <v>105</v>
      </c>
      <c r="E18" s="27">
        <v>60.25</v>
      </c>
      <c r="F18" s="22">
        <f>SUM(E18/100)</f>
        <v>0.60250000000000004</v>
      </c>
      <c r="G18" s="22">
        <v>44.29</v>
      </c>
      <c r="H18" s="22">
        <f t="shared" si="0"/>
        <v>2.6684724999999999E-2</v>
      </c>
      <c r="I18" s="19">
        <v>0</v>
      </c>
      <c r="J18" s="19">
        <v>0</v>
      </c>
      <c r="K18" s="19">
        <v>0</v>
      </c>
      <c r="L18" s="19">
        <v>0</v>
      </c>
      <c r="M18" s="19">
        <f t="shared" si="12"/>
        <v>26.684725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f t="shared" si="11"/>
        <v>26.684725</v>
      </c>
    </row>
    <row r="19" spans="1:21">
      <c r="A19" s="26" t="s">
        <v>175</v>
      </c>
      <c r="B19" s="8" t="s">
        <v>26</v>
      </c>
      <c r="C19" s="26" t="s">
        <v>24</v>
      </c>
      <c r="D19" s="8" t="s">
        <v>106</v>
      </c>
      <c r="E19" s="27">
        <v>19.149999999999999</v>
      </c>
      <c r="F19" s="22">
        <f>E19/100</f>
        <v>0.19149999999999998</v>
      </c>
      <c r="G19" s="22">
        <v>389.72</v>
      </c>
      <c r="H19" s="22">
        <f t="shared" si="0"/>
        <v>7.4631379999999997E-2</v>
      </c>
      <c r="I19" s="19">
        <v>0</v>
      </c>
      <c r="J19" s="19">
        <v>0</v>
      </c>
      <c r="K19" s="19">
        <v>0</v>
      </c>
      <c r="L19" s="19">
        <v>0</v>
      </c>
      <c r="M19" s="19">
        <f t="shared" si="12"/>
        <v>74.631379999999993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f t="shared" si="11"/>
        <v>74.631379999999993</v>
      </c>
    </row>
    <row r="20" spans="1:21" ht="25.5">
      <c r="A20" s="26" t="s">
        <v>176</v>
      </c>
      <c r="B20" s="8" t="s">
        <v>107</v>
      </c>
      <c r="C20" s="26" t="s">
        <v>24</v>
      </c>
      <c r="D20" s="8" t="s">
        <v>34</v>
      </c>
      <c r="E20" s="27">
        <v>31.5</v>
      </c>
      <c r="F20" s="22">
        <v>0.32</v>
      </c>
      <c r="G20" s="22">
        <v>216.12</v>
      </c>
      <c r="H20" s="22">
        <f t="shared" si="0"/>
        <v>6.9158399999999995E-2</v>
      </c>
      <c r="I20" s="19">
        <v>0</v>
      </c>
      <c r="J20" s="19">
        <v>0</v>
      </c>
      <c r="K20" s="19">
        <v>0</v>
      </c>
      <c r="L20" s="19">
        <v>0</v>
      </c>
      <c r="M20" s="19">
        <f t="shared" si="12"/>
        <v>69.1584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f t="shared" si="11"/>
        <v>69.1584</v>
      </c>
    </row>
    <row r="21" spans="1:21">
      <c r="A21" s="26" t="s">
        <v>177</v>
      </c>
      <c r="B21" s="8" t="s">
        <v>27</v>
      </c>
      <c r="C21" s="26" t="s">
        <v>24</v>
      </c>
      <c r="D21" s="8" t="s">
        <v>105</v>
      </c>
      <c r="E21" s="27">
        <v>37.5</v>
      </c>
      <c r="F21" s="22">
        <f>SUM(E21/100)</f>
        <v>0.375</v>
      </c>
      <c r="G21" s="22">
        <v>520.79999999999995</v>
      </c>
      <c r="H21" s="22">
        <f t="shared" si="0"/>
        <v>0.19529999999999997</v>
      </c>
      <c r="I21" s="19">
        <v>0</v>
      </c>
      <c r="J21" s="19">
        <v>0</v>
      </c>
      <c r="K21" s="19">
        <v>0</v>
      </c>
      <c r="L21" s="19">
        <v>0</v>
      </c>
      <c r="M21" s="19">
        <f t="shared" si="12"/>
        <v>195.29999999999998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f t="shared" si="11"/>
        <v>195.29999999999998</v>
      </c>
    </row>
    <row r="22" spans="1:21" s="12" customFormat="1">
      <c r="A22" s="49"/>
      <c r="B22" s="44" t="s">
        <v>28</v>
      </c>
      <c r="C22" s="48"/>
      <c r="D22" s="44"/>
      <c r="E22" s="45"/>
      <c r="F22" s="20"/>
      <c r="G22" s="20"/>
      <c r="H22" s="99">
        <f>SUM(H11:H21)</f>
        <v>213.77445146499997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>
        <f>SUM(U11:U21)</f>
        <v>212712.65306499996</v>
      </c>
    </row>
    <row r="23" spans="1:21">
      <c r="A23" s="26"/>
      <c r="B23" s="100" t="s">
        <v>29</v>
      </c>
      <c r="C23" s="26"/>
      <c r="D23" s="8"/>
      <c r="E23" s="27"/>
      <c r="F23" s="22"/>
      <c r="G23" s="22"/>
      <c r="H23" s="2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25.5" customHeight="1">
      <c r="A24" s="26" t="s">
        <v>178</v>
      </c>
      <c r="B24" s="8" t="s">
        <v>143</v>
      </c>
      <c r="C24" s="26" t="s">
        <v>31</v>
      </c>
      <c r="D24" s="8" t="s">
        <v>30</v>
      </c>
      <c r="E24" s="22">
        <v>1304.45</v>
      </c>
      <c r="F24" s="22">
        <f>SUM(E24*52/1000)</f>
        <v>67.831400000000002</v>
      </c>
      <c r="G24" s="22">
        <v>155.88999999999999</v>
      </c>
      <c r="H24" s="22">
        <f t="shared" ref="H24:H31" si="13">SUM(F24*G24/1000)</f>
        <v>10.574236945999999</v>
      </c>
      <c r="I24" s="19">
        <v>0</v>
      </c>
      <c r="J24" s="19">
        <v>0</v>
      </c>
      <c r="K24" s="19">
        <v>0</v>
      </c>
      <c r="L24" s="19">
        <v>0</v>
      </c>
      <c r="M24" s="19">
        <f>F24/6*G24</f>
        <v>1762.3728243333333</v>
      </c>
      <c r="N24" s="19">
        <f>F24/6*G24</f>
        <v>1762.3728243333333</v>
      </c>
      <c r="O24" s="19">
        <f>F24/6*G24</f>
        <v>1762.3728243333333</v>
      </c>
      <c r="P24" s="19">
        <f>F24/6*G24</f>
        <v>1762.3728243333333</v>
      </c>
      <c r="Q24" s="19">
        <f>F24/6*G24</f>
        <v>1762.3728243333333</v>
      </c>
      <c r="R24" s="19">
        <f>F24/6*G24</f>
        <v>1762.3728243333333</v>
      </c>
      <c r="S24" s="19">
        <v>0</v>
      </c>
      <c r="T24" s="19">
        <v>0</v>
      </c>
      <c r="U24" s="19">
        <f t="shared" ref="U24:U31" si="14">SUM(I24:T24)</f>
        <v>10574.236945999999</v>
      </c>
    </row>
    <row r="25" spans="1:21" ht="38.25" customHeight="1">
      <c r="A25" s="26" t="s">
        <v>179</v>
      </c>
      <c r="B25" s="8" t="s">
        <v>144</v>
      </c>
      <c r="C25" s="26" t="s">
        <v>31</v>
      </c>
      <c r="D25" s="8" t="s">
        <v>32</v>
      </c>
      <c r="E25" s="22">
        <v>287.83999999999997</v>
      </c>
      <c r="F25" s="22">
        <f>SUM(E25*78/1000)</f>
        <v>22.451519999999995</v>
      </c>
      <c r="G25" s="22">
        <v>258.63</v>
      </c>
      <c r="H25" s="22">
        <f t="shared" si="13"/>
        <v>5.8066366175999979</v>
      </c>
      <c r="I25" s="19">
        <v>0</v>
      </c>
      <c r="J25" s="19">
        <v>0</v>
      </c>
      <c r="K25" s="19">
        <v>0</v>
      </c>
      <c r="L25" s="19">
        <v>0</v>
      </c>
      <c r="M25" s="19">
        <f>F25/6*G25</f>
        <v>967.77276959999972</v>
      </c>
      <c r="N25" s="19">
        <f t="shared" ref="N25:N27" si="15">F25/6*G25</f>
        <v>967.77276959999972</v>
      </c>
      <c r="O25" s="19">
        <f t="shared" ref="O25:O27" si="16">F25/6*G25</f>
        <v>967.77276959999972</v>
      </c>
      <c r="P25" s="19">
        <f t="shared" ref="P25:P27" si="17">F25/6*G25</f>
        <v>967.77276959999972</v>
      </c>
      <c r="Q25" s="19">
        <f t="shared" ref="Q25:Q27" si="18">F25/6*G25</f>
        <v>967.77276959999972</v>
      </c>
      <c r="R25" s="19">
        <f t="shared" ref="R25:R27" si="19">F25/6*G25</f>
        <v>967.77276959999972</v>
      </c>
      <c r="S25" s="19">
        <v>0</v>
      </c>
      <c r="T25" s="19">
        <v>0</v>
      </c>
      <c r="U25" s="19">
        <f t="shared" si="14"/>
        <v>5806.6366175999992</v>
      </c>
    </row>
    <row r="26" spans="1:21">
      <c r="A26" s="26" t="s">
        <v>180</v>
      </c>
      <c r="B26" s="8" t="s">
        <v>33</v>
      </c>
      <c r="C26" s="26" t="s">
        <v>31</v>
      </c>
      <c r="D26" s="8" t="s">
        <v>34</v>
      </c>
      <c r="E26" s="22">
        <v>1304.45</v>
      </c>
      <c r="F26" s="22">
        <f>SUM(E26/1000)</f>
        <v>1.3044500000000001</v>
      </c>
      <c r="G26" s="22">
        <v>3020.33</v>
      </c>
      <c r="H26" s="22">
        <f t="shared" si="13"/>
        <v>3.9398694685</v>
      </c>
      <c r="I26" s="19">
        <v>0</v>
      </c>
      <c r="J26" s="19">
        <v>0</v>
      </c>
      <c r="K26" s="19">
        <v>0</v>
      </c>
      <c r="L26" s="19">
        <v>0</v>
      </c>
      <c r="M26" s="19">
        <f>F26*G26</f>
        <v>3939.8694685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f t="shared" si="14"/>
        <v>3939.8694685</v>
      </c>
    </row>
    <row r="27" spans="1:21">
      <c r="A27" s="26" t="s">
        <v>181</v>
      </c>
      <c r="B27" s="8" t="s">
        <v>35</v>
      </c>
      <c r="C27" s="26" t="s">
        <v>36</v>
      </c>
      <c r="D27" s="8" t="s">
        <v>37</v>
      </c>
      <c r="E27" s="25">
        <v>0.33333333333333331</v>
      </c>
      <c r="F27" s="22">
        <f>155/3</f>
        <v>51.666666666666664</v>
      </c>
      <c r="G27" s="22">
        <v>56.69</v>
      </c>
      <c r="H27" s="22">
        <f t="shared" si="13"/>
        <v>2.9289833333333331</v>
      </c>
      <c r="I27" s="19">
        <v>0</v>
      </c>
      <c r="J27" s="19">
        <v>0</v>
      </c>
      <c r="K27" s="19">
        <v>0</v>
      </c>
      <c r="L27" s="19">
        <v>0</v>
      </c>
      <c r="M27" s="19">
        <f>F27/6*G27</f>
        <v>488.16388888888883</v>
      </c>
      <c r="N27" s="19">
        <f t="shared" si="15"/>
        <v>488.16388888888883</v>
      </c>
      <c r="O27" s="19">
        <f t="shared" si="16"/>
        <v>488.16388888888883</v>
      </c>
      <c r="P27" s="19">
        <f t="shared" si="17"/>
        <v>488.16388888888883</v>
      </c>
      <c r="Q27" s="19">
        <f t="shared" si="18"/>
        <v>488.16388888888883</v>
      </c>
      <c r="R27" s="19">
        <f t="shared" si="19"/>
        <v>488.16388888888883</v>
      </c>
      <c r="S27" s="19">
        <v>0</v>
      </c>
      <c r="T27" s="19">
        <v>0</v>
      </c>
      <c r="U27" s="19">
        <f t="shared" si="14"/>
        <v>2928.9833333333331</v>
      </c>
    </row>
    <row r="28" spans="1:21" ht="12.75" customHeight="1">
      <c r="A28" s="26" t="s">
        <v>182</v>
      </c>
      <c r="B28" s="8" t="s">
        <v>38</v>
      </c>
      <c r="C28" s="26" t="s">
        <v>39</v>
      </c>
      <c r="D28" s="8" t="s">
        <v>40</v>
      </c>
      <c r="E28" s="32">
        <v>0.1</v>
      </c>
      <c r="F28" s="22">
        <f>SUM(E28*365)</f>
        <v>36.5</v>
      </c>
      <c r="G28" s="22">
        <v>147.03</v>
      </c>
      <c r="H28" s="22">
        <f t="shared" si="13"/>
        <v>5.3665950000000002</v>
      </c>
      <c r="I28" s="19">
        <f>F28/12*G28</f>
        <v>447.21625</v>
      </c>
      <c r="J28" s="19">
        <f>F28/12*G28</f>
        <v>447.21625</v>
      </c>
      <c r="K28" s="19">
        <f>F28/12*G28</f>
        <v>447.21625</v>
      </c>
      <c r="L28" s="19">
        <f>F28/12*G28</f>
        <v>447.21625</v>
      </c>
      <c r="M28" s="19">
        <f>F28/12*G28</f>
        <v>447.21625</v>
      </c>
      <c r="N28" s="19">
        <f>F28/12*G28</f>
        <v>447.21625</v>
      </c>
      <c r="O28" s="19">
        <f>F28/12*G28</f>
        <v>447.21625</v>
      </c>
      <c r="P28" s="19">
        <f>F28/12*G28</f>
        <v>447.21625</v>
      </c>
      <c r="Q28" s="19">
        <f>F28/12*G28</f>
        <v>447.21625</v>
      </c>
      <c r="R28" s="19">
        <f>F28/12*G28</f>
        <v>447.21625</v>
      </c>
      <c r="S28" s="19">
        <f>F28/12*G28</f>
        <v>447.21625</v>
      </c>
      <c r="T28" s="19">
        <f>F28/12*G28</f>
        <v>447.21625</v>
      </c>
      <c r="U28" s="19">
        <f t="shared" si="14"/>
        <v>5366.5950000000012</v>
      </c>
    </row>
    <row r="29" spans="1:21" ht="12.75" customHeight="1">
      <c r="A29" s="26" t="s">
        <v>183</v>
      </c>
      <c r="B29" s="8" t="s">
        <v>145</v>
      </c>
      <c r="C29" s="26" t="s">
        <v>39</v>
      </c>
      <c r="D29" s="8" t="s">
        <v>41</v>
      </c>
      <c r="E29" s="27"/>
      <c r="F29" s="22">
        <v>3</v>
      </c>
      <c r="G29" s="22">
        <v>191.32</v>
      </c>
      <c r="H29" s="22">
        <f t="shared" si="13"/>
        <v>0.57396000000000003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f t="shared" si="14"/>
        <v>0</v>
      </c>
    </row>
    <row r="30" spans="1:21" ht="12.75" customHeight="1">
      <c r="A30" s="26" t="s">
        <v>133</v>
      </c>
      <c r="B30" s="8" t="s">
        <v>146</v>
      </c>
      <c r="C30" s="26" t="s">
        <v>42</v>
      </c>
      <c r="D30" s="8" t="s">
        <v>41</v>
      </c>
      <c r="E30" s="27"/>
      <c r="F30" s="22">
        <v>2</v>
      </c>
      <c r="G30" s="22">
        <v>1136.32</v>
      </c>
      <c r="H30" s="22">
        <f t="shared" si="13"/>
        <v>2.27264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f t="shared" si="14"/>
        <v>0</v>
      </c>
    </row>
    <row r="31" spans="1:21">
      <c r="A31" s="26"/>
      <c r="B31" s="14" t="s">
        <v>43</v>
      </c>
      <c r="C31" s="26" t="s">
        <v>44</v>
      </c>
      <c r="D31" s="14" t="s">
        <v>45</v>
      </c>
      <c r="E31" s="27">
        <v>5162.6000000000004</v>
      </c>
      <c r="F31" s="22">
        <f>SUM(E31*12)</f>
        <v>61951.200000000004</v>
      </c>
      <c r="G31" s="22">
        <v>3.33</v>
      </c>
      <c r="H31" s="22">
        <f t="shared" si="13"/>
        <v>206.29749600000002</v>
      </c>
      <c r="I31" s="19">
        <f>F31/12*G31</f>
        <v>17191.458000000002</v>
      </c>
      <c r="J31" s="19">
        <f>F31/12*G31</f>
        <v>17191.458000000002</v>
      </c>
      <c r="K31" s="19">
        <f>F31/12*G31</f>
        <v>17191.458000000002</v>
      </c>
      <c r="L31" s="19">
        <f>F31/12*G31</f>
        <v>17191.458000000002</v>
      </c>
      <c r="M31" s="19">
        <f>F31/12*G31</f>
        <v>17191.458000000002</v>
      </c>
      <c r="N31" s="19">
        <f>F31/12*G31</f>
        <v>17191.458000000002</v>
      </c>
      <c r="O31" s="19">
        <f>F31/12*G31</f>
        <v>17191.458000000002</v>
      </c>
      <c r="P31" s="19">
        <f>F31/12*G31</f>
        <v>17191.458000000002</v>
      </c>
      <c r="Q31" s="19">
        <f t="shared" ref="Q31" si="20">F31/12*G31</f>
        <v>17191.458000000002</v>
      </c>
      <c r="R31" s="19">
        <f t="shared" ref="R31" si="21">F31/12*G31</f>
        <v>17191.458000000002</v>
      </c>
      <c r="S31" s="19">
        <f t="shared" ref="S31" si="22">F31/12*G31</f>
        <v>17191.458000000002</v>
      </c>
      <c r="T31" s="19">
        <f t="shared" ref="T31" si="23">F31/12*G31</f>
        <v>17191.458000000002</v>
      </c>
      <c r="U31" s="19">
        <f t="shared" si="14"/>
        <v>206297.49600000007</v>
      </c>
    </row>
    <row r="32" spans="1:21" s="12" customFormat="1">
      <c r="A32" s="49"/>
      <c r="B32" s="44" t="s">
        <v>28</v>
      </c>
      <c r="C32" s="48"/>
      <c r="D32" s="44"/>
      <c r="E32" s="45"/>
      <c r="F32" s="20"/>
      <c r="G32" s="20"/>
      <c r="H32" s="71">
        <f>SUM(H24:H31)</f>
        <v>237.76041736543334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>
        <f>SUM(U24:U31)</f>
        <v>234913.81736543341</v>
      </c>
    </row>
    <row r="33" spans="1:21">
      <c r="A33" s="26"/>
      <c r="B33" s="100" t="s">
        <v>46</v>
      </c>
      <c r="C33" s="26"/>
      <c r="D33" s="8"/>
      <c r="E33" s="27"/>
      <c r="F33" s="22"/>
      <c r="G33" s="22"/>
      <c r="H33" s="22" t="s">
        <v>45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12.75" customHeight="1">
      <c r="A34" s="26" t="s">
        <v>133</v>
      </c>
      <c r="B34" s="9" t="s">
        <v>47</v>
      </c>
      <c r="C34" s="26" t="s">
        <v>42</v>
      </c>
      <c r="D34" s="8"/>
      <c r="E34" s="27"/>
      <c r="F34" s="22">
        <v>10</v>
      </c>
      <c r="G34" s="22">
        <v>1527.22</v>
      </c>
      <c r="H34" s="22">
        <f t="shared" ref="H34:H41" si="24">SUM(F34*G34/1000)</f>
        <v>15.272200000000002</v>
      </c>
      <c r="I34" s="19">
        <f>F34/6*G34</f>
        <v>2545.3666666666668</v>
      </c>
      <c r="J34" s="19">
        <f>F34/6*G34</f>
        <v>2545.3666666666668</v>
      </c>
      <c r="K34" s="19">
        <f>F34/6*G34</f>
        <v>2545.3666666666668</v>
      </c>
      <c r="L34" s="19">
        <f>F34/6*G34</f>
        <v>2545.3666666666668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f>F34/6*G34</f>
        <v>2545.3666666666668</v>
      </c>
      <c r="T34" s="19">
        <f>F34/6*G34</f>
        <v>2545.3666666666668</v>
      </c>
      <c r="U34" s="19">
        <f t="shared" ref="U34:U41" si="25">SUM(I34:T34)</f>
        <v>15272.2</v>
      </c>
    </row>
    <row r="35" spans="1:21" s="1" customFormat="1">
      <c r="A35" s="28" t="s">
        <v>184</v>
      </c>
      <c r="B35" s="9" t="s">
        <v>147</v>
      </c>
      <c r="C35" s="28" t="s">
        <v>48</v>
      </c>
      <c r="D35" s="9" t="s">
        <v>110</v>
      </c>
      <c r="E35" s="23">
        <v>495</v>
      </c>
      <c r="F35" s="23">
        <f>SUM(E35*12/1000)</f>
        <v>5.94</v>
      </c>
      <c r="G35" s="23">
        <v>2102.71</v>
      </c>
      <c r="H35" s="22">
        <f t="shared" si="24"/>
        <v>12.4900974</v>
      </c>
      <c r="I35" s="21">
        <f>F35/6*G35</f>
        <v>2081.6829000000002</v>
      </c>
      <c r="J35" s="21">
        <f>F35/6*G35</f>
        <v>2081.6829000000002</v>
      </c>
      <c r="K35" s="19">
        <f t="shared" ref="K35:K41" si="26">F35/6*G35</f>
        <v>2081.6829000000002</v>
      </c>
      <c r="L35" s="19">
        <f t="shared" ref="L35:L41" si="27">F35/6*G35</f>
        <v>2081.6829000000002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f t="shared" ref="S35:S41" si="28">F35/6*G35</f>
        <v>2081.6829000000002</v>
      </c>
      <c r="T35" s="19">
        <f t="shared" ref="T35:T41" si="29">F35/6*G35</f>
        <v>2081.6829000000002</v>
      </c>
      <c r="U35" s="19">
        <f t="shared" si="25"/>
        <v>12490.097400000001</v>
      </c>
    </row>
    <row r="36" spans="1:21" ht="25.5">
      <c r="A36" s="28" t="s">
        <v>184</v>
      </c>
      <c r="B36" s="9" t="s">
        <v>148</v>
      </c>
      <c r="C36" s="28" t="s">
        <v>48</v>
      </c>
      <c r="D36" s="8" t="s">
        <v>112</v>
      </c>
      <c r="E36" s="27">
        <v>287.83999999999997</v>
      </c>
      <c r="F36" s="23">
        <v>8.64</v>
      </c>
      <c r="G36" s="22">
        <v>2102.71</v>
      </c>
      <c r="H36" s="22">
        <f>G36*F36/1000</f>
        <v>18.167414400000002</v>
      </c>
      <c r="I36" s="19">
        <f>F36/6*G36</f>
        <v>3027.9024000000004</v>
      </c>
      <c r="J36" s="19">
        <f>F36/6*G36</f>
        <v>3027.9024000000004</v>
      </c>
      <c r="K36" s="19">
        <f t="shared" si="26"/>
        <v>3027.9024000000004</v>
      </c>
      <c r="L36" s="19">
        <f t="shared" si="27"/>
        <v>3027.9024000000004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f t="shared" si="28"/>
        <v>3027.9024000000004</v>
      </c>
      <c r="T36" s="19">
        <f t="shared" si="29"/>
        <v>3027.9024000000004</v>
      </c>
      <c r="U36" s="19">
        <f t="shared" si="25"/>
        <v>18167.414400000001</v>
      </c>
    </row>
    <row r="37" spans="1:21">
      <c r="A37" s="26" t="s">
        <v>133</v>
      </c>
      <c r="B37" s="8" t="s">
        <v>113</v>
      </c>
      <c r="C37" s="26" t="s">
        <v>69</v>
      </c>
      <c r="D37" s="8" t="s">
        <v>41</v>
      </c>
      <c r="E37" s="27"/>
      <c r="F37" s="23">
        <v>80</v>
      </c>
      <c r="G37" s="22">
        <v>199.44</v>
      </c>
      <c r="H37" s="22">
        <f>G37*F37/1000</f>
        <v>15.955200000000001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f t="shared" si="25"/>
        <v>0</v>
      </c>
    </row>
    <row r="38" spans="1:21" ht="25.5" customHeight="1">
      <c r="A38" s="26" t="s">
        <v>185</v>
      </c>
      <c r="B38" s="8" t="s">
        <v>149</v>
      </c>
      <c r="C38" s="26" t="s">
        <v>48</v>
      </c>
      <c r="D38" s="8" t="s">
        <v>49</v>
      </c>
      <c r="E38" s="22">
        <v>287.83999999999997</v>
      </c>
      <c r="F38" s="23">
        <f>SUM(E38*155/1000)</f>
        <v>44.615199999999994</v>
      </c>
      <c r="G38" s="22">
        <v>350.75</v>
      </c>
      <c r="H38" s="22">
        <f t="shared" si="24"/>
        <v>15.648781399999997</v>
      </c>
      <c r="I38" s="19">
        <f>F38/6*G38</f>
        <v>2608.1302333333329</v>
      </c>
      <c r="J38" s="19">
        <f>F38/6*G38</f>
        <v>2608.1302333333329</v>
      </c>
      <c r="K38" s="19">
        <f t="shared" si="26"/>
        <v>2608.1302333333329</v>
      </c>
      <c r="L38" s="19">
        <f t="shared" si="27"/>
        <v>2608.1302333333329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f t="shared" si="28"/>
        <v>2608.1302333333329</v>
      </c>
      <c r="T38" s="19">
        <f t="shared" si="29"/>
        <v>2608.1302333333329</v>
      </c>
      <c r="U38" s="19">
        <f t="shared" si="25"/>
        <v>15648.781399999998</v>
      </c>
    </row>
    <row r="39" spans="1:21" ht="51" customHeight="1">
      <c r="A39" s="26" t="s">
        <v>186</v>
      </c>
      <c r="B39" s="8" t="s">
        <v>150</v>
      </c>
      <c r="C39" s="26" t="s">
        <v>31</v>
      </c>
      <c r="D39" s="8" t="s">
        <v>111</v>
      </c>
      <c r="E39" s="22">
        <v>89.43</v>
      </c>
      <c r="F39" s="23">
        <f>SUM(E39*24/1000)</f>
        <v>2.1463200000000002</v>
      </c>
      <c r="G39" s="22">
        <v>5803.28</v>
      </c>
      <c r="H39" s="22">
        <f t="shared" si="24"/>
        <v>12.455695929600001</v>
      </c>
      <c r="I39" s="19">
        <f>F39/6*G39</f>
        <v>2075.9493216000001</v>
      </c>
      <c r="J39" s="19">
        <f>F39/6*G39</f>
        <v>2075.9493216000001</v>
      </c>
      <c r="K39" s="19">
        <f t="shared" si="26"/>
        <v>2075.9493216000001</v>
      </c>
      <c r="L39" s="19">
        <f t="shared" si="27"/>
        <v>2075.9493216000001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f t="shared" si="28"/>
        <v>2075.9493216000001</v>
      </c>
      <c r="T39" s="19">
        <f t="shared" si="29"/>
        <v>2075.9493216000001</v>
      </c>
      <c r="U39" s="19">
        <f t="shared" si="25"/>
        <v>12455.695929600002</v>
      </c>
    </row>
    <row r="40" spans="1:21" ht="12.75" customHeight="1">
      <c r="A40" s="26" t="s">
        <v>187</v>
      </c>
      <c r="B40" s="8" t="s">
        <v>151</v>
      </c>
      <c r="C40" s="26" t="s">
        <v>31</v>
      </c>
      <c r="D40" s="8" t="s">
        <v>267</v>
      </c>
      <c r="E40" s="22">
        <v>130.08000000000001</v>
      </c>
      <c r="F40" s="23">
        <f>SUM(E40*15/1000)</f>
        <v>1.9512000000000003</v>
      </c>
      <c r="G40" s="22">
        <v>428.7</v>
      </c>
      <c r="H40" s="22">
        <f t="shared" si="24"/>
        <v>0.83647944000000007</v>
      </c>
      <c r="I40" s="19">
        <v>0</v>
      </c>
      <c r="J40" s="19">
        <v>0</v>
      </c>
      <c r="K40" s="19">
        <f>F40/2*G40</f>
        <v>418.23972000000003</v>
      </c>
      <c r="L40" s="19">
        <f>F40/2*G40</f>
        <v>418.23972000000003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f t="shared" si="25"/>
        <v>836.47944000000007</v>
      </c>
    </row>
    <row r="41" spans="1:21" s="2" customFormat="1">
      <c r="A41" s="28"/>
      <c r="B41" s="9" t="s">
        <v>152</v>
      </c>
      <c r="C41" s="28" t="s">
        <v>39</v>
      </c>
      <c r="D41" s="9"/>
      <c r="E41" s="32"/>
      <c r="F41" s="23">
        <v>0.9</v>
      </c>
      <c r="G41" s="23">
        <v>798</v>
      </c>
      <c r="H41" s="22">
        <f t="shared" si="24"/>
        <v>0.71820000000000006</v>
      </c>
      <c r="I41" s="21">
        <f>F41/6*G41</f>
        <v>119.69999999999999</v>
      </c>
      <c r="J41" s="21">
        <f>F41/6*G41</f>
        <v>119.69999999999999</v>
      </c>
      <c r="K41" s="19">
        <f t="shared" si="26"/>
        <v>119.69999999999999</v>
      </c>
      <c r="L41" s="19">
        <f t="shared" si="27"/>
        <v>119.69999999999999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f t="shared" si="28"/>
        <v>119.69999999999999</v>
      </c>
      <c r="T41" s="19">
        <f t="shared" si="29"/>
        <v>119.69999999999999</v>
      </c>
      <c r="U41" s="19">
        <f t="shared" si="25"/>
        <v>718.2</v>
      </c>
    </row>
    <row r="42" spans="1:21" s="12" customFormat="1">
      <c r="A42" s="49"/>
      <c r="B42" s="44" t="s">
        <v>28</v>
      </c>
      <c r="C42" s="48"/>
      <c r="D42" s="44"/>
      <c r="E42" s="45"/>
      <c r="F42" s="20" t="s">
        <v>45</v>
      </c>
      <c r="G42" s="20"/>
      <c r="H42" s="71">
        <f>SUM(H34:H41)</f>
        <v>91.544068569600014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>
        <f>SUM(U34:U41)</f>
        <v>75588.868569600003</v>
      </c>
    </row>
    <row r="43" spans="1:21">
      <c r="A43" s="26"/>
      <c r="B43" s="101" t="s">
        <v>50</v>
      </c>
      <c r="C43" s="26"/>
      <c r="D43" s="8"/>
      <c r="E43" s="27"/>
      <c r="F43" s="22"/>
      <c r="G43" s="22"/>
      <c r="H43" s="22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>
      <c r="A44" s="26" t="s">
        <v>188</v>
      </c>
      <c r="B44" s="8" t="s">
        <v>157</v>
      </c>
      <c r="C44" s="26" t="s">
        <v>31</v>
      </c>
      <c r="D44" s="8" t="s">
        <v>51</v>
      </c>
      <c r="E44" s="27">
        <v>1369</v>
      </c>
      <c r="F44" s="22">
        <f>SUM(E44*2/1000)</f>
        <v>2.738</v>
      </c>
      <c r="G44" s="22">
        <v>849.49</v>
      </c>
      <c r="H44" s="22">
        <f t="shared" ref="H44:H52" si="30">SUM(F44*G44/1000)</f>
        <v>2.3259036200000001</v>
      </c>
      <c r="I44" s="19">
        <v>0</v>
      </c>
      <c r="J44" s="19">
        <v>0</v>
      </c>
      <c r="K44" s="19">
        <v>0</v>
      </c>
      <c r="L44" s="19">
        <v>0</v>
      </c>
      <c r="M44" s="19">
        <f>F44/2*G44</f>
        <v>1162.95181</v>
      </c>
      <c r="N44" s="19">
        <v>0</v>
      </c>
      <c r="O44" s="19">
        <v>0</v>
      </c>
      <c r="P44" s="19">
        <v>0</v>
      </c>
      <c r="Q44" s="19">
        <f>F44/2*G44</f>
        <v>1162.95181</v>
      </c>
      <c r="R44" s="19">
        <v>0</v>
      </c>
      <c r="S44" s="19">
        <v>0</v>
      </c>
      <c r="T44" s="19">
        <v>0</v>
      </c>
      <c r="U44" s="19">
        <f t="shared" ref="U44:U52" si="31">SUM(I44:T44)</f>
        <v>2325.90362</v>
      </c>
    </row>
    <row r="45" spans="1:21">
      <c r="A45" s="26" t="s">
        <v>189</v>
      </c>
      <c r="B45" s="8" t="s">
        <v>52</v>
      </c>
      <c r="C45" s="26" t="s">
        <v>31</v>
      </c>
      <c r="D45" s="8" t="s">
        <v>51</v>
      </c>
      <c r="E45" s="27">
        <v>1418</v>
      </c>
      <c r="F45" s="22">
        <f>SUM(E45*2/1000)</f>
        <v>2.8359999999999999</v>
      </c>
      <c r="G45" s="22">
        <v>579.48</v>
      </c>
      <c r="H45" s="22">
        <f t="shared" si="30"/>
        <v>1.6434052799999999</v>
      </c>
      <c r="I45" s="19">
        <v>0</v>
      </c>
      <c r="J45" s="19">
        <v>0</v>
      </c>
      <c r="K45" s="19">
        <v>0</v>
      </c>
      <c r="L45" s="19">
        <v>0</v>
      </c>
      <c r="M45" s="19">
        <f t="shared" ref="M45:M46" si="32">F45/2*G45</f>
        <v>821.70263999999997</v>
      </c>
      <c r="N45" s="19">
        <v>0</v>
      </c>
      <c r="O45" s="19">
        <v>0</v>
      </c>
      <c r="P45" s="19">
        <v>0</v>
      </c>
      <c r="Q45" s="19">
        <f t="shared" ref="Q45:Q47" si="33">F45/2*G45</f>
        <v>821.70263999999997</v>
      </c>
      <c r="R45" s="19">
        <v>0</v>
      </c>
      <c r="S45" s="19">
        <v>0</v>
      </c>
      <c r="T45" s="19">
        <v>0</v>
      </c>
      <c r="U45" s="19">
        <f t="shared" si="31"/>
        <v>1643.4052799999999</v>
      </c>
    </row>
    <row r="46" spans="1:21" ht="12.75" customHeight="1">
      <c r="A46" s="26" t="s">
        <v>190</v>
      </c>
      <c r="B46" s="8" t="s">
        <v>53</v>
      </c>
      <c r="C46" s="26" t="s">
        <v>31</v>
      </c>
      <c r="D46" s="8" t="s">
        <v>51</v>
      </c>
      <c r="E46" s="27">
        <v>4985.21</v>
      </c>
      <c r="F46" s="22">
        <f>SUM(E46*2/1000)</f>
        <v>9.9704200000000007</v>
      </c>
      <c r="G46" s="22">
        <v>579.48</v>
      </c>
      <c r="H46" s="22">
        <f t="shared" si="30"/>
        <v>5.7776589816000001</v>
      </c>
      <c r="I46" s="19">
        <v>0</v>
      </c>
      <c r="J46" s="19">
        <v>0</v>
      </c>
      <c r="K46" s="19">
        <v>0</v>
      </c>
      <c r="L46" s="19">
        <v>0</v>
      </c>
      <c r="M46" s="19">
        <f t="shared" si="32"/>
        <v>2888.8294908000003</v>
      </c>
      <c r="N46" s="19">
        <v>0</v>
      </c>
      <c r="O46" s="19">
        <v>0</v>
      </c>
      <c r="P46" s="19">
        <v>0</v>
      </c>
      <c r="Q46" s="19">
        <f t="shared" si="33"/>
        <v>2888.8294908000003</v>
      </c>
      <c r="R46" s="19">
        <v>0</v>
      </c>
      <c r="S46" s="19">
        <v>0</v>
      </c>
      <c r="T46" s="19">
        <v>0</v>
      </c>
      <c r="U46" s="19">
        <f t="shared" si="31"/>
        <v>5777.6589816000005</v>
      </c>
    </row>
    <row r="47" spans="1:21">
      <c r="A47" s="26" t="s">
        <v>191</v>
      </c>
      <c r="B47" s="8" t="s">
        <v>54</v>
      </c>
      <c r="C47" s="26" t="s">
        <v>31</v>
      </c>
      <c r="D47" s="8" t="s">
        <v>51</v>
      </c>
      <c r="E47" s="27">
        <v>2474</v>
      </c>
      <c r="F47" s="22">
        <f>SUM(E47*2/1000)</f>
        <v>4.9480000000000004</v>
      </c>
      <c r="G47" s="22">
        <v>606.77</v>
      </c>
      <c r="H47" s="22">
        <f t="shared" si="30"/>
        <v>3.0022979600000004</v>
      </c>
      <c r="I47" s="19">
        <v>0</v>
      </c>
      <c r="J47" s="19">
        <v>0</v>
      </c>
      <c r="K47" s="19">
        <v>0</v>
      </c>
      <c r="L47" s="19">
        <v>0</v>
      </c>
      <c r="M47" s="19">
        <f>F47/2*G47</f>
        <v>1501.1489800000002</v>
      </c>
      <c r="N47" s="19">
        <v>0</v>
      </c>
      <c r="O47" s="19">
        <v>0</v>
      </c>
      <c r="P47" s="19">
        <v>0</v>
      </c>
      <c r="Q47" s="19">
        <f t="shared" si="33"/>
        <v>1501.1489800000002</v>
      </c>
      <c r="R47" s="19">
        <v>0</v>
      </c>
      <c r="S47" s="19">
        <v>0</v>
      </c>
      <c r="T47" s="19">
        <v>0</v>
      </c>
      <c r="U47" s="19">
        <f t="shared" si="31"/>
        <v>3002.2979600000003</v>
      </c>
    </row>
    <row r="48" spans="1:21" ht="25.5">
      <c r="A48" s="26" t="s">
        <v>192</v>
      </c>
      <c r="B48" s="8" t="s">
        <v>55</v>
      </c>
      <c r="C48" s="26" t="s">
        <v>31</v>
      </c>
      <c r="D48" s="8" t="s">
        <v>56</v>
      </c>
      <c r="E48" s="27">
        <v>1349.3</v>
      </c>
      <c r="F48" s="22">
        <f>SUM(E48*5/1000)</f>
        <v>6.7465000000000002</v>
      </c>
      <c r="G48" s="22">
        <v>1213.55</v>
      </c>
      <c r="H48" s="22">
        <f t="shared" si="30"/>
        <v>8.1872150749999992</v>
      </c>
      <c r="I48" s="19">
        <f>F48/5*G48</f>
        <v>1637.4430149999998</v>
      </c>
      <c r="J48" s="19">
        <f>F48/5*G48</f>
        <v>1637.4430149999998</v>
      </c>
      <c r="K48" s="19">
        <v>0</v>
      </c>
      <c r="L48" s="19">
        <v>0</v>
      </c>
      <c r="M48" s="19">
        <f>F48/5*G48</f>
        <v>1637.4430149999998</v>
      </c>
      <c r="N48" s="19">
        <v>0</v>
      </c>
      <c r="O48" s="19">
        <v>0</v>
      </c>
      <c r="P48" s="19">
        <v>0</v>
      </c>
      <c r="Q48" s="19">
        <f>F48/5*G48</f>
        <v>1637.4430149999998</v>
      </c>
      <c r="R48" s="19">
        <v>0</v>
      </c>
      <c r="S48" s="19">
        <v>0</v>
      </c>
      <c r="T48" s="19">
        <f>F48/5*G48</f>
        <v>1637.4430149999998</v>
      </c>
      <c r="U48" s="19">
        <f t="shared" si="31"/>
        <v>8187.2150749999992</v>
      </c>
    </row>
    <row r="49" spans="1:21" ht="38.25" customHeight="1">
      <c r="A49" s="26" t="s">
        <v>193</v>
      </c>
      <c r="B49" s="8" t="s">
        <v>57</v>
      </c>
      <c r="C49" s="26" t="s">
        <v>31</v>
      </c>
      <c r="D49" s="8" t="s">
        <v>51</v>
      </c>
      <c r="E49" s="27">
        <v>1349.3</v>
      </c>
      <c r="F49" s="22">
        <f>SUM(E49*2/1000)</f>
        <v>2.6985999999999999</v>
      </c>
      <c r="G49" s="22">
        <v>1213.55</v>
      </c>
      <c r="H49" s="22">
        <f t="shared" si="30"/>
        <v>3.2748860299999998</v>
      </c>
      <c r="I49" s="19">
        <v>0</v>
      </c>
      <c r="J49" s="19">
        <v>0</v>
      </c>
      <c r="K49" s="19">
        <v>0</v>
      </c>
      <c r="L49" s="19">
        <f>F49/2*G49</f>
        <v>1637.4430149999998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f>F49/2*G49</f>
        <v>1637.4430149999998</v>
      </c>
      <c r="S49" s="19">
        <v>0</v>
      </c>
      <c r="T49" s="19">
        <v>0</v>
      </c>
      <c r="U49" s="19">
        <f t="shared" si="31"/>
        <v>3274.8860299999997</v>
      </c>
    </row>
    <row r="50" spans="1:21" ht="25.5" customHeight="1">
      <c r="A50" s="26" t="s">
        <v>194</v>
      </c>
      <c r="B50" s="8" t="s">
        <v>58</v>
      </c>
      <c r="C50" s="26" t="s">
        <v>59</v>
      </c>
      <c r="D50" s="8" t="s">
        <v>51</v>
      </c>
      <c r="E50" s="27">
        <v>40</v>
      </c>
      <c r="F50" s="22">
        <f>SUM(E50*2/100)</f>
        <v>0.8</v>
      </c>
      <c r="G50" s="22">
        <v>2730.49</v>
      </c>
      <c r="H50" s="22">
        <f t="shared" si="30"/>
        <v>2.1843919999999999</v>
      </c>
      <c r="I50" s="19">
        <v>0</v>
      </c>
      <c r="J50" s="19">
        <v>0</v>
      </c>
      <c r="K50" s="19">
        <v>0</v>
      </c>
      <c r="L50" s="19">
        <f>F50/2*G50</f>
        <v>1092.1959999999999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f t="shared" ref="R50:R51" si="34">F50/2*G50</f>
        <v>1092.1959999999999</v>
      </c>
      <c r="S50" s="19">
        <v>0</v>
      </c>
      <c r="T50" s="19">
        <v>0</v>
      </c>
      <c r="U50" s="19">
        <f t="shared" si="31"/>
        <v>2184.3919999999998</v>
      </c>
    </row>
    <row r="51" spans="1:21">
      <c r="A51" s="26" t="s">
        <v>195</v>
      </c>
      <c r="B51" s="8" t="s">
        <v>60</v>
      </c>
      <c r="C51" s="26" t="s">
        <v>61</v>
      </c>
      <c r="D51" s="8" t="s">
        <v>51</v>
      </c>
      <c r="E51" s="27">
        <v>1</v>
      </c>
      <c r="F51" s="22">
        <v>0.02</v>
      </c>
      <c r="G51" s="22">
        <v>5652.13</v>
      </c>
      <c r="H51" s="22">
        <f t="shared" si="30"/>
        <v>0.11304260000000001</v>
      </c>
      <c r="I51" s="19">
        <v>0</v>
      </c>
      <c r="J51" s="19">
        <v>0</v>
      </c>
      <c r="K51" s="19">
        <v>0</v>
      </c>
      <c r="L51" s="19">
        <f>F51/2*G51</f>
        <v>56.521300000000004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f t="shared" si="34"/>
        <v>56.521300000000004</v>
      </c>
      <c r="S51" s="19">
        <v>0</v>
      </c>
      <c r="T51" s="19">
        <v>0</v>
      </c>
      <c r="U51" s="19">
        <f t="shared" si="31"/>
        <v>113.04260000000001</v>
      </c>
    </row>
    <row r="52" spans="1:21" ht="13.5" customHeight="1">
      <c r="A52" s="26" t="s">
        <v>63</v>
      </c>
      <c r="B52" s="8" t="s">
        <v>64</v>
      </c>
      <c r="C52" s="26" t="s">
        <v>62</v>
      </c>
      <c r="D52" s="8" t="s">
        <v>108</v>
      </c>
      <c r="E52" s="27">
        <v>238</v>
      </c>
      <c r="F52" s="22">
        <f>SUM(E52)*3</f>
        <v>714</v>
      </c>
      <c r="G52" s="23">
        <v>65.67</v>
      </c>
      <c r="H52" s="22">
        <f t="shared" si="30"/>
        <v>46.888380000000005</v>
      </c>
      <c r="I52" s="19">
        <f>E52*G52</f>
        <v>15629.460000000001</v>
      </c>
      <c r="J52" s="19">
        <v>0</v>
      </c>
      <c r="K52" s="19">
        <v>0</v>
      </c>
      <c r="L52" s="19">
        <v>0</v>
      </c>
      <c r="M52" s="19">
        <v>0</v>
      </c>
      <c r="N52" s="19">
        <f>E52*G52</f>
        <v>15629.460000000001</v>
      </c>
      <c r="O52" s="19">
        <v>0</v>
      </c>
      <c r="P52" s="19">
        <v>0</v>
      </c>
      <c r="Q52" s="19">
        <v>0</v>
      </c>
      <c r="R52" s="19">
        <f>E52*G52</f>
        <v>15629.460000000001</v>
      </c>
      <c r="S52" s="19">
        <v>0</v>
      </c>
      <c r="T52" s="19">
        <v>0</v>
      </c>
      <c r="U52" s="19">
        <f t="shared" si="31"/>
        <v>46888.380000000005</v>
      </c>
    </row>
    <row r="53" spans="1:21" s="13" customFormat="1">
      <c r="A53" s="49"/>
      <c r="B53" s="44" t="s">
        <v>28</v>
      </c>
      <c r="C53" s="33"/>
      <c r="D53" s="44"/>
      <c r="E53" s="35"/>
      <c r="F53" s="24"/>
      <c r="G53" s="24"/>
      <c r="H53" s="71">
        <f>SUM(H44:H52)</f>
        <v>73.397181546599995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>
        <f>SUM(U44:U52)</f>
        <v>73397.181546600012</v>
      </c>
    </row>
    <row r="54" spans="1:21">
      <c r="A54" s="26"/>
      <c r="B54" s="100" t="s">
        <v>65</v>
      </c>
      <c r="C54" s="26"/>
      <c r="D54" s="8"/>
      <c r="E54" s="27"/>
      <c r="F54" s="22"/>
      <c r="G54" s="22"/>
      <c r="H54" s="22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ht="38.25" customHeight="1">
      <c r="A55" s="26" t="s">
        <v>196</v>
      </c>
      <c r="B55" s="8" t="s">
        <v>153</v>
      </c>
      <c r="C55" s="26" t="s">
        <v>13</v>
      </c>
      <c r="D55" s="8" t="s">
        <v>66</v>
      </c>
      <c r="E55" s="27">
        <v>176.9</v>
      </c>
      <c r="F55" s="22">
        <f>SUM(E55*6/100)</f>
        <v>10.614000000000001</v>
      </c>
      <c r="G55" s="22">
        <v>1547.28</v>
      </c>
      <c r="H55" s="22">
        <f>SUM(F55*G55/1000)</f>
        <v>16.422829920000002</v>
      </c>
      <c r="I55" s="19">
        <f>F55/6*G55</f>
        <v>2737.13832</v>
      </c>
      <c r="J55" s="19">
        <f>F55/6*G55</f>
        <v>2737.13832</v>
      </c>
      <c r="K55" s="19">
        <f>F55/6*G55</f>
        <v>2737.13832</v>
      </c>
      <c r="L55" s="19">
        <f>F55/6*G55</f>
        <v>2737.13832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f>F55/6*G55</f>
        <v>2737.13832</v>
      </c>
      <c r="T55" s="19">
        <f>F55/6*G55</f>
        <v>2737.13832</v>
      </c>
      <c r="U55" s="19">
        <f t="shared" ref="U55:U81" si="35">SUM(I55:T55)</f>
        <v>16422.82992</v>
      </c>
    </row>
    <row r="56" spans="1:21" ht="12.75" customHeight="1">
      <c r="A56" s="95" t="s">
        <v>197</v>
      </c>
      <c r="B56" s="8" t="s">
        <v>116</v>
      </c>
      <c r="C56" s="26" t="s">
        <v>13</v>
      </c>
      <c r="D56" s="8" t="s">
        <v>66</v>
      </c>
      <c r="E56" s="27">
        <v>56</v>
      </c>
      <c r="F56" s="22">
        <v>3.36</v>
      </c>
      <c r="G56" s="22">
        <v>1547.28</v>
      </c>
      <c r="H56" s="22">
        <f>F56*G56/1000</f>
        <v>5.1988607999999994</v>
      </c>
      <c r="I56" s="19">
        <f>F56/6*G56</f>
        <v>866.47679999999991</v>
      </c>
      <c r="J56" s="19">
        <f>F56/6*G56</f>
        <v>866.47679999999991</v>
      </c>
      <c r="K56" s="19">
        <f>F56/6*G56</f>
        <v>866.47679999999991</v>
      </c>
      <c r="L56" s="19">
        <f>F56/6*G56</f>
        <v>866.47679999999991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f>F56/6*G56</f>
        <v>866.47679999999991</v>
      </c>
      <c r="T56" s="19">
        <f>F56/6*G56</f>
        <v>866.47679999999991</v>
      </c>
      <c r="U56" s="19">
        <f t="shared" si="35"/>
        <v>5198.8608000000004</v>
      </c>
    </row>
    <row r="57" spans="1:21" hidden="1">
      <c r="A57" s="26" t="s">
        <v>198</v>
      </c>
      <c r="B57" s="8" t="s">
        <v>114</v>
      </c>
      <c r="C57" s="26" t="s">
        <v>115</v>
      </c>
      <c r="D57" s="8" t="s">
        <v>51</v>
      </c>
      <c r="E57" s="25">
        <v>8</v>
      </c>
      <c r="F57" s="22">
        <v>16</v>
      </c>
      <c r="G57" s="23">
        <v>180.78</v>
      </c>
      <c r="H57" s="22">
        <f>SUM(F57*G57/1000)</f>
        <v>2.8924799999999999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f t="shared" si="35"/>
        <v>0</v>
      </c>
    </row>
    <row r="58" spans="1:21">
      <c r="A58" s="26"/>
      <c r="B58" s="11" t="s">
        <v>67</v>
      </c>
      <c r="C58" s="26"/>
      <c r="D58" s="8"/>
      <c r="E58" s="27"/>
      <c r="F58" s="22"/>
      <c r="G58" s="22"/>
      <c r="H58" s="22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>
      <c r="A59" s="26" t="s">
        <v>199</v>
      </c>
      <c r="B59" s="8" t="s">
        <v>109</v>
      </c>
      <c r="C59" s="26"/>
      <c r="D59" s="8" t="s">
        <v>34</v>
      </c>
      <c r="E59" s="27">
        <v>1349.3</v>
      </c>
      <c r="F59" s="22">
        <v>13.493</v>
      </c>
      <c r="G59" s="22">
        <v>793.61</v>
      </c>
      <c r="H59" s="22">
        <f>F59*G59/1000</f>
        <v>10.708179729999999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f t="shared" si="35"/>
        <v>0</v>
      </c>
    </row>
    <row r="60" spans="1:21" ht="12.75" customHeight="1">
      <c r="A60" s="26"/>
      <c r="B60" s="8" t="s">
        <v>121</v>
      </c>
      <c r="C60" s="26" t="s">
        <v>68</v>
      </c>
      <c r="D60" s="8"/>
      <c r="E60" s="27">
        <v>270</v>
      </c>
      <c r="F60" s="22">
        <f>E60*12</f>
        <v>3240</v>
      </c>
      <c r="G60" s="22">
        <v>2.5960000000000001</v>
      </c>
      <c r="H60" s="22">
        <f>F60*G60</f>
        <v>8411.0400000000009</v>
      </c>
      <c r="I60" s="19">
        <f>F60/12*G60</f>
        <v>700.92000000000007</v>
      </c>
      <c r="J60" s="19">
        <f>F60/12*G60</f>
        <v>700.92000000000007</v>
      </c>
      <c r="K60" s="19">
        <f>F60/12*G60</f>
        <v>700.92000000000007</v>
      </c>
      <c r="L60" s="19">
        <f>F60/12*G60</f>
        <v>700.92000000000007</v>
      </c>
      <c r="M60" s="19">
        <f>F60/12*G60</f>
        <v>700.92000000000007</v>
      </c>
      <c r="N60" s="19">
        <f>F60/12*G60</f>
        <v>700.92000000000007</v>
      </c>
      <c r="O60" s="19">
        <f>F60/12*G60</f>
        <v>700.92000000000007</v>
      </c>
      <c r="P60" s="19">
        <f>F60/12*G60</f>
        <v>700.92000000000007</v>
      </c>
      <c r="Q60" s="19">
        <f>F60/12*G60</f>
        <v>700.92000000000007</v>
      </c>
      <c r="R60" s="19">
        <f>F60/12*G60</f>
        <v>700.92000000000007</v>
      </c>
      <c r="S60" s="19">
        <f>F60/12*G60</f>
        <v>700.92000000000007</v>
      </c>
      <c r="T60" s="19">
        <f>F60/12*G60</f>
        <v>700.92000000000007</v>
      </c>
      <c r="U60" s="19">
        <f t="shared" si="35"/>
        <v>8411.0400000000009</v>
      </c>
    </row>
    <row r="61" spans="1:21">
      <c r="A61" s="26"/>
      <c r="B61" s="102" t="s">
        <v>70</v>
      </c>
      <c r="C61" s="26"/>
      <c r="D61" s="8"/>
      <c r="E61" s="27"/>
      <c r="F61" s="22"/>
      <c r="G61" s="22"/>
      <c r="H61" s="22" t="s">
        <v>45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12.75" customHeight="1">
      <c r="A62" s="26" t="s">
        <v>200</v>
      </c>
      <c r="B62" s="9" t="s">
        <v>71</v>
      </c>
      <c r="C62" s="26" t="s">
        <v>62</v>
      </c>
      <c r="D62" s="8" t="s">
        <v>41</v>
      </c>
      <c r="E62" s="27">
        <v>40</v>
      </c>
      <c r="F62" s="22">
        <v>40</v>
      </c>
      <c r="G62" s="22">
        <v>222.4</v>
      </c>
      <c r="H62" s="22">
        <f t="shared" ref="H62:H78" si="36">SUM(F62*G62/1000)</f>
        <v>8.8960000000000008</v>
      </c>
      <c r="I62" s="19">
        <f>G62</f>
        <v>222.4</v>
      </c>
      <c r="J62" s="19">
        <f>G62*3</f>
        <v>667.2</v>
      </c>
      <c r="K62" s="19">
        <v>0</v>
      </c>
      <c r="L62" s="19">
        <f>G62*4</f>
        <v>889.6</v>
      </c>
      <c r="M62" s="19">
        <f>G62</f>
        <v>222.4</v>
      </c>
      <c r="N62" s="19">
        <f>G62*3</f>
        <v>667.2</v>
      </c>
      <c r="O62" s="19">
        <f>G62*9</f>
        <v>2001.6000000000001</v>
      </c>
      <c r="P62" s="19">
        <v>0</v>
      </c>
      <c r="Q62" s="19">
        <f>G62*14</f>
        <v>3113.6</v>
      </c>
      <c r="R62" s="19">
        <f>G62*4</f>
        <v>889.6</v>
      </c>
      <c r="S62" s="19">
        <f>G62*2</f>
        <v>444.8</v>
      </c>
      <c r="T62" s="19">
        <f>G62*10</f>
        <v>2224</v>
      </c>
      <c r="U62" s="19">
        <f t="shared" si="35"/>
        <v>11342.4</v>
      </c>
    </row>
    <row r="63" spans="1:21" ht="12.75" customHeight="1">
      <c r="A63" s="26" t="s">
        <v>201</v>
      </c>
      <c r="B63" s="9" t="s">
        <v>72</v>
      </c>
      <c r="C63" s="26" t="s">
        <v>62</v>
      </c>
      <c r="D63" s="8" t="s">
        <v>41</v>
      </c>
      <c r="E63" s="27">
        <v>20</v>
      </c>
      <c r="F63" s="22">
        <v>20</v>
      </c>
      <c r="G63" s="22">
        <v>76.25</v>
      </c>
      <c r="H63" s="22">
        <f t="shared" si="36"/>
        <v>1.5249999999999999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f t="shared" si="35"/>
        <v>0</v>
      </c>
    </row>
    <row r="64" spans="1:21" s="2" customFormat="1">
      <c r="A64" s="28" t="s">
        <v>202</v>
      </c>
      <c r="B64" s="9" t="s">
        <v>73</v>
      </c>
      <c r="C64" s="28" t="s">
        <v>74</v>
      </c>
      <c r="D64" s="8" t="s">
        <v>34</v>
      </c>
      <c r="E64" s="27">
        <v>18890</v>
      </c>
      <c r="F64" s="23">
        <f>SUM(E64/100)</f>
        <v>188.9</v>
      </c>
      <c r="G64" s="22">
        <v>212.15</v>
      </c>
      <c r="H64" s="22">
        <f t="shared" si="36"/>
        <v>40.075135000000003</v>
      </c>
      <c r="I64" s="21">
        <v>0</v>
      </c>
      <c r="J64" s="21">
        <v>0</v>
      </c>
      <c r="K64" s="19">
        <v>0</v>
      </c>
      <c r="L64" s="19">
        <v>0</v>
      </c>
      <c r="M64" s="19">
        <f>F64*G64</f>
        <v>40075.135000000002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f t="shared" si="35"/>
        <v>40075.135000000002</v>
      </c>
    </row>
    <row r="65" spans="1:21" ht="12.75" customHeight="1">
      <c r="A65" s="26" t="s">
        <v>203</v>
      </c>
      <c r="B65" s="9" t="s">
        <v>75</v>
      </c>
      <c r="C65" s="26" t="s">
        <v>76</v>
      </c>
      <c r="D65" s="8"/>
      <c r="E65" s="27">
        <v>18890</v>
      </c>
      <c r="F65" s="22">
        <f>SUM(E65/1000)</f>
        <v>18.89</v>
      </c>
      <c r="G65" s="22">
        <v>165.21</v>
      </c>
      <c r="H65" s="22">
        <f t="shared" si="36"/>
        <v>3.1208169000000003</v>
      </c>
      <c r="I65" s="19">
        <v>0</v>
      </c>
      <c r="J65" s="19">
        <v>0</v>
      </c>
      <c r="K65" s="19">
        <v>0</v>
      </c>
      <c r="L65" s="19">
        <v>0</v>
      </c>
      <c r="M65" s="19">
        <f t="shared" ref="M65:M68" si="37">F65*G65</f>
        <v>3120.8169000000003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f t="shared" si="35"/>
        <v>3120.8169000000003</v>
      </c>
    </row>
    <row r="66" spans="1:21">
      <c r="A66" s="26" t="s">
        <v>204</v>
      </c>
      <c r="B66" s="9" t="s">
        <v>77</v>
      </c>
      <c r="C66" s="26" t="s">
        <v>78</v>
      </c>
      <c r="D66" s="8" t="s">
        <v>34</v>
      </c>
      <c r="E66" s="27">
        <v>3004</v>
      </c>
      <c r="F66" s="22">
        <f>SUM(E66/100)</f>
        <v>30.04</v>
      </c>
      <c r="G66" s="22">
        <v>2074.63</v>
      </c>
      <c r="H66" s="22">
        <f t="shared" si="36"/>
        <v>62.321885200000004</v>
      </c>
      <c r="I66" s="19">
        <v>0</v>
      </c>
      <c r="J66" s="19">
        <v>0</v>
      </c>
      <c r="K66" s="19">
        <v>0</v>
      </c>
      <c r="L66" s="19">
        <v>0</v>
      </c>
      <c r="M66" s="19">
        <f>F66*G66</f>
        <v>62321.885200000004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f t="shared" si="35"/>
        <v>62321.885200000004</v>
      </c>
    </row>
    <row r="67" spans="1:21">
      <c r="A67" s="26"/>
      <c r="B67" s="10" t="s">
        <v>117</v>
      </c>
      <c r="C67" s="26" t="s">
        <v>39</v>
      </c>
      <c r="D67" s="8"/>
      <c r="E67" s="27">
        <v>15.8</v>
      </c>
      <c r="F67" s="22">
        <f>SUM(E67)</f>
        <v>15.8</v>
      </c>
      <c r="G67" s="22">
        <v>42.67</v>
      </c>
      <c r="H67" s="22">
        <f t="shared" si="36"/>
        <v>0.67418600000000006</v>
      </c>
      <c r="I67" s="19">
        <v>0</v>
      </c>
      <c r="J67" s="19">
        <v>0</v>
      </c>
      <c r="K67" s="19">
        <v>0</v>
      </c>
      <c r="L67" s="19">
        <v>0</v>
      </c>
      <c r="M67" s="19">
        <f t="shared" si="37"/>
        <v>674.18600000000004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f t="shared" si="35"/>
        <v>674.18600000000004</v>
      </c>
    </row>
    <row r="68" spans="1:21" ht="12.75" customHeight="1">
      <c r="A68" s="80"/>
      <c r="B68" s="10" t="s">
        <v>118</v>
      </c>
      <c r="C68" s="26" t="s">
        <v>39</v>
      </c>
      <c r="D68" s="8"/>
      <c r="E68" s="27">
        <v>15.8</v>
      </c>
      <c r="F68" s="22">
        <f>SUM(E68)</f>
        <v>15.8</v>
      </c>
      <c r="G68" s="22">
        <v>39.81</v>
      </c>
      <c r="H68" s="22">
        <f t="shared" si="36"/>
        <v>0.62899800000000006</v>
      </c>
      <c r="I68" s="19">
        <v>0</v>
      </c>
      <c r="J68" s="19">
        <v>0</v>
      </c>
      <c r="K68" s="19">
        <v>0</v>
      </c>
      <c r="L68" s="19">
        <v>0</v>
      </c>
      <c r="M68" s="19">
        <f t="shared" si="37"/>
        <v>628.99800000000005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f t="shared" si="35"/>
        <v>628.99800000000005</v>
      </c>
    </row>
    <row r="69" spans="1:21">
      <c r="A69" s="26" t="s">
        <v>205</v>
      </c>
      <c r="B69" s="8" t="s">
        <v>79</v>
      </c>
      <c r="C69" s="26" t="s">
        <v>80</v>
      </c>
      <c r="D69" s="8" t="s">
        <v>34</v>
      </c>
      <c r="E69" s="27">
        <v>15</v>
      </c>
      <c r="F69" s="22">
        <v>15</v>
      </c>
      <c r="G69" s="22">
        <v>49.88</v>
      </c>
      <c r="H69" s="22">
        <f t="shared" si="36"/>
        <v>0.74820000000000009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f>G69*15</f>
        <v>748.2</v>
      </c>
      <c r="R69" s="19">
        <v>0</v>
      </c>
      <c r="S69" s="19">
        <v>0</v>
      </c>
      <c r="T69" s="19">
        <v>0</v>
      </c>
      <c r="U69" s="19">
        <f t="shared" si="35"/>
        <v>748.2</v>
      </c>
    </row>
    <row r="70" spans="1:21">
      <c r="A70" s="80"/>
      <c r="B70" s="11" t="s">
        <v>81</v>
      </c>
      <c r="C70" s="26"/>
      <c r="D70" s="8"/>
      <c r="E70" s="27"/>
      <c r="F70" s="22"/>
      <c r="G70" s="22"/>
      <c r="H70" s="22" t="s">
        <v>45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>
      <c r="A71" s="26" t="s">
        <v>206</v>
      </c>
      <c r="B71" s="8" t="s">
        <v>82</v>
      </c>
      <c r="C71" s="26" t="s">
        <v>83</v>
      </c>
      <c r="D71" s="8"/>
      <c r="E71" s="27">
        <v>10</v>
      </c>
      <c r="F71" s="22">
        <v>1</v>
      </c>
      <c r="G71" s="22">
        <v>501.62</v>
      </c>
      <c r="H71" s="22">
        <f t="shared" si="36"/>
        <v>0.50161999999999995</v>
      </c>
      <c r="I71" s="19">
        <v>0</v>
      </c>
      <c r="J71" s="19">
        <f>G71*0.1</f>
        <v>50.162000000000006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f t="shared" si="35"/>
        <v>50.162000000000006</v>
      </c>
    </row>
    <row r="72" spans="1:21">
      <c r="A72" s="26" t="s">
        <v>207</v>
      </c>
      <c r="B72" s="8" t="s">
        <v>84</v>
      </c>
      <c r="C72" s="26" t="s">
        <v>36</v>
      </c>
      <c r="D72" s="8"/>
      <c r="E72" s="27">
        <v>1</v>
      </c>
      <c r="F72" s="22">
        <v>1</v>
      </c>
      <c r="G72" s="22">
        <v>99.85</v>
      </c>
      <c r="H72" s="22">
        <f>F72*G72/1000</f>
        <v>9.9849999999999994E-2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f t="shared" si="35"/>
        <v>0</v>
      </c>
    </row>
    <row r="73" spans="1:21">
      <c r="A73" s="26" t="s">
        <v>208</v>
      </c>
      <c r="B73" s="8" t="s">
        <v>85</v>
      </c>
      <c r="C73" s="26" t="s">
        <v>36</v>
      </c>
      <c r="D73" s="8"/>
      <c r="E73" s="27">
        <v>1</v>
      </c>
      <c r="F73" s="22">
        <v>1</v>
      </c>
      <c r="G73" s="22">
        <v>120.26</v>
      </c>
      <c r="H73" s="22">
        <f>F73*G73/1000</f>
        <v>0.12026000000000001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f t="shared" si="35"/>
        <v>0</v>
      </c>
    </row>
    <row r="74" spans="1:21">
      <c r="A74" s="26" t="s">
        <v>209</v>
      </c>
      <c r="B74" s="8" t="s">
        <v>119</v>
      </c>
      <c r="C74" s="26" t="s">
        <v>36</v>
      </c>
      <c r="D74" s="8"/>
      <c r="E74" s="27">
        <v>2</v>
      </c>
      <c r="F74" s="22">
        <v>2</v>
      </c>
      <c r="G74" s="22">
        <v>852.99</v>
      </c>
      <c r="H74" s="22">
        <f>F74*G74/1000</f>
        <v>1.7059800000000001</v>
      </c>
      <c r="I74" s="19">
        <v>0</v>
      </c>
      <c r="J74" s="19">
        <f>G74</f>
        <v>852.99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f t="shared" si="35"/>
        <v>852.99</v>
      </c>
    </row>
    <row r="75" spans="1:21">
      <c r="A75" s="26" t="s">
        <v>210</v>
      </c>
      <c r="B75" s="8" t="s">
        <v>86</v>
      </c>
      <c r="C75" s="26" t="s">
        <v>62</v>
      </c>
      <c r="D75" s="8"/>
      <c r="E75" s="27">
        <v>1</v>
      </c>
      <c r="F75" s="22">
        <f>SUM(E75)</f>
        <v>1</v>
      </c>
      <c r="G75" s="22">
        <v>358.51</v>
      </c>
      <c r="H75" s="22">
        <f t="shared" si="36"/>
        <v>0.35851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G75</f>
        <v>358.51</v>
      </c>
      <c r="Q75" s="19">
        <v>0</v>
      </c>
      <c r="R75" s="19">
        <v>0</v>
      </c>
      <c r="S75" s="19">
        <v>0</v>
      </c>
      <c r="T75" s="19">
        <v>0</v>
      </c>
      <c r="U75" s="19">
        <f t="shared" si="35"/>
        <v>358.51</v>
      </c>
    </row>
    <row r="76" spans="1:21" hidden="1">
      <c r="A76" s="26"/>
      <c r="B76" s="8" t="s">
        <v>87</v>
      </c>
      <c r="C76" s="26" t="s">
        <v>88</v>
      </c>
      <c r="D76" s="8"/>
      <c r="E76" s="27"/>
      <c r="F76" s="22"/>
      <c r="G76" s="22">
        <v>31.54</v>
      </c>
      <c r="H76" s="22">
        <f t="shared" si="36"/>
        <v>0</v>
      </c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>
        <f t="shared" si="35"/>
        <v>0</v>
      </c>
    </row>
    <row r="77" spans="1:21">
      <c r="A77" s="80"/>
      <c r="B77" s="30" t="s">
        <v>89</v>
      </c>
      <c r="C77" s="26"/>
      <c r="D77" s="8"/>
      <c r="E77" s="27"/>
      <c r="F77" s="22"/>
      <c r="G77" s="22" t="s">
        <v>45</v>
      </c>
      <c r="H77" s="22" t="s">
        <v>45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s="2" customFormat="1">
      <c r="A78" s="28" t="s">
        <v>90</v>
      </c>
      <c r="B78" s="31" t="s">
        <v>91</v>
      </c>
      <c r="C78" s="28" t="s">
        <v>78</v>
      </c>
      <c r="D78" s="9"/>
      <c r="E78" s="32"/>
      <c r="F78" s="23">
        <v>1.35</v>
      </c>
      <c r="G78" s="23">
        <v>2759.44</v>
      </c>
      <c r="H78" s="22">
        <f t="shared" si="36"/>
        <v>3.725244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19">
        <f t="shared" si="35"/>
        <v>0</v>
      </c>
    </row>
    <row r="79" spans="1:21" s="13" customFormat="1">
      <c r="A79" s="103"/>
      <c r="B79" s="44" t="s">
        <v>28</v>
      </c>
      <c r="C79" s="33"/>
      <c r="D79" s="34"/>
      <c r="E79" s="35"/>
      <c r="F79" s="24"/>
      <c r="G79" s="24"/>
      <c r="H79" s="71">
        <f>SUM(H55:H78)</f>
        <v>8570.7640355500007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>
        <f>SUM(U55:U78)</f>
        <v>150206.01382000002</v>
      </c>
    </row>
    <row r="80" spans="1:21">
      <c r="A80" s="26" t="s">
        <v>137</v>
      </c>
      <c r="B80" s="8" t="s">
        <v>138</v>
      </c>
      <c r="C80" s="36"/>
      <c r="D80" s="37"/>
      <c r="E80" s="27"/>
      <c r="F80" s="38">
        <v>1</v>
      </c>
      <c r="G80" s="39">
        <v>27865.200000000001</v>
      </c>
      <c r="H80" s="22">
        <f>G80*F80/1000</f>
        <v>27.865200000000002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8329.02</v>
      </c>
      <c r="O80" s="19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19">
        <f t="shared" si="35"/>
        <v>8329.02</v>
      </c>
    </row>
    <row r="81" spans="1:26" ht="12.75" customHeight="1">
      <c r="A81" s="26"/>
      <c r="B81" s="11" t="s">
        <v>92</v>
      </c>
      <c r="C81" s="26" t="s">
        <v>93</v>
      </c>
      <c r="D81" s="40"/>
      <c r="E81" s="22">
        <v>5162.6000000000004</v>
      </c>
      <c r="F81" s="22">
        <f>SUM(E81*12)</f>
        <v>61951.200000000004</v>
      </c>
      <c r="G81" s="41">
        <v>2.1</v>
      </c>
      <c r="H81" s="22">
        <f>SUM(F81*G81/1000)</f>
        <v>130.09752000000003</v>
      </c>
      <c r="I81" s="19">
        <f>F81/12*G81</f>
        <v>10841.460000000001</v>
      </c>
      <c r="J81" s="19">
        <f>F81/12*G81</f>
        <v>10841.460000000001</v>
      </c>
      <c r="K81" s="19">
        <f>F81/12*G81</f>
        <v>10841.460000000001</v>
      </c>
      <c r="L81" s="19">
        <f>F81/12*G81</f>
        <v>10841.460000000001</v>
      </c>
      <c r="M81" s="19">
        <f>F81/12*G81</f>
        <v>10841.460000000001</v>
      </c>
      <c r="N81" s="19">
        <f>F81/12*G81</f>
        <v>10841.460000000001</v>
      </c>
      <c r="O81" s="19">
        <f>F81/12*G81</f>
        <v>10841.460000000001</v>
      </c>
      <c r="P81" s="76">
        <f>F81/12*G81</f>
        <v>10841.460000000001</v>
      </c>
      <c r="Q81" s="76">
        <f>F81/12*G81</f>
        <v>10841.460000000001</v>
      </c>
      <c r="R81" s="76">
        <f>F81/12*G81</f>
        <v>10841.460000000001</v>
      </c>
      <c r="S81" s="76">
        <f>F81/12*G81</f>
        <v>10841.460000000001</v>
      </c>
      <c r="T81" s="76">
        <f>F81/12*G81</f>
        <v>10841.460000000001</v>
      </c>
      <c r="U81" s="19">
        <f t="shared" si="35"/>
        <v>130097.52000000003</v>
      </c>
    </row>
    <row r="82" spans="1:26" hidden="1">
      <c r="A82" s="42"/>
      <c r="B82" s="8" t="s">
        <v>94</v>
      </c>
      <c r="C82" s="26" t="s">
        <v>13</v>
      </c>
      <c r="D82" s="8"/>
      <c r="E82" s="27">
        <v>30</v>
      </c>
      <c r="F82" s="22">
        <f>E82/100</f>
        <v>0.3</v>
      </c>
      <c r="G82" s="22">
        <v>0</v>
      </c>
      <c r="H82" s="22">
        <f>F82*G82/1000</f>
        <v>0</v>
      </c>
      <c r="I82" s="19"/>
      <c r="J82" s="19"/>
      <c r="K82" s="19"/>
      <c r="L82" s="19"/>
      <c r="M82" s="19">
        <v>0</v>
      </c>
      <c r="N82" s="19">
        <v>0</v>
      </c>
      <c r="O82" s="19"/>
      <c r="P82" s="19"/>
      <c r="Q82" s="19"/>
      <c r="R82" s="19"/>
      <c r="S82" s="19"/>
      <c r="T82" s="19"/>
      <c r="U82" s="76">
        <f t="shared" ref="U82" si="38">SUM(I82:O82)</f>
        <v>0</v>
      </c>
    </row>
    <row r="83" spans="1:26" s="12" customFormat="1">
      <c r="A83" s="42"/>
      <c r="B83" s="44" t="s">
        <v>28</v>
      </c>
      <c r="C83" s="43"/>
      <c r="D83" s="44"/>
      <c r="E83" s="45"/>
      <c r="F83" s="20"/>
      <c r="G83" s="46"/>
      <c r="H83" s="20">
        <f>SUM(H80:H82)</f>
        <v>157.96272000000005</v>
      </c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>
        <f>SUM(U80:U82)</f>
        <v>138426.54000000004</v>
      </c>
    </row>
    <row r="84" spans="1:26" ht="25.5" customHeight="1">
      <c r="A84" s="80"/>
      <c r="B84" s="8" t="s">
        <v>95</v>
      </c>
      <c r="C84" s="26"/>
      <c r="D84" s="14"/>
      <c r="E84" s="27">
        <f>E81</f>
        <v>5162.6000000000004</v>
      </c>
      <c r="F84" s="22">
        <f>E84*12</f>
        <v>61951.200000000004</v>
      </c>
      <c r="G84" s="22">
        <v>1.63</v>
      </c>
      <c r="H84" s="22">
        <f>F84*G84/1000</f>
        <v>100.980456</v>
      </c>
      <c r="I84" s="19">
        <f>F84/12*G84</f>
        <v>8415.0380000000005</v>
      </c>
      <c r="J84" s="19">
        <f>F84/12*G84</f>
        <v>8415.0380000000005</v>
      </c>
      <c r="K84" s="19">
        <f>F84/12*G84</f>
        <v>8415.0380000000005</v>
      </c>
      <c r="L84" s="19">
        <f>F84/12*G84</f>
        <v>8415.0380000000005</v>
      </c>
      <c r="M84" s="19">
        <f>F84/12*G84</f>
        <v>8415.0380000000005</v>
      </c>
      <c r="N84" s="19">
        <f>F84/12*G84</f>
        <v>8415.0380000000005</v>
      </c>
      <c r="O84" s="19">
        <f>F84/12*G84</f>
        <v>8415.0380000000005</v>
      </c>
      <c r="P84" s="19">
        <f>F84/12*G84</f>
        <v>8415.0380000000005</v>
      </c>
      <c r="Q84" s="19">
        <f>F84/12*G84</f>
        <v>8415.0380000000005</v>
      </c>
      <c r="R84" s="19">
        <f>F84/12*G84</f>
        <v>8415.0380000000005</v>
      </c>
      <c r="S84" s="19">
        <f>F84/12*G84</f>
        <v>8415.0380000000005</v>
      </c>
      <c r="T84" s="19">
        <f>F84/12*G84</f>
        <v>8415.0380000000005</v>
      </c>
      <c r="U84" s="19">
        <f t="shared" ref="U84" si="39">SUM(I84:T84)</f>
        <v>100980.45600000001</v>
      </c>
    </row>
    <row r="85" spans="1:26" s="12" customFormat="1">
      <c r="A85" s="42"/>
      <c r="B85" s="47" t="s">
        <v>96</v>
      </c>
      <c r="C85" s="48"/>
      <c r="D85" s="47"/>
      <c r="E85" s="20"/>
      <c r="F85" s="20"/>
      <c r="G85" s="20"/>
      <c r="H85" s="71">
        <f>H84</f>
        <v>100.980456</v>
      </c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71">
        <f>U84</f>
        <v>100980.45600000001</v>
      </c>
    </row>
    <row r="86" spans="1:26" s="12" customFormat="1">
      <c r="A86" s="42"/>
      <c r="B86" s="47" t="s">
        <v>97</v>
      </c>
      <c r="C86" s="49"/>
      <c r="D86" s="50"/>
      <c r="E86" s="51"/>
      <c r="F86" s="51"/>
      <c r="G86" s="51"/>
      <c r="H86" s="71">
        <f>SUM(H85+H83+H79+H53+H42+H32+H22)</f>
        <v>9446.1833304966331</v>
      </c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71">
        <f>SUM(U85+U83+U79+U53+U42+U32+U22)</f>
        <v>986225.53036663344</v>
      </c>
    </row>
    <row r="87" spans="1:26" s="66" customFormat="1" ht="51" hidden="1">
      <c r="A87" s="52"/>
      <c r="B87" s="30"/>
      <c r="C87" s="26"/>
      <c r="D87" s="14"/>
      <c r="E87" s="22"/>
      <c r="F87" s="22"/>
      <c r="G87" s="22"/>
      <c r="H87" s="104"/>
      <c r="I87" s="22"/>
      <c r="J87" s="22"/>
      <c r="K87" s="22"/>
      <c r="L87" s="22"/>
      <c r="M87" s="22"/>
      <c r="N87" s="22"/>
      <c r="O87" s="22"/>
      <c r="P87" s="22"/>
      <c r="Q87" s="22"/>
      <c r="R87" s="78"/>
      <c r="S87" s="78"/>
      <c r="T87" s="78"/>
      <c r="U87" s="77" t="s">
        <v>227</v>
      </c>
      <c r="W87" s="116"/>
      <c r="X87" s="116"/>
      <c r="Y87" s="116"/>
      <c r="Z87" s="116"/>
    </row>
    <row r="88" spans="1:26">
      <c r="A88" s="80"/>
      <c r="B88" s="14" t="s">
        <v>98</v>
      </c>
      <c r="C88" s="26"/>
      <c r="D88" s="14"/>
      <c r="E88" s="22"/>
      <c r="F88" s="22"/>
      <c r="G88" s="22" t="s">
        <v>99</v>
      </c>
      <c r="H88" s="27">
        <f>E84</f>
        <v>5162.6000000000004</v>
      </c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6" s="12" customFormat="1">
      <c r="A89" s="42"/>
      <c r="B89" s="50" t="s">
        <v>100</v>
      </c>
      <c r="C89" s="49"/>
      <c r="D89" s="50"/>
      <c r="E89" s="51"/>
      <c r="F89" s="51"/>
      <c r="G89" s="51"/>
      <c r="H89" s="72">
        <f>SUM(H86/H88/12*1000)</f>
        <v>152.47781044590954</v>
      </c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72"/>
    </row>
    <row r="90" spans="1:26">
      <c r="A90" s="52"/>
      <c r="B90" s="14"/>
      <c r="C90" s="26"/>
      <c r="D90" s="14"/>
      <c r="E90" s="22"/>
      <c r="F90" s="22"/>
      <c r="G90" s="22"/>
      <c r="H90" s="53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73"/>
    </row>
    <row r="91" spans="1:26">
      <c r="A91" s="80"/>
      <c r="B91" s="30" t="s">
        <v>101</v>
      </c>
      <c r="C91" s="26"/>
      <c r="D91" s="14"/>
      <c r="E91" s="22"/>
      <c r="F91" s="22"/>
      <c r="G91" s="22"/>
      <c r="H91" s="22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6" ht="25.5">
      <c r="A92" s="85" t="s">
        <v>213</v>
      </c>
      <c r="B92" s="86" t="s">
        <v>288</v>
      </c>
      <c r="C92" s="85" t="s">
        <v>142</v>
      </c>
      <c r="D92" s="14"/>
      <c r="E92" s="22"/>
      <c r="F92" s="22">
        <v>12</v>
      </c>
      <c r="G92" s="22">
        <v>195.85</v>
      </c>
      <c r="H92" s="22">
        <f t="shared" ref="H92:H93" si="40">G92*F92/1000</f>
        <v>2.3501999999999996</v>
      </c>
      <c r="I92" s="19">
        <f>G92*2</f>
        <v>391.7</v>
      </c>
      <c r="J92" s="19">
        <v>0</v>
      </c>
      <c r="K92" s="19">
        <v>0</v>
      </c>
      <c r="L92" s="19">
        <v>0</v>
      </c>
      <c r="M92" s="19">
        <v>0</v>
      </c>
      <c r="N92" s="19">
        <f>G92</f>
        <v>195.85</v>
      </c>
      <c r="O92" s="19">
        <f>G92</f>
        <v>195.85</v>
      </c>
      <c r="P92" s="19">
        <f>G92</f>
        <v>195.85</v>
      </c>
      <c r="Q92" s="19">
        <f>G92*2</f>
        <v>391.7</v>
      </c>
      <c r="R92" s="19">
        <v>0</v>
      </c>
      <c r="S92" s="19">
        <f>G92*2</f>
        <v>391.7</v>
      </c>
      <c r="T92" s="19">
        <f>G92*3</f>
        <v>587.54999999999995</v>
      </c>
      <c r="U92" s="19">
        <f t="shared" ref="U92:U139" si="41">SUM(I92:T92)</f>
        <v>2350.1999999999998</v>
      </c>
    </row>
    <row r="93" spans="1:26" ht="25.5">
      <c r="A93" s="67" t="s">
        <v>133</v>
      </c>
      <c r="B93" s="68" t="s">
        <v>276</v>
      </c>
      <c r="C93" s="69" t="s">
        <v>134</v>
      </c>
      <c r="D93" s="14"/>
      <c r="E93" s="22"/>
      <c r="F93" s="22">
        <v>1</v>
      </c>
      <c r="G93" s="22">
        <v>403.69</v>
      </c>
      <c r="H93" s="22">
        <f t="shared" si="40"/>
        <v>0.40368999999999999</v>
      </c>
      <c r="I93" s="19">
        <f>G93</f>
        <v>403.69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f t="shared" si="41"/>
        <v>403.69</v>
      </c>
    </row>
    <row r="94" spans="1:26" ht="12.75" customHeight="1">
      <c r="A94" s="83" t="s">
        <v>234</v>
      </c>
      <c r="B94" s="84" t="s">
        <v>268</v>
      </c>
      <c r="C94" s="83" t="s">
        <v>233</v>
      </c>
      <c r="D94" s="14"/>
      <c r="E94" s="22"/>
      <c r="F94" s="22">
        <v>1</v>
      </c>
      <c r="G94" s="22">
        <v>306.62</v>
      </c>
      <c r="H94" s="22">
        <f t="shared" ref="H94:H95" si="42">G94*F94/1000</f>
        <v>0.30662</v>
      </c>
      <c r="I94" s="19">
        <f>G94</f>
        <v>306.62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f t="shared" si="41"/>
        <v>306.62</v>
      </c>
    </row>
    <row r="95" spans="1:26" ht="12.75" customHeight="1">
      <c r="A95" s="83" t="s">
        <v>235</v>
      </c>
      <c r="B95" s="84" t="s">
        <v>236</v>
      </c>
      <c r="C95" s="83" t="s">
        <v>165</v>
      </c>
      <c r="D95" s="14"/>
      <c r="E95" s="22"/>
      <c r="F95" s="22">
        <v>5</v>
      </c>
      <c r="G95" s="22">
        <v>1120.8900000000001</v>
      </c>
      <c r="H95" s="22">
        <f t="shared" si="42"/>
        <v>5.6044500000000008</v>
      </c>
      <c r="I95" s="19">
        <v>0</v>
      </c>
      <c r="J95" s="19">
        <f>G95*5</f>
        <v>5604.4500000000007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f t="shared" si="41"/>
        <v>5604.4500000000007</v>
      </c>
    </row>
    <row r="96" spans="1:26" ht="41.25" customHeight="1">
      <c r="A96" s="87" t="s">
        <v>154</v>
      </c>
      <c r="B96" s="84" t="s">
        <v>285</v>
      </c>
      <c r="C96" s="83" t="s">
        <v>155</v>
      </c>
      <c r="D96" s="79"/>
      <c r="E96" s="22"/>
      <c r="F96" s="22">
        <v>35</v>
      </c>
      <c r="G96" s="22">
        <v>1187</v>
      </c>
      <c r="H96" s="22">
        <f t="shared" ref="H96:H102" si="43">G96*F96/1000</f>
        <v>41.545000000000002</v>
      </c>
      <c r="I96" s="19">
        <v>0</v>
      </c>
      <c r="J96" s="19">
        <f>G96*(3+6)</f>
        <v>10683</v>
      </c>
      <c r="K96" s="19">
        <v>0</v>
      </c>
      <c r="L96" s="19">
        <f>G96*4</f>
        <v>4748</v>
      </c>
      <c r="M96" s="19">
        <v>0</v>
      </c>
      <c r="N96" s="19">
        <v>0</v>
      </c>
      <c r="O96" s="19">
        <v>0</v>
      </c>
      <c r="P96" s="19">
        <f>G96*(8+4)</f>
        <v>14244</v>
      </c>
      <c r="Q96" s="19">
        <f>G96*10</f>
        <v>11870</v>
      </c>
      <c r="R96" s="19">
        <v>0</v>
      </c>
      <c r="S96" s="19">
        <v>0</v>
      </c>
      <c r="T96" s="19">
        <v>0</v>
      </c>
      <c r="U96" s="19">
        <f t="shared" si="41"/>
        <v>41545</v>
      </c>
    </row>
    <row r="97" spans="1:21" ht="38.25" customHeight="1">
      <c r="A97" s="83" t="s">
        <v>217</v>
      </c>
      <c r="B97" s="84" t="s">
        <v>293</v>
      </c>
      <c r="C97" s="83" t="s">
        <v>161</v>
      </c>
      <c r="D97" s="14"/>
      <c r="E97" s="22"/>
      <c r="F97" s="22">
        <v>7</v>
      </c>
      <c r="G97" s="22">
        <v>53.42</v>
      </c>
      <c r="H97" s="22">
        <f t="shared" si="43"/>
        <v>0.37393999999999999</v>
      </c>
      <c r="I97" s="19">
        <v>0</v>
      </c>
      <c r="J97" s="19">
        <f>G97*2</f>
        <v>106.84</v>
      </c>
      <c r="K97" s="19">
        <v>0</v>
      </c>
      <c r="L97" s="19">
        <v>0</v>
      </c>
      <c r="M97" s="19">
        <v>0</v>
      </c>
      <c r="N97" s="19">
        <f>G97</f>
        <v>53.42</v>
      </c>
      <c r="O97" s="19">
        <v>0</v>
      </c>
      <c r="P97" s="19">
        <v>0</v>
      </c>
      <c r="Q97" s="19">
        <v>0</v>
      </c>
      <c r="R97" s="19">
        <f>G97</f>
        <v>53.42</v>
      </c>
      <c r="S97" s="19">
        <f>G97</f>
        <v>53.42</v>
      </c>
      <c r="T97" s="19">
        <f>G97*2</f>
        <v>106.84</v>
      </c>
      <c r="U97" s="19">
        <f t="shared" si="41"/>
        <v>373.94000000000005</v>
      </c>
    </row>
    <row r="98" spans="1:21" ht="25.5">
      <c r="A98" s="87" t="s">
        <v>211</v>
      </c>
      <c r="B98" s="84" t="s">
        <v>272</v>
      </c>
      <c r="C98" s="83" t="s">
        <v>62</v>
      </c>
      <c r="D98" s="79"/>
      <c r="E98" s="22"/>
      <c r="F98" s="22">
        <v>9</v>
      </c>
      <c r="G98" s="22">
        <v>83.36</v>
      </c>
      <c r="H98" s="22">
        <f t="shared" si="43"/>
        <v>0.75024000000000002</v>
      </c>
      <c r="I98" s="19">
        <v>0</v>
      </c>
      <c r="J98" s="19">
        <f>G98</f>
        <v>83.36</v>
      </c>
      <c r="K98" s="19">
        <v>0</v>
      </c>
      <c r="L98" s="19">
        <f>G98</f>
        <v>83.36</v>
      </c>
      <c r="M98" s="19">
        <v>0</v>
      </c>
      <c r="N98" s="19">
        <v>0</v>
      </c>
      <c r="O98" s="19">
        <f>G98</f>
        <v>83.36</v>
      </c>
      <c r="P98" s="19">
        <f>G98</f>
        <v>83.36</v>
      </c>
      <c r="Q98" s="19">
        <f>G98*3</f>
        <v>250.07999999999998</v>
      </c>
      <c r="R98" s="19">
        <v>0</v>
      </c>
      <c r="S98" s="19">
        <f>G98</f>
        <v>83.36</v>
      </c>
      <c r="T98" s="19">
        <f>G98</f>
        <v>83.36</v>
      </c>
      <c r="U98" s="19">
        <f t="shared" si="41"/>
        <v>750.24</v>
      </c>
    </row>
    <row r="99" spans="1:21" ht="25.5">
      <c r="A99" s="88" t="s">
        <v>237</v>
      </c>
      <c r="B99" s="86" t="s">
        <v>271</v>
      </c>
      <c r="C99" s="85" t="s">
        <v>62</v>
      </c>
      <c r="D99" s="79"/>
      <c r="E99" s="22"/>
      <c r="F99" s="22">
        <v>1</v>
      </c>
      <c r="G99" s="22">
        <v>1241.75</v>
      </c>
      <c r="H99" s="22">
        <f t="shared" si="43"/>
        <v>1.2417499999999999</v>
      </c>
      <c r="I99" s="19">
        <v>0</v>
      </c>
      <c r="J99" s="19">
        <f>G99</f>
        <v>1241.75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f t="shared" si="41"/>
        <v>1241.75</v>
      </c>
    </row>
    <row r="100" spans="1:21">
      <c r="A100" s="88" t="s">
        <v>133</v>
      </c>
      <c r="B100" s="86" t="s">
        <v>238</v>
      </c>
      <c r="C100" s="85" t="s">
        <v>162</v>
      </c>
      <c r="D100" s="79"/>
      <c r="E100" s="22"/>
      <c r="F100" s="22">
        <v>1</v>
      </c>
      <c r="G100" s="22">
        <v>1582</v>
      </c>
      <c r="H100" s="22">
        <f t="shared" si="43"/>
        <v>1.5820000000000001</v>
      </c>
      <c r="I100" s="19">
        <v>0</v>
      </c>
      <c r="J100" s="19">
        <f>G100*0.5</f>
        <v>791</v>
      </c>
      <c r="K100" s="19">
        <v>0</v>
      </c>
      <c r="L100" s="19">
        <f>G100*0.5</f>
        <v>791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f t="shared" si="41"/>
        <v>1582</v>
      </c>
    </row>
    <row r="101" spans="1:21" ht="26.25" customHeight="1">
      <c r="A101" s="83" t="s">
        <v>235</v>
      </c>
      <c r="B101" s="84" t="s">
        <v>280</v>
      </c>
      <c r="C101" s="83" t="s">
        <v>165</v>
      </c>
      <c r="D101" s="14"/>
      <c r="E101" s="22"/>
      <c r="F101" s="22">
        <f>327/3</f>
        <v>109</v>
      </c>
      <c r="G101" s="22">
        <v>1120.8900000000001</v>
      </c>
      <c r="H101" s="22">
        <f t="shared" si="43"/>
        <v>122.17701000000001</v>
      </c>
      <c r="I101" s="19">
        <v>0</v>
      </c>
      <c r="J101" s="19">
        <v>0</v>
      </c>
      <c r="K101" s="19">
        <f>G101*((10+25+15)/3)</f>
        <v>18681.500000000004</v>
      </c>
      <c r="L101" s="19">
        <f>G101*((3+5+3+20)/3)</f>
        <v>11582.530000000002</v>
      </c>
      <c r="M101" s="19">
        <f>G101*((3+10)/3)</f>
        <v>4857.1900000000005</v>
      </c>
      <c r="N101" s="19">
        <v>0</v>
      </c>
      <c r="O101" s="19">
        <f>G101*((7+20+15+15)/3)</f>
        <v>21296.910000000003</v>
      </c>
      <c r="P101" s="19">
        <f>G101*(9/3)</f>
        <v>3362.67</v>
      </c>
      <c r="Q101" s="19">
        <v>0</v>
      </c>
      <c r="R101" s="19">
        <f>G101*((7+30)/3)</f>
        <v>13824.310000000001</v>
      </c>
      <c r="S101" s="19">
        <f>G101*((10+15+15+20)/3)</f>
        <v>22417.800000000003</v>
      </c>
      <c r="T101" s="19">
        <f>G101*((10+10+50)/3)</f>
        <v>26154.100000000002</v>
      </c>
      <c r="U101" s="19">
        <f t="shared" si="41"/>
        <v>122177.01000000002</v>
      </c>
    </row>
    <row r="102" spans="1:21" ht="38.25">
      <c r="A102" s="67" t="s">
        <v>212</v>
      </c>
      <c r="B102" s="84" t="s">
        <v>140</v>
      </c>
      <c r="C102" s="87" t="s">
        <v>141</v>
      </c>
      <c r="D102" s="79"/>
      <c r="E102" s="22"/>
      <c r="F102" s="22">
        <v>1</v>
      </c>
      <c r="G102" s="22">
        <v>855.05</v>
      </c>
      <c r="H102" s="22">
        <f t="shared" si="43"/>
        <v>0.85504999999999998</v>
      </c>
      <c r="I102" s="19">
        <v>0</v>
      </c>
      <c r="J102" s="19">
        <v>0</v>
      </c>
      <c r="K102" s="19">
        <f>G102</f>
        <v>855.05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f t="shared" si="41"/>
        <v>855.05</v>
      </c>
    </row>
    <row r="103" spans="1:21">
      <c r="A103" s="67"/>
      <c r="B103" s="68" t="s">
        <v>278</v>
      </c>
      <c r="C103" s="69" t="s">
        <v>62</v>
      </c>
      <c r="D103" s="79"/>
      <c r="E103" s="89"/>
      <c r="F103" s="89">
        <v>3</v>
      </c>
      <c r="G103" s="89">
        <v>470</v>
      </c>
      <c r="H103" s="22">
        <f t="shared" ref="H103" si="44">G103*F103/1000</f>
        <v>1.41</v>
      </c>
      <c r="I103" s="19">
        <v>0</v>
      </c>
      <c r="J103" s="19">
        <v>0</v>
      </c>
      <c r="K103" s="19">
        <f>G103</f>
        <v>470</v>
      </c>
      <c r="L103" s="19">
        <f>G103</f>
        <v>470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f>G103</f>
        <v>470</v>
      </c>
      <c r="U103" s="19">
        <f t="shared" si="41"/>
        <v>1410</v>
      </c>
    </row>
    <row r="104" spans="1:21" ht="25.5" customHeight="1">
      <c r="A104" s="67" t="s">
        <v>133</v>
      </c>
      <c r="B104" s="68" t="s">
        <v>277</v>
      </c>
      <c r="C104" s="69" t="s">
        <v>134</v>
      </c>
      <c r="D104" s="14"/>
      <c r="E104" s="22"/>
      <c r="F104" s="22">
        <v>1</v>
      </c>
      <c r="G104" s="22">
        <v>1934.94</v>
      </c>
      <c r="H104" s="22">
        <f t="shared" ref="H104:H110" si="45">G104*F104/1000</f>
        <v>1.9349400000000001</v>
      </c>
      <c r="I104" s="19">
        <v>0</v>
      </c>
      <c r="J104" s="19">
        <v>0</v>
      </c>
      <c r="K104" s="19">
        <v>0</v>
      </c>
      <c r="L104" s="19">
        <f>G104</f>
        <v>1934.94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f t="shared" si="41"/>
        <v>1934.94</v>
      </c>
    </row>
    <row r="105" spans="1:21" ht="26.25" customHeight="1">
      <c r="A105" s="87" t="s">
        <v>215</v>
      </c>
      <c r="B105" s="84" t="s">
        <v>163</v>
      </c>
      <c r="C105" s="83" t="s">
        <v>156</v>
      </c>
      <c r="D105" s="14"/>
      <c r="E105" s="22"/>
      <c r="F105" s="22">
        <v>11</v>
      </c>
      <c r="G105" s="22">
        <v>589.84</v>
      </c>
      <c r="H105" s="22">
        <f t="shared" si="45"/>
        <v>6.4882400000000011</v>
      </c>
      <c r="I105" s="19">
        <v>0</v>
      </c>
      <c r="J105" s="19">
        <v>0</v>
      </c>
      <c r="K105" s="19">
        <v>0</v>
      </c>
      <c r="L105" s="19">
        <f>G105*2</f>
        <v>1179.68</v>
      </c>
      <c r="M105" s="19">
        <v>0</v>
      </c>
      <c r="N105" s="19">
        <v>0</v>
      </c>
      <c r="O105" s="19">
        <v>0</v>
      </c>
      <c r="P105" s="19">
        <f>G105*3</f>
        <v>1769.52</v>
      </c>
      <c r="Q105" s="19">
        <f>G105*4</f>
        <v>2359.36</v>
      </c>
      <c r="R105" s="19">
        <v>0</v>
      </c>
      <c r="S105" s="19">
        <v>0</v>
      </c>
      <c r="T105" s="19">
        <f>G105*2</f>
        <v>1179.68</v>
      </c>
      <c r="U105" s="19">
        <f t="shared" si="41"/>
        <v>6488.24</v>
      </c>
    </row>
    <row r="106" spans="1:21" ht="12.75" customHeight="1">
      <c r="A106" s="85" t="s">
        <v>239</v>
      </c>
      <c r="B106" s="86" t="s">
        <v>279</v>
      </c>
      <c r="C106" s="85" t="s">
        <v>142</v>
      </c>
      <c r="D106" s="14"/>
      <c r="E106" s="22"/>
      <c r="F106" s="22">
        <v>1</v>
      </c>
      <c r="G106" s="22">
        <v>237.44</v>
      </c>
      <c r="H106" s="22">
        <f t="shared" si="45"/>
        <v>0.23743999999999998</v>
      </c>
      <c r="I106" s="19">
        <v>0</v>
      </c>
      <c r="J106" s="19">
        <v>0</v>
      </c>
      <c r="K106" s="19">
        <v>0</v>
      </c>
      <c r="L106" s="19">
        <f>G106</f>
        <v>237.44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f t="shared" si="41"/>
        <v>237.44</v>
      </c>
    </row>
    <row r="107" spans="1:21" ht="25.5" customHeight="1">
      <c r="A107" s="83" t="s">
        <v>194</v>
      </c>
      <c r="B107" s="84" t="s">
        <v>166</v>
      </c>
      <c r="C107" s="83" t="s">
        <v>59</v>
      </c>
      <c r="D107" s="14"/>
      <c r="E107" s="22"/>
      <c r="F107" s="22">
        <v>0.13</v>
      </c>
      <c r="G107" s="22">
        <v>3581.13</v>
      </c>
      <c r="H107" s="22">
        <f t="shared" si="45"/>
        <v>0.46554690000000004</v>
      </c>
      <c r="I107" s="19">
        <v>0</v>
      </c>
      <c r="J107" s="19">
        <v>0</v>
      </c>
      <c r="K107" s="19">
        <v>0</v>
      </c>
      <c r="L107" s="19">
        <f>G107*0.01</f>
        <v>35.811300000000003</v>
      </c>
      <c r="M107" s="19">
        <v>0</v>
      </c>
      <c r="N107" s="19">
        <f>G107*0.03</f>
        <v>107.43389999999999</v>
      </c>
      <c r="O107" s="19">
        <f>G107*0.02</f>
        <v>71.622600000000006</v>
      </c>
      <c r="P107" s="19">
        <f>G107*0.02</f>
        <v>71.622600000000006</v>
      </c>
      <c r="Q107" s="19">
        <f>G107*0.03</f>
        <v>107.43389999999999</v>
      </c>
      <c r="R107" s="19">
        <f>G107*0.01</f>
        <v>35.811300000000003</v>
      </c>
      <c r="S107" s="19">
        <v>0</v>
      </c>
      <c r="T107" s="19">
        <f>G107*0.01</f>
        <v>35.811300000000003</v>
      </c>
      <c r="U107" s="19">
        <f t="shared" si="41"/>
        <v>465.54690000000005</v>
      </c>
    </row>
    <row r="108" spans="1:21" ht="39.75" customHeight="1">
      <c r="A108" s="83" t="s">
        <v>225</v>
      </c>
      <c r="B108" s="84" t="s">
        <v>291</v>
      </c>
      <c r="C108" s="83" t="s">
        <v>224</v>
      </c>
      <c r="D108" s="79"/>
      <c r="E108" s="22"/>
      <c r="F108" s="22">
        <f>0.5/100</f>
        <v>5.0000000000000001E-3</v>
      </c>
      <c r="G108" s="22">
        <v>17204.77</v>
      </c>
      <c r="H108" s="22">
        <f t="shared" si="45"/>
        <v>8.6023850000000013E-2</v>
      </c>
      <c r="I108" s="19">
        <v>0</v>
      </c>
      <c r="J108" s="19">
        <v>0</v>
      </c>
      <c r="K108" s="19">
        <v>0</v>
      </c>
      <c r="L108" s="19">
        <f>G108*F108</f>
        <v>86.02385000000001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f t="shared" si="41"/>
        <v>86.02385000000001</v>
      </c>
    </row>
    <row r="109" spans="1:21" ht="12.75" customHeight="1">
      <c r="A109" s="85" t="s">
        <v>243</v>
      </c>
      <c r="B109" s="86" t="s">
        <v>273</v>
      </c>
      <c r="C109" s="85" t="s">
        <v>62</v>
      </c>
      <c r="D109" s="79"/>
      <c r="E109" s="22"/>
      <c r="F109" s="22">
        <v>1</v>
      </c>
      <c r="G109" s="22">
        <v>190.86</v>
      </c>
      <c r="H109" s="22">
        <f t="shared" si="45"/>
        <v>0.19086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f>G109</f>
        <v>190.86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f t="shared" si="41"/>
        <v>190.86</v>
      </c>
    </row>
    <row r="110" spans="1:21" ht="12.75" customHeight="1">
      <c r="A110" s="67" t="s">
        <v>218</v>
      </c>
      <c r="B110" s="90" t="s">
        <v>167</v>
      </c>
      <c r="C110" s="83" t="s">
        <v>62</v>
      </c>
      <c r="D110" s="14"/>
      <c r="E110" s="22"/>
      <c r="F110" s="22">
        <v>4</v>
      </c>
      <c r="G110" s="22">
        <v>189.67</v>
      </c>
      <c r="H110" s="22">
        <f t="shared" si="45"/>
        <v>0.75867999999999991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f>G110*2</f>
        <v>379.34</v>
      </c>
      <c r="O110" s="19">
        <v>0</v>
      </c>
      <c r="P110" s="19">
        <f>G110*2</f>
        <v>379.34</v>
      </c>
      <c r="Q110" s="19">
        <v>0</v>
      </c>
      <c r="R110" s="19">
        <v>0</v>
      </c>
      <c r="S110" s="19">
        <v>0</v>
      </c>
      <c r="T110" s="19">
        <v>0</v>
      </c>
      <c r="U110" s="19">
        <f t="shared" si="41"/>
        <v>758.68</v>
      </c>
    </row>
    <row r="111" spans="1:21" ht="25.5" customHeight="1">
      <c r="A111" s="87" t="s">
        <v>154</v>
      </c>
      <c r="B111" s="84" t="s">
        <v>284</v>
      </c>
      <c r="C111" s="83" t="s">
        <v>155</v>
      </c>
      <c r="D111" s="79"/>
      <c r="E111" s="22"/>
      <c r="F111" s="22">
        <v>19</v>
      </c>
      <c r="G111" s="22">
        <v>1272</v>
      </c>
      <c r="H111" s="22">
        <f t="shared" ref="H111" si="46">G111*F111/1000</f>
        <v>24.167999999999999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f>G111*2</f>
        <v>2544</v>
      </c>
      <c r="P111" s="19">
        <f>G111</f>
        <v>1272</v>
      </c>
      <c r="Q111" s="19">
        <f>G111*12</f>
        <v>15264</v>
      </c>
      <c r="R111" s="19">
        <v>0</v>
      </c>
      <c r="S111" s="19">
        <v>0</v>
      </c>
      <c r="T111" s="19">
        <f>G111*4</f>
        <v>5088</v>
      </c>
      <c r="U111" s="19">
        <f t="shared" si="41"/>
        <v>24168</v>
      </c>
    </row>
    <row r="112" spans="1:21" ht="25.5" customHeight="1">
      <c r="A112" s="87" t="s">
        <v>154</v>
      </c>
      <c r="B112" s="84" t="s">
        <v>282</v>
      </c>
      <c r="C112" s="83" t="s">
        <v>155</v>
      </c>
      <c r="D112" s="79"/>
      <c r="E112" s="22"/>
      <c r="F112" s="22">
        <v>10</v>
      </c>
      <c r="G112" s="22">
        <v>1146</v>
      </c>
      <c r="H112" s="22">
        <f t="shared" ref="H112:H116" si="47">G112*F112/1000</f>
        <v>11.46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f>G112*6</f>
        <v>6876</v>
      </c>
      <c r="P112" s="19">
        <f>G112*4</f>
        <v>4584</v>
      </c>
      <c r="Q112" s="19">
        <v>0</v>
      </c>
      <c r="R112" s="19">
        <v>0</v>
      </c>
      <c r="S112" s="19">
        <v>0</v>
      </c>
      <c r="T112" s="19">
        <v>0</v>
      </c>
      <c r="U112" s="19">
        <f t="shared" si="41"/>
        <v>11460</v>
      </c>
    </row>
    <row r="113" spans="1:25" ht="25.5">
      <c r="A113" s="85" t="s">
        <v>214</v>
      </c>
      <c r="B113" s="86" t="s">
        <v>281</v>
      </c>
      <c r="C113" s="85" t="s">
        <v>156</v>
      </c>
      <c r="D113" s="14"/>
      <c r="E113" s="22"/>
      <c r="F113" s="22">
        <v>8</v>
      </c>
      <c r="G113" s="22">
        <v>1046.06</v>
      </c>
      <c r="H113" s="22">
        <f t="shared" si="47"/>
        <v>8.3684799999999999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f>G113*(3+2)</f>
        <v>5230.2999999999993</v>
      </c>
      <c r="P113" s="19">
        <f>G113*3</f>
        <v>3138.18</v>
      </c>
      <c r="Q113" s="19">
        <v>0</v>
      </c>
      <c r="R113" s="19">
        <v>0</v>
      </c>
      <c r="S113" s="19">
        <v>0</v>
      </c>
      <c r="T113" s="19">
        <v>0</v>
      </c>
      <c r="U113" s="19">
        <f t="shared" si="41"/>
        <v>8368.48</v>
      </c>
    </row>
    <row r="114" spans="1:25" ht="12.75" customHeight="1">
      <c r="A114" s="83" t="s">
        <v>158</v>
      </c>
      <c r="B114" s="84" t="s">
        <v>240</v>
      </c>
      <c r="C114" s="83" t="s">
        <v>62</v>
      </c>
      <c r="D114" s="14"/>
      <c r="E114" s="22"/>
      <c r="F114" s="22">
        <v>1</v>
      </c>
      <c r="G114" s="22">
        <v>63</v>
      </c>
      <c r="H114" s="22">
        <f t="shared" si="47"/>
        <v>6.3E-2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f>G114</f>
        <v>63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 t="shared" si="41"/>
        <v>63</v>
      </c>
    </row>
    <row r="115" spans="1:25">
      <c r="A115" s="83" t="s">
        <v>158</v>
      </c>
      <c r="B115" s="84" t="s">
        <v>160</v>
      </c>
      <c r="C115" s="83" t="s">
        <v>62</v>
      </c>
      <c r="D115" s="8"/>
      <c r="E115" s="27"/>
      <c r="F115" s="22">
        <v>6</v>
      </c>
      <c r="G115" s="22">
        <v>140</v>
      </c>
      <c r="H115" s="22">
        <f t="shared" si="47"/>
        <v>0.84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f>G115*(2+1)</f>
        <v>420</v>
      </c>
      <c r="P115" s="19">
        <f>G115*2</f>
        <v>280</v>
      </c>
      <c r="Q115" s="19">
        <v>0</v>
      </c>
      <c r="R115" s="19">
        <v>0</v>
      </c>
      <c r="S115" s="19">
        <f>G115</f>
        <v>140</v>
      </c>
      <c r="T115" s="19">
        <v>0</v>
      </c>
      <c r="U115" s="19">
        <f t="shared" si="41"/>
        <v>840</v>
      </c>
    </row>
    <row r="116" spans="1:25" ht="12.75" customHeight="1">
      <c r="A116" s="83" t="s">
        <v>158</v>
      </c>
      <c r="B116" s="84" t="s">
        <v>241</v>
      </c>
      <c r="C116" s="83" t="s">
        <v>62</v>
      </c>
      <c r="D116" s="14"/>
      <c r="E116" s="22"/>
      <c r="F116" s="22">
        <v>3</v>
      </c>
      <c r="G116" s="22">
        <v>40</v>
      </c>
      <c r="H116" s="22">
        <f t="shared" si="47"/>
        <v>0.12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f>G116*(1+1)</f>
        <v>80</v>
      </c>
      <c r="P116" s="19">
        <v>0</v>
      </c>
      <c r="Q116" s="19">
        <v>0</v>
      </c>
      <c r="R116" s="19">
        <v>0</v>
      </c>
      <c r="S116" s="19">
        <f>G116</f>
        <v>40</v>
      </c>
      <c r="T116" s="19">
        <v>0</v>
      </c>
      <c r="U116" s="19">
        <f t="shared" si="41"/>
        <v>120</v>
      </c>
    </row>
    <row r="117" spans="1:25" ht="12.75" customHeight="1">
      <c r="A117" s="85" t="s">
        <v>158</v>
      </c>
      <c r="B117" s="86" t="s">
        <v>242</v>
      </c>
      <c r="C117" s="85" t="s">
        <v>62</v>
      </c>
      <c r="D117" s="79"/>
      <c r="E117" s="22"/>
      <c r="F117" s="22">
        <v>2</v>
      </c>
      <c r="G117" s="22">
        <v>108</v>
      </c>
      <c r="H117" s="22">
        <f t="shared" ref="H117:H132" si="48">G117*F117/1000</f>
        <v>0.216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f>G117</f>
        <v>108</v>
      </c>
      <c r="P117" s="19">
        <f>G117</f>
        <v>108</v>
      </c>
      <c r="Q117" s="19">
        <v>0</v>
      </c>
      <c r="R117" s="19">
        <v>0</v>
      </c>
      <c r="S117" s="19">
        <v>0</v>
      </c>
      <c r="T117" s="19">
        <v>0</v>
      </c>
      <c r="U117" s="19">
        <f t="shared" si="41"/>
        <v>216</v>
      </c>
    </row>
    <row r="118" spans="1:25" ht="12.75" customHeight="1">
      <c r="A118" s="88" t="s">
        <v>244</v>
      </c>
      <c r="B118" s="86" t="s">
        <v>274</v>
      </c>
      <c r="C118" s="85" t="s">
        <v>62</v>
      </c>
      <c r="D118" s="79"/>
      <c r="E118" s="22"/>
      <c r="F118" s="22">
        <v>2</v>
      </c>
      <c r="G118" s="22">
        <v>510.84</v>
      </c>
      <c r="H118" s="22">
        <f t="shared" si="48"/>
        <v>1.0216799999999999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f>G118</f>
        <v>510.84</v>
      </c>
      <c r="P118" s="19">
        <v>0</v>
      </c>
      <c r="Q118" s="19">
        <v>0</v>
      </c>
      <c r="R118" s="19">
        <v>0</v>
      </c>
      <c r="S118" s="19">
        <v>0</v>
      </c>
      <c r="T118" s="19">
        <f>G118</f>
        <v>510.84</v>
      </c>
      <c r="U118" s="19">
        <f t="shared" si="41"/>
        <v>1021.68</v>
      </c>
    </row>
    <row r="119" spans="1:25" ht="25.5" customHeight="1">
      <c r="A119" s="85" t="s">
        <v>245</v>
      </c>
      <c r="B119" s="86" t="s">
        <v>292</v>
      </c>
      <c r="C119" s="85" t="s">
        <v>93</v>
      </c>
      <c r="D119" s="14"/>
      <c r="E119" s="22"/>
      <c r="F119" s="22">
        <v>1</v>
      </c>
      <c r="G119" s="22">
        <v>1363.47</v>
      </c>
      <c r="H119" s="22">
        <f t="shared" si="48"/>
        <v>1.36347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f>G119</f>
        <v>1363.47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si="41"/>
        <v>1363.47</v>
      </c>
    </row>
    <row r="120" spans="1:25" ht="12.75" customHeight="1">
      <c r="A120" s="83" t="s">
        <v>158</v>
      </c>
      <c r="B120" s="84" t="s">
        <v>251</v>
      </c>
      <c r="C120" s="83" t="s">
        <v>62</v>
      </c>
      <c r="D120" s="14"/>
      <c r="E120" s="22"/>
      <c r="F120" s="22">
        <v>4</v>
      </c>
      <c r="G120" s="22">
        <v>82</v>
      </c>
      <c r="H120" s="22">
        <f>G120*F120/1000</f>
        <v>0.32800000000000001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f>G120</f>
        <v>82</v>
      </c>
      <c r="P120" s="19">
        <f>G120*2</f>
        <v>164</v>
      </c>
      <c r="Q120" s="19">
        <v>0</v>
      </c>
      <c r="R120" s="19">
        <v>0</v>
      </c>
      <c r="S120" s="19">
        <f>G120</f>
        <v>82</v>
      </c>
      <c r="T120" s="19">
        <v>0</v>
      </c>
      <c r="U120" s="19">
        <f>SUM(I120:T120)</f>
        <v>328</v>
      </c>
    </row>
    <row r="121" spans="1:25" ht="25.5" customHeight="1">
      <c r="A121" s="87" t="s">
        <v>221</v>
      </c>
      <c r="B121" s="84" t="s">
        <v>283</v>
      </c>
      <c r="C121" s="83" t="s">
        <v>156</v>
      </c>
      <c r="D121" s="14"/>
      <c r="E121" s="22"/>
      <c r="F121" s="22">
        <v>4</v>
      </c>
      <c r="G121" s="22">
        <v>506.98</v>
      </c>
      <c r="H121" s="22">
        <f>G121*F121/1000</f>
        <v>2.0279199999999999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>G121</f>
        <v>506.98</v>
      </c>
      <c r="Q121" s="19">
        <f>G121*3</f>
        <v>1520.94</v>
      </c>
      <c r="R121" s="19">
        <v>0</v>
      </c>
      <c r="S121" s="19">
        <v>0</v>
      </c>
      <c r="T121" s="19">
        <v>0</v>
      </c>
      <c r="U121" s="19">
        <f t="shared" si="41"/>
        <v>2027.92</v>
      </c>
    </row>
    <row r="122" spans="1:25" ht="25.5" customHeight="1">
      <c r="A122" s="87" t="s">
        <v>216</v>
      </c>
      <c r="B122" s="84" t="s">
        <v>289</v>
      </c>
      <c r="C122" s="83" t="s">
        <v>156</v>
      </c>
      <c r="D122" s="14"/>
      <c r="E122" s="22"/>
      <c r="F122" s="22">
        <v>4</v>
      </c>
      <c r="G122" s="22">
        <v>803.54</v>
      </c>
      <c r="H122" s="22">
        <f t="shared" si="48"/>
        <v>3.2141599999999997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f>G122*2</f>
        <v>1607.08</v>
      </c>
      <c r="Q122" s="19">
        <v>0</v>
      </c>
      <c r="R122" s="19">
        <v>0</v>
      </c>
      <c r="S122" s="19">
        <v>0</v>
      </c>
      <c r="T122" s="19">
        <f>G122*(1+1)</f>
        <v>1607.08</v>
      </c>
      <c r="U122" s="19">
        <f t="shared" si="41"/>
        <v>3214.16</v>
      </c>
    </row>
    <row r="123" spans="1:25" ht="12.75" customHeight="1">
      <c r="A123" s="83" t="s">
        <v>158</v>
      </c>
      <c r="B123" s="84" t="s">
        <v>250</v>
      </c>
      <c r="C123" s="83" t="s">
        <v>62</v>
      </c>
      <c r="D123" s="14"/>
      <c r="E123" s="22"/>
      <c r="F123" s="22">
        <v>4</v>
      </c>
      <c r="G123" s="22">
        <v>61</v>
      </c>
      <c r="H123" s="22">
        <f t="shared" si="48"/>
        <v>0.24399999999999999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>G123*4</f>
        <v>244</v>
      </c>
      <c r="Q123" s="19">
        <v>0</v>
      </c>
      <c r="R123" s="19">
        <v>0</v>
      </c>
      <c r="S123" s="19">
        <v>0</v>
      </c>
      <c r="T123" s="19">
        <v>0</v>
      </c>
      <c r="U123" s="19">
        <f t="shared" si="41"/>
        <v>244</v>
      </c>
    </row>
    <row r="124" spans="1:25" ht="12.75" customHeight="1">
      <c r="A124" s="83" t="s">
        <v>158</v>
      </c>
      <c r="B124" s="84" t="s">
        <v>159</v>
      </c>
      <c r="C124" s="83" t="s">
        <v>62</v>
      </c>
      <c r="D124" s="14"/>
      <c r="E124" s="22"/>
      <c r="F124" s="22">
        <v>1</v>
      </c>
      <c r="G124" s="22">
        <v>118</v>
      </c>
      <c r="H124" s="22">
        <f>G124*F124/1000</f>
        <v>0.11799999999999999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f>G124</f>
        <v>118</v>
      </c>
      <c r="Q124" s="19">
        <v>0</v>
      </c>
      <c r="R124" s="19">
        <v>0</v>
      </c>
      <c r="S124" s="19">
        <v>0</v>
      </c>
      <c r="T124" s="19">
        <v>0</v>
      </c>
      <c r="U124" s="19">
        <f t="shared" si="41"/>
        <v>118</v>
      </c>
    </row>
    <row r="125" spans="1:25" ht="12.75" customHeight="1">
      <c r="A125" s="83" t="s">
        <v>158</v>
      </c>
      <c r="B125" s="84" t="s">
        <v>252</v>
      </c>
      <c r="C125" s="83" t="s">
        <v>62</v>
      </c>
      <c r="D125" s="14"/>
      <c r="E125" s="22"/>
      <c r="F125" s="22">
        <v>1</v>
      </c>
      <c r="G125" s="22">
        <v>70</v>
      </c>
      <c r="H125" s="22">
        <f>G125*F125/1000</f>
        <v>7.0000000000000007E-2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f>G125</f>
        <v>70</v>
      </c>
      <c r="Q125" s="19">
        <v>0</v>
      </c>
      <c r="R125" s="19">
        <v>0</v>
      </c>
      <c r="S125" s="19">
        <v>0</v>
      </c>
      <c r="T125" s="19">
        <v>0</v>
      </c>
      <c r="U125" s="19">
        <f t="shared" si="41"/>
        <v>70</v>
      </c>
    </row>
    <row r="126" spans="1:25" ht="25.5">
      <c r="A126" s="83" t="s">
        <v>253</v>
      </c>
      <c r="B126" s="84" t="s">
        <v>287</v>
      </c>
      <c r="C126" s="87" t="s">
        <v>254</v>
      </c>
      <c r="D126" s="14"/>
      <c r="E126" s="22"/>
      <c r="F126" s="22">
        <v>3</v>
      </c>
      <c r="G126" s="22">
        <v>294.45</v>
      </c>
      <c r="H126" s="22">
        <f>G126*F126/1000</f>
        <v>0.88334999999999986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f>G126</f>
        <v>294.45</v>
      </c>
      <c r="Q126" s="19">
        <v>0</v>
      </c>
      <c r="R126" s="19">
        <v>0</v>
      </c>
      <c r="S126" s="19">
        <f>G126*2</f>
        <v>588.9</v>
      </c>
      <c r="T126" s="19">
        <v>0</v>
      </c>
      <c r="U126" s="19">
        <f t="shared" si="41"/>
        <v>883.34999999999991</v>
      </c>
      <c r="V126" s="92"/>
      <c r="W126" s="92"/>
      <c r="X126" s="92"/>
      <c r="Y126" s="92"/>
    </row>
    <row r="127" spans="1:25" ht="25.5" customHeight="1">
      <c r="A127" s="83" t="s">
        <v>220</v>
      </c>
      <c r="B127" s="84" t="s">
        <v>219</v>
      </c>
      <c r="C127" s="83" t="s">
        <v>62</v>
      </c>
      <c r="D127" s="14"/>
      <c r="E127" s="22"/>
      <c r="F127" s="22">
        <v>5</v>
      </c>
      <c r="G127" s="22">
        <v>189.88</v>
      </c>
      <c r="H127" s="22">
        <f t="shared" si="48"/>
        <v>0.94940000000000002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f>G127</f>
        <v>189.88</v>
      </c>
      <c r="Q127" s="19">
        <v>0</v>
      </c>
      <c r="R127" s="19">
        <v>0</v>
      </c>
      <c r="S127" s="19">
        <f>G127</f>
        <v>189.88</v>
      </c>
      <c r="T127" s="19">
        <f>G127*3</f>
        <v>569.64</v>
      </c>
      <c r="U127" s="19">
        <f t="shared" si="41"/>
        <v>949.4</v>
      </c>
    </row>
    <row r="128" spans="1:25" ht="25.5" customHeight="1">
      <c r="A128" s="83" t="s">
        <v>195</v>
      </c>
      <c r="B128" s="84" t="s">
        <v>223</v>
      </c>
      <c r="C128" s="83" t="s">
        <v>222</v>
      </c>
      <c r="D128" s="14"/>
      <c r="E128" s="22"/>
      <c r="F128" s="22">
        <f>1/100</f>
        <v>0.01</v>
      </c>
      <c r="G128" s="22">
        <v>7412.92</v>
      </c>
      <c r="H128" s="22">
        <f t="shared" si="48"/>
        <v>7.4129199999999992E-2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f>G128*0.01</f>
        <v>74.129199999999997</v>
      </c>
      <c r="Q128" s="19">
        <v>0</v>
      </c>
      <c r="R128" s="19">
        <v>0</v>
      </c>
      <c r="S128" s="19">
        <v>0</v>
      </c>
      <c r="T128" s="19">
        <v>0</v>
      </c>
      <c r="U128" s="19">
        <f t="shared" si="41"/>
        <v>74.129199999999997</v>
      </c>
    </row>
    <row r="129" spans="1:25" s="91" customFormat="1" ht="38.25" customHeight="1">
      <c r="A129" s="83" t="s">
        <v>246</v>
      </c>
      <c r="B129" s="84" t="s">
        <v>247</v>
      </c>
      <c r="C129" s="83" t="s">
        <v>164</v>
      </c>
      <c r="D129" s="14"/>
      <c r="E129" s="22"/>
      <c r="F129" s="22">
        <f>36/10</f>
        <v>3.6</v>
      </c>
      <c r="G129" s="22">
        <v>2064.25</v>
      </c>
      <c r="H129" s="89">
        <f t="shared" si="48"/>
        <v>7.4313000000000002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f>G129*3.6</f>
        <v>7431.3</v>
      </c>
      <c r="Q129" s="19">
        <v>0</v>
      </c>
      <c r="R129" s="19">
        <v>0</v>
      </c>
      <c r="S129" s="19">
        <v>0</v>
      </c>
      <c r="T129" s="19">
        <v>0</v>
      </c>
      <c r="U129" s="19">
        <f t="shared" si="41"/>
        <v>7431.3</v>
      </c>
    </row>
    <row r="130" spans="1:25" s="91" customFormat="1" ht="12.75" customHeight="1">
      <c r="A130" s="88" t="s">
        <v>249</v>
      </c>
      <c r="B130" s="86" t="s">
        <v>248</v>
      </c>
      <c r="C130" s="85" t="s">
        <v>156</v>
      </c>
      <c r="D130" s="14"/>
      <c r="E130" s="22"/>
      <c r="F130" s="22">
        <v>1</v>
      </c>
      <c r="G130" s="22">
        <v>423.54</v>
      </c>
      <c r="H130" s="89">
        <f t="shared" si="48"/>
        <v>0.42354000000000003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f>G130</f>
        <v>423.54</v>
      </c>
      <c r="R130" s="19">
        <v>0</v>
      </c>
      <c r="S130" s="19">
        <v>0</v>
      </c>
      <c r="T130" s="19">
        <v>0</v>
      </c>
      <c r="U130" s="19">
        <f t="shared" si="41"/>
        <v>423.54</v>
      </c>
    </row>
    <row r="131" spans="1:25" s="91" customFormat="1" ht="38.25" customHeight="1">
      <c r="A131" s="93" t="s">
        <v>255</v>
      </c>
      <c r="B131" s="86" t="s">
        <v>269</v>
      </c>
      <c r="C131" s="85" t="s">
        <v>164</v>
      </c>
      <c r="D131" s="14"/>
      <c r="E131" s="22"/>
      <c r="F131" s="22">
        <f>1.25/10</f>
        <v>0.125</v>
      </c>
      <c r="G131" s="22">
        <v>7680.4</v>
      </c>
      <c r="H131" s="89">
        <f t="shared" si="48"/>
        <v>0.96004999999999996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f>G131*0.125</f>
        <v>960.05</v>
      </c>
      <c r="R131" s="19">
        <v>0</v>
      </c>
      <c r="S131" s="19">
        <v>0</v>
      </c>
      <c r="T131" s="19">
        <v>0</v>
      </c>
      <c r="U131" s="19">
        <f t="shared" si="41"/>
        <v>960.05</v>
      </c>
    </row>
    <row r="132" spans="1:25" s="91" customFormat="1" ht="51" customHeight="1">
      <c r="A132" s="85" t="s">
        <v>257</v>
      </c>
      <c r="B132" s="86" t="s">
        <v>256</v>
      </c>
      <c r="C132" s="88" t="s">
        <v>164</v>
      </c>
      <c r="D132" s="14"/>
      <c r="E132" s="22"/>
      <c r="F132" s="22">
        <f>3/10</f>
        <v>0.3</v>
      </c>
      <c r="G132" s="22">
        <v>1346.49</v>
      </c>
      <c r="H132" s="89">
        <f t="shared" si="48"/>
        <v>0.403947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f>G132*0.3</f>
        <v>403.947</v>
      </c>
      <c r="R132" s="19">
        <v>0</v>
      </c>
      <c r="S132" s="19">
        <v>0</v>
      </c>
      <c r="T132" s="19">
        <v>0</v>
      </c>
      <c r="U132" s="19">
        <f t="shared" si="41"/>
        <v>403.947</v>
      </c>
    </row>
    <row r="133" spans="1:25" s="91" customFormat="1" ht="51" customHeight="1">
      <c r="A133" s="85" t="s">
        <v>259</v>
      </c>
      <c r="B133" s="86" t="s">
        <v>258</v>
      </c>
      <c r="C133" s="85" t="s">
        <v>164</v>
      </c>
      <c r="D133" s="14"/>
      <c r="E133" s="22"/>
      <c r="F133" s="22">
        <f>0.8/10</f>
        <v>0.08</v>
      </c>
      <c r="G133" s="22">
        <v>1612.51</v>
      </c>
      <c r="H133" s="89">
        <f t="shared" ref="H133:H139" si="49">G133*F133/1000</f>
        <v>0.1290008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f>G133*0.08</f>
        <v>129.0008</v>
      </c>
      <c r="R133" s="19">
        <v>0</v>
      </c>
      <c r="S133" s="19">
        <v>0</v>
      </c>
      <c r="T133" s="19">
        <v>0</v>
      </c>
      <c r="U133" s="19">
        <f t="shared" si="41"/>
        <v>129.0008</v>
      </c>
    </row>
    <row r="134" spans="1:25" s="91" customFormat="1" ht="25.5" customHeight="1">
      <c r="A134" s="88" t="s">
        <v>260</v>
      </c>
      <c r="B134" s="86" t="s">
        <v>286</v>
      </c>
      <c r="C134" s="85" t="s">
        <v>156</v>
      </c>
      <c r="D134" s="14"/>
      <c r="E134" s="22"/>
      <c r="F134" s="22">
        <v>1</v>
      </c>
      <c r="G134" s="22">
        <v>268.58999999999997</v>
      </c>
      <c r="H134" s="89">
        <f t="shared" si="49"/>
        <v>0.26859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f>G134</f>
        <v>268.58999999999997</v>
      </c>
      <c r="S134" s="19">
        <v>0</v>
      </c>
      <c r="T134" s="19">
        <v>0</v>
      </c>
      <c r="U134" s="19">
        <f t="shared" si="41"/>
        <v>268.58999999999997</v>
      </c>
    </row>
    <row r="135" spans="1:25" s="91" customFormat="1" ht="12.75" customHeight="1">
      <c r="A135" s="88" t="s">
        <v>158</v>
      </c>
      <c r="B135" s="86" t="s">
        <v>261</v>
      </c>
      <c r="C135" s="85" t="s">
        <v>62</v>
      </c>
      <c r="D135" s="14"/>
      <c r="E135" s="22"/>
      <c r="F135" s="22">
        <v>1</v>
      </c>
      <c r="G135" s="22">
        <v>50</v>
      </c>
      <c r="H135" s="89">
        <f t="shared" si="49"/>
        <v>0.05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f>G135</f>
        <v>50</v>
      </c>
      <c r="T135" s="19">
        <v>0</v>
      </c>
      <c r="U135" s="19">
        <f t="shared" si="41"/>
        <v>50</v>
      </c>
    </row>
    <row r="136" spans="1:25" ht="25.5">
      <c r="A136" s="88" t="s">
        <v>237</v>
      </c>
      <c r="B136" s="86" t="s">
        <v>275</v>
      </c>
      <c r="C136" s="85" t="s">
        <v>62</v>
      </c>
      <c r="D136" s="14"/>
      <c r="E136" s="22"/>
      <c r="F136" s="22">
        <v>3</v>
      </c>
      <c r="G136" s="22">
        <v>1202.53</v>
      </c>
      <c r="H136" s="22">
        <f>G136*F136/1000</f>
        <v>3.6075900000000001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f>G136*(1+1+1)</f>
        <v>3607.59</v>
      </c>
      <c r="T136" s="19">
        <v>0</v>
      </c>
      <c r="U136" s="19">
        <f>SUM(I136:T136)</f>
        <v>3607.59</v>
      </c>
      <c r="V136" s="92"/>
      <c r="W136" s="92"/>
      <c r="X136" s="92"/>
      <c r="Y136" s="92"/>
    </row>
    <row r="137" spans="1:25" ht="25.5">
      <c r="A137" s="83" t="s">
        <v>133</v>
      </c>
      <c r="B137" s="84" t="s">
        <v>290</v>
      </c>
      <c r="C137" s="83" t="s">
        <v>262</v>
      </c>
      <c r="D137" s="14"/>
      <c r="E137" s="22"/>
      <c r="F137" s="22">
        <v>0.5</v>
      </c>
      <c r="G137" s="22">
        <v>1365</v>
      </c>
      <c r="H137" s="22">
        <f t="shared" si="49"/>
        <v>0.6825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f>G137*0.5</f>
        <v>682.5</v>
      </c>
      <c r="U137" s="19">
        <f t="shared" si="41"/>
        <v>682.5</v>
      </c>
      <c r="V137" s="92"/>
      <c r="W137" s="92"/>
      <c r="X137" s="92"/>
      <c r="Y137" s="92"/>
    </row>
    <row r="138" spans="1:25">
      <c r="A138" s="83" t="s">
        <v>263</v>
      </c>
      <c r="B138" s="84" t="s">
        <v>87</v>
      </c>
      <c r="C138" s="87" t="s">
        <v>155</v>
      </c>
      <c r="D138" s="14"/>
      <c r="E138" s="22"/>
      <c r="F138" s="22">
        <v>1</v>
      </c>
      <c r="G138" s="22">
        <v>18.97</v>
      </c>
      <c r="H138" s="22">
        <f t="shared" si="49"/>
        <v>1.8969999999999997E-2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f>G138</f>
        <v>18.97</v>
      </c>
      <c r="U138" s="19">
        <f t="shared" si="41"/>
        <v>18.97</v>
      </c>
      <c r="V138" s="92"/>
      <c r="W138" s="92"/>
      <c r="X138" s="92"/>
      <c r="Y138" s="92"/>
    </row>
    <row r="139" spans="1:25">
      <c r="A139" s="83" t="s">
        <v>154</v>
      </c>
      <c r="B139" s="84" t="s">
        <v>270</v>
      </c>
      <c r="C139" s="87" t="s">
        <v>266</v>
      </c>
      <c r="D139" s="14"/>
      <c r="E139" s="22"/>
      <c r="F139" s="22">
        <v>1</v>
      </c>
      <c r="G139" s="89">
        <v>17131</v>
      </c>
      <c r="H139" s="22">
        <f t="shared" si="49"/>
        <v>17.131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f>G139</f>
        <v>17131</v>
      </c>
      <c r="U139" s="19">
        <f t="shared" si="41"/>
        <v>17131</v>
      </c>
      <c r="V139" s="92"/>
      <c r="W139" s="92"/>
      <c r="X139" s="92"/>
      <c r="Y139" s="92"/>
    </row>
    <row r="140" spans="1:25" s="12" customFormat="1">
      <c r="A140" s="54"/>
      <c r="B140" s="55" t="s">
        <v>102</v>
      </c>
      <c r="C140" s="54"/>
      <c r="D140" s="54"/>
      <c r="E140" s="51"/>
      <c r="F140" s="51"/>
      <c r="G140" s="51"/>
      <c r="H140" s="20">
        <f>SUM(H91:H139)</f>
        <v>275.39775774999998</v>
      </c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20">
        <f>SUM(U91:U139)</f>
        <v>275397.75774999999</v>
      </c>
    </row>
    <row r="141" spans="1:25">
      <c r="A141" s="52"/>
      <c r="B141" s="56"/>
      <c r="C141" s="57"/>
      <c r="D141" s="57"/>
      <c r="E141" s="22"/>
      <c r="F141" s="22"/>
      <c r="G141" s="22"/>
      <c r="H141" s="41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74"/>
    </row>
    <row r="142" spans="1:25" ht="12" customHeight="1">
      <c r="A142" s="80"/>
      <c r="B142" s="11" t="s">
        <v>103</v>
      </c>
      <c r="C142" s="26"/>
      <c r="D142" s="14"/>
      <c r="E142" s="22"/>
      <c r="F142" s="22"/>
      <c r="G142" s="22"/>
      <c r="H142" s="53">
        <f>H140/E143/12*1000</f>
        <v>4.4453982771923704</v>
      </c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74"/>
    </row>
    <row r="143" spans="1:25" s="12" customFormat="1">
      <c r="A143" s="42"/>
      <c r="B143" s="50" t="s">
        <v>104</v>
      </c>
      <c r="C143" s="49"/>
      <c r="D143" s="50"/>
      <c r="E143" s="105">
        <v>5162.6000000000004</v>
      </c>
      <c r="F143" s="51">
        <f>SUM(E143*12)</f>
        <v>61951.200000000004</v>
      </c>
      <c r="G143" s="72">
        <f>H89+H142</f>
        <v>156.92320872310191</v>
      </c>
      <c r="H143" s="20">
        <f>SUM(F143*G143/1000)</f>
        <v>9721.5810882466321</v>
      </c>
      <c r="I143" s="51">
        <f>SUM(I11:I142)</f>
        <v>89659.880170599994</v>
      </c>
      <c r="J143" s="51">
        <f>SUM(J11:J142)</f>
        <v>92786.762170599977</v>
      </c>
      <c r="K143" s="51">
        <f t="shared" ref="K143:R143" si="50">SUM(K11:K142)</f>
        <v>91493.356875599988</v>
      </c>
      <c r="L143" s="51">
        <f t="shared" si="50"/>
        <v>96311.352340599973</v>
      </c>
      <c r="M143" s="51">
        <f t="shared" si="50"/>
        <v>185868.20039812219</v>
      </c>
      <c r="N143" s="51">
        <f t="shared" si="50"/>
        <v>83777.113896822222</v>
      </c>
      <c r="O143" s="51">
        <f t="shared" si="50"/>
        <v>99151.482596822214</v>
      </c>
      <c r="P143" s="51">
        <f t="shared" si="50"/>
        <v>98771.401796822218</v>
      </c>
      <c r="Q143" s="51">
        <f t="shared" si="50"/>
        <v>103778.4576326222</v>
      </c>
      <c r="R143" s="51">
        <f t="shared" si="50"/>
        <v>91711.881611822202</v>
      </c>
      <c r="S143" s="51">
        <f>SUM(S11:S142)</f>
        <v>99158.017155599984</v>
      </c>
      <c r="T143" s="51">
        <f>SUM(T11:T142)</f>
        <v>129155.38147059998</v>
      </c>
      <c r="U143" s="20">
        <f>U86+U140</f>
        <v>1261623.2881166334</v>
      </c>
    </row>
    <row r="144" spans="1:25">
      <c r="A144" s="29"/>
      <c r="B144" s="29"/>
      <c r="C144" s="29"/>
      <c r="D144" s="29"/>
      <c r="E144" s="58"/>
      <c r="F144" s="58"/>
      <c r="G144" s="58"/>
      <c r="H144" s="58"/>
      <c r="I144" s="58"/>
      <c r="J144" s="58"/>
      <c r="K144" s="58"/>
      <c r="L144" s="58"/>
      <c r="M144" s="29"/>
      <c r="N144" s="58"/>
      <c r="O144" s="29"/>
      <c r="P144" s="29"/>
      <c r="Q144" s="29"/>
      <c r="R144" s="29"/>
      <c r="S144" s="29"/>
      <c r="T144" s="29"/>
      <c r="U144" s="29"/>
    </row>
    <row r="145" spans="1:21">
      <c r="A145" s="29"/>
      <c r="B145" s="29"/>
      <c r="C145" s="29"/>
      <c r="D145" s="29"/>
      <c r="E145" s="58"/>
      <c r="F145" s="58"/>
      <c r="G145" s="58"/>
      <c r="H145" s="58"/>
      <c r="I145" s="58"/>
      <c r="J145" s="59"/>
      <c r="K145" s="60"/>
      <c r="L145" s="59"/>
      <c r="M145" s="58"/>
      <c r="N145" s="29"/>
      <c r="O145" s="29"/>
      <c r="P145" s="29"/>
      <c r="Q145" s="29"/>
      <c r="R145" s="29"/>
      <c r="S145" s="29"/>
      <c r="T145" s="29"/>
      <c r="U145" s="29"/>
    </row>
    <row r="146" spans="1:21" ht="45">
      <c r="A146" s="29"/>
      <c r="B146" s="65" t="s">
        <v>226</v>
      </c>
      <c r="C146" s="106">
        <v>-53157.53</v>
      </c>
      <c r="D146" s="107"/>
      <c r="E146" s="107"/>
      <c r="F146" s="108"/>
      <c r="G146" s="58"/>
      <c r="H146" s="58"/>
      <c r="I146" s="58"/>
      <c r="J146" s="59"/>
      <c r="K146" s="60"/>
      <c r="L146" s="59"/>
      <c r="M146" s="58"/>
      <c r="N146" s="29"/>
      <c r="O146" s="29"/>
      <c r="P146" s="29"/>
      <c r="Q146" s="29"/>
      <c r="R146" s="29"/>
      <c r="S146" s="29"/>
      <c r="T146" s="29"/>
      <c r="U146" s="29"/>
    </row>
    <row r="147" spans="1:21" ht="30">
      <c r="A147" s="29"/>
      <c r="B147" s="65" t="s">
        <v>228</v>
      </c>
      <c r="C147" s="110">
        <f>111418.69*12</f>
        <v>1337024.28</v>
      </c>
      <c r="D147" s="111"/>
      <c r="E147" s="111"/>
      <c r="F147" s="112"/>
      <c r="G147" s="58"/>
      <c r="H147" s="58"/>
      <c r="I147" s="58"/>
      <c r="J147" s="59"/>
      <c r="K147" s="60"/>
      <c r="L147" s="59"/>
      <c r="M147" s="58"/>
      <c r="N147" s="29"/>
      <c r="O147" s="29"/>
      <c r="P147" s="29"/>
      <c r="Q147" s="29"/>
      <c r="R147" s="29"/>
      <c r="S147" s="29"/>
      <c r="T147" s="29"/>
      <c r="U147" s="29"/>
    </row>
    <row r="148" spans="1:21" ht="30">
      <c r="A148" s="29"/>
      <c r="B148" s="65" t="s">
        <v>229</v>
      </c>
      <c r="C148" s="110">
        <f>SUM(U143-U140)</f>
        <v>986225.53036663344</v>
      </c>
      <c r="D148" s="111"/>
      <c r="E148" s="111"/>
      <c r="F148" s="112"/>
      <c r="G148" s="58"/>
      <c r="H148" s="58"/>
      <c r="I148" s="58"/>
      <c r="J148" s="59"/>
      <c r="K148" s="60"/>
      <c r="L148" s="59"/>
      <c r="M148" s="58"/>
      <c r="N148" s="29"/>
      <c r="O148" s="29"/>
      <c r="P148" s="29"/>
      <c r="Q148" s="29"/>
      <c r="R148" s="29"/>
      <c r="S148" s="29"/>
      <c r="T148" s="29"/>
      <c r="U148" s="29"/>
    </row>
    <row r="149" spans="1:21" ht="30">
      <c r="A149" s="29"/>
      <c r="B149" s="65" t="s">
        <v>230</v>
      </c>
      <c r="C149" s="110">
        <f>SUM(U140)</f>
        <v>275397.75774999999</v>
      </c>
      <c r="D149" s="111"/>
      <c r="E149" s="111"/>
      <c r="F149" s="112"/>
      <c r="G149" s="58"/>
      <c r="H149" s="58"/>
      <c r="I149" s="58"/>
      <c r="J149" s="59"/>
      <c r="K149" s="60"/>
      <c r="L149" s="59"/>
      <c r="M149" s="58"/>
      <c r="N149" s="29"/>
      <c r="O149" s="29"/>
      <c r="P149" s="29"/>
      <c r="Q149" s="29"/>
      <c r="R149" s="29"/>
      <c r="S149" s="29"/>
      <c r="T149" s="29"/>
      <c r="U149" s="29"/>
    </row>
    <row r="150" spans="1:21" ht="18" customHeight="1">
      <c r="A150" s="29"/>
      <c r="B150" s="70" t="s">
        <v>231</v>
      </c>
      <c r="C150" s="106">
        <f>118636.88+108567.73+131349.72+98492.47+125513.57+84499.18+106642.56+105440.27+130720.66+130959.05+90034.57+116176.85</f>
        <v>1347033.51</v>
      </c>
      <c r="D150" s="107"/>
      <c r="E150" s="107"/>
      <c r="F150" s="108"/>
      <c r="G150" s="29"/>
      <c r="I150" s="61" t="s">
        <v>120</v>
      </c>
      <c r="J150" s="62"/>
      <c r="K150" s="63"/>
      <c r="L150" s="64"/>
      <c r="M150" s="61"/>
      <c r="N150" s="61"/>
      <c r="O150" s="29"/>
      <c r="P150" s="29"/>
      <c r="Q150" s="29"/>
      <c r="R150" s="29"/>
      <c r="S150" s="29"/>
      <c r="T150" s="29"/>
      <c r="U150" s="29"/>
    </row>
    <row r="151" spans="1:21" ht="78.75">
      <c r="A151" s="29"/>
      <c r="B151" s="82" t="s">
        <v>264</v>
      </c>
      <c r="C151" s="113">
        <v>551069.02</v>
      </c>
      <c r="D151" s="114"/>
      <c r="E151" s="114"/>
      <c r="F151" s="115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</row>
    <row r="152" spans="1:21" ht="45">
      <c r="A152" s="29"/>
      <c r="B152" s="65" t="s">
        <v>265</v>
      </c>
      <c r="C152" s="109">
        <f>SUM(U143-C147)+C146</f>
        <v>-128558.5218833666</v>
      </c>
      <c r="D152" s="107"/>
      <c r="E152" s="107"/>
      <c r="F152" s="108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</row>
    <row r="154" spans="1:21">
      <c r="J154" s="4"/>
      <c r="K154" s="5"/>
      <c r="L154" s="5"/>
      <c r="M154" s="3"/>
    </row>
    <row r="155" spans="1:21">
      <c r="G155" s="6"/>
      <c r="H155" s="6"/>
    </row>
    <row r="156" spans="1:21">
      <c r="G156" s="7"/>
    </row>
  </sheetData>
  <mergeCells count="12">
    <mergeCell ref="W87:Z87"/>
    <mergeCell ref="B3:L3"/>
    <mergeCell ref="B4:L4"/>
    <mergeCell ref="B5:L5"/>
    <mergeCell ref="B6:L6"/>
    <mergeCell ref="C146:F146"/>
    <mergeCell ref="C152:F152"/>
    <mergeCell ref="C147:F147"/>
    <mergeCell ref="C148:F148"/>
    <mergeCell ref="C149:F149"/>
    <mergeCell ref="C150:F150"/>
    <mergeCell ref="C151:F151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Нефт.,2</vt:lpstr>
      <vt:lpstr>'Нефт.,2'!Область_печати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2018-06-29T07:00:47Z</cp:lastPrinted>
  <dcterms:created xsi:type="dcterms:W3CDTF">2014-02-05T12:20:20Z</dcterms:created>
  <dcterms:modified xsi:type="dcterms:W3CDTF">2018-07-30T06:30:10Z</dcterms:modified>
</cp:coreProperties>
</file>