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6065" windowHeight="11280" firstSheet="4" activeTab="15"/>
  </bookViews>
  <sheets>
    <sheet name="I квартал" sheetId="27" r:id="rId1"/>
    <sheet name="II квартал" sheetId="28" r:id="rId2"/>
    <sheet name="III квартал" sheetId="29" r:id="rId3"/>
    <sheet name="IVа квартал" sheetId="30" r:id="rId4"/>
    <sheet name="01.17" sheetId="17" r:id="rId5"/>
    <sheet name="02.17" sheetId="18" r:id="rId6"/>
    <sheet name="03.17" sheetId="19" r:id="rId7"/>
    <sheet name="04.17" sheetId="20" r:id="rId8"/>
    <sheet name="05.17" sheetId="21" r:id="rId9"/>
    <sheet name="06.17" sheetId="22" r:id="rId10"/>
    <sheet name="07.17" sheetId="23" r:id="rId11"/>
    <sheet name="08.17" sheetId="24" r:id="rId12"/>
    <sheet name="09.17" sheetId="25" r:id="rId13"/>
    <sheet name="10.17" sheetId="26" r:id="rId14"/>
    <sheet name="11.17" sheetId="31" r:id="rId15"/>
    <sheet name="12.17" sheetId="32" r:id="rId16"/>
  </sheets>
  <definedNames>
    <definedName name="_xlnm.Print_Titles" localSheetId="1">'II квартал'!$12:$13</definedName>
    <definedName name="_xlnm.Print_Area" localSheetId="4">'01.17'!$A$1:$I$116</definedName>
    <definedName name="_xlnm.Print_Area" localSheetId="5">'02.17'!$A$1:$I$114</definedName>
    <definedName name="_xlnm.Print_Area" localSheetId="6">'03.17'!$A$1:$I$119</definedName>
    <definedName name="_xlnm.Print_Area" localSheetId="7">'04.17'!$A$1:$I$119</definedName>
    <definedName name="_xlnm.Print_Area" localSheetId="8">'05.17'!$A$1:$I$112</definedName>
    <definedName name="_xlnm.Print_Area" localSheetId="9">'06.17'!$A$1:$I$115</definedName>
    <definedName name="_xlnm.Print_Area" localSheetId="10">'07.17'!$A$1:$I$114</definedName>
    <definedName name="_xlnm.Print_Area" localSheetId="11">'08.17'!$A$1:$I$121</definedName>
    <definedName name="_xlnm.Print_Area" localSheetId="12">'09.17'!$A$1:$I$119</definedName>
    <definedName name="_xlnm.Print_Area" localSheetId="13">'10.17'!$A$1:$I$136</definedName>
    <definedName name="_xlnm.Print_Area" localSheetId="14">'11.17'!$A$1:$I$121</definedName>
    <definedName name="_xlnm.Print_Area" localSheetId="15">'12.17'!$A$1:$I$118</definedName>
    <definedName name="_xlnm.Print_Area" localSheetId="0">'I квартал'!$A$1:$L$133</definedName>
    <definedName name="_xlnm.Print_Area" localSheetId="1">'II квартал'!$A$1:$L$126</definedName>
    <definedName name="_xlnm.Print_Area" localSheetId="2">'III квартал'!$A$1:$L$123</definedName>
    <definedName name="_xlnm.Print_Area" localSheetId="3">'IVа квартал'!$A$1:$L$130</definedName>
  </definedNames>
  <calcPr calcId="124519"/>
</workbook>
</file>

<file path=xl/calcChain.xml><?xml version="1.0" encoding="utf-8"?>
<calcChain xmlns="http://schemas.openxmlformats.org/spreadsheetml/2006/main">
  <c r="I89" i="31"/>
  <c r="I60"/>
  <c r="I62"/>
  <c r="I112" i="26"/>
  <c r="I111"/>
  <c r="I110"/>
  <c r="I109"/>
  <c r="I108"/>
  <c r="I93" i="25"/>
  <c r="I92"/>
  <c r="I98" i="24"/>
  <c r="I89"/>
  <c r="I97"/>
  <c r="I92"/>
  <c r="I91"/>
  <c r="I90"/>
  <c r="I93" i="32"/>
  <c r="I94"/>
  <c r="F94"/>
  <c r="H94" s="1"/>
  <c r="H93"/>
  <c r="F93"/>
  <c r="I95"/>
  <c r="I89"/>
  <c r="I92" l="1"/>
  <c r="H92"/>
  <c r="F92"/>
  <c r="I91" l="1"/>
  <c r="H91"/>
  <c r="F88"/>
  <c r="H88" s="1"/>
  <c r="H89" s="1"/>
  <c r="F87"/>
  <c r="I87" s="1"/>
  <c r="H85"/>
  <c r="H84"/>
  <c r="F82"/>
  <c r="I82" s="1"/>
  <c r="H80"/>
  <c r="I78"/>
  <c r="H78"/>
  <c r="H77"/>
  <c r="F76"/>
  <c r="H76" s="1"/>
  <c r="H75"/>
  <c r="F74"/>
  <c r="H74" s="1"/>
  <c r="H73"/>
  <c r="H71"/>
  <c r="F70"/>
  <c r="H70" s="1"/>
  <c r="F69"/>
  <c r="H69" s="1"/>
  <c r="F68"/>
  <c r="H68" s="1"/>
  <c r="F67"/>
  <c r="H67" s="1"/>
  <c r="F66"/>
  <c r="H66" s="1"/>
  <c r="H65"/>
  <c r="F65"/>
  <c r="I64"/>
  <c r="F64"/>
  <c r="H64" s="1"/>
  <c r="F62"/>
  <c r="I60"/>
  <c r="H60"/>
  <c r="F59"/>
  <c r="I59" s="1"/>
  <c r="H58"/>
  <c r="F58"/>
  <c r="I58" s="1"/>
  <c r="F55"/>
  <c r="H55" s="1"/>
  <c r="F54"/>
  <c r="H54" s="1"/>
  <c r="I53"/>
  <c r="H53"/>
  <c r="F52"/>
  <c r="I52" s="1"/>
  <c r="F51"/>
  <c r="I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I41" s="1"/>
  <c r="I40"/>
  <c r="H40"/>
  <c r="F39"/>
  <c r="I39" s="1"/>
  <c r="H38"/>
  <c r="F38"/>
  <c r="I38" s="1"/>
  <c r="I37"/>
  <c r="H37"/>
  <c r="H35"/>
  <c r="H34"/>
  <c r="F33"/>
  <c r="I33" s="1"/>
  <c r="E33"/>
  <c r="F32"/>
  <c r="I32" s="1"/>
  <c r="F31"/>
  <c r="I31" s="1"/>
  <c r="F30"/>
  <c r="I30" s="1"/>
  <c r="H27"/>
  <c r="F27"/>
  <c r="I27" s="1"/>
  <c r="F26"/>
  <c r="I26" s="1"/>
  <c r="F25"/>
  <c r="H25" s="1"/>
  <c r="F24"/>
  <c r="H24" s="1"/>
  <c r="F23"/>
  <c r="H23" s="1"/>
  <c r="F22"/>
  <c r="H22" s="1"/>
  <c r="F21"/>
  <c r="I21" s="1"/>
  <c r="H20"/>
  <c r="F20"/>
  <c r="H19"/>
  <c r="F19"/>
  <c r="F18"/>
  <c r="I18" s="1"/>
  <c r="E18"/>
  <c r="F17"/>
  <c r="I17" s="1"/>
  <c r="F16"/>
  <c r="I16" s="1"/>
  <c r="I21" i="31"/>
  <c r="I98"/>
  <c r="I96"/>
  <c r="I95"/>
  <c r="I94"/>
  <c r="I93"/>
  <c r="I92"/>
  <c r="I91"/>
  <c r="H97"/>
  <c r="H96"/>
  <c r="H95"/>
  <c r="H94"/>
  <c r="F93"/>
  <c r="H93" s="1"/>
  <c r="H92"/>
  <c r="F91"/>
  <c r="H91" s="1"/>
  <c r="I64"/>
  <c r="I40"/>
  <c r="I43"/>
  <c r="I37"/>
  <c r="I97"/>
  <c r="F88"/>
  <c r="I88" s="1"/>
  <c r="F87"/>
  <c r="I87" s="1"/>
  <c r="H85"/>
  <c r="H84"/>
  <c r="F82"/>
  <c r="I82" s="1"/>
  <c r="H80"/>
  <c r="I78"/>
  <c r="H78"/>
  <c r="H77"/>
  <c r="F76"/>
  <c r="H76" s="1"/>
  <c r="H75"/>
  <c r="F74"/>
  <c r="H74" s="1"/>
  <c r="H73"/>
  <c r="H7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H60"/>
  <c r="F59"/>
  <c r="H59" s="1"/>
  <c r="F58"/>
  <c r="H58" s="1"/>
  <c r="H83" s="1"/>
  <c r="F55"/>
  <c r="H55" s="1"/>
  <c r="F54"/>
  <c r="H54" s="1"/>
  <c r="I53"/>
  <c r="H53"/>
  <c r="F52"/>
  <c r="I52" s="1"/>
  <c r="F51"/>
  <c r="I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H41" s="1"/>
  <c r="H40"/>
  <c r="F39"/>
  <c r="H39" s="1"/>
  <c r="F38"/>
  <c r="H38" s="1"/>
  <c r="H37"/>
  <c r="H35"/>
  <c r="H34"/>
  <c r="F33"/>
  <c r="I33" s="1"/>
  <c r="E33"/>
  <c r="F32"/>
  <c r="I32" s="1"/>
  <c r="F31"/>
  <c r="I31" s="1"/>
  <c r="F30"/>
  <c r="I30" s="1"/>
  <c r="F27"/>
  <c r="I27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104" i="26"/>
  <c r="I107"/>
  <c r="I106"/>
  <c r="H107"/>
  <c r="H106"/>
  <c r="H82" i="32" l="1"/>
  <c r="I50"/>
  <c r="H16"/>
  <c r="H31"/>
  <c r="H41"/>
  <c r="H51"/>
  <c r="H21"/>
  <c r="H17"/>
  <c r="H18"/>
  <c r="H26"/>
  <c r="H30"/>
  <c r="H32"/>
  <c r="H33"/>
  <c r="H39"/>
  <c r="H42"/>
  <c r="H52"/>
  <c r="H59"/>
  <c r="H83" s="1"/>
  <c r="H87"/>
  <c r="I88"/>
  <c r="H88" i="31"/>
  <c r="H89" s="1"/>
  <c r="H27"/>
  <c r="I42"/>
  <c r="I38"/>
  <c r="I58"/>
  <c r="H17"/>
  <c r="I41"/>
  <c r="I39"/>
  <c r="I59"/>
  <c r="H52"/>
  <c r="H31"/>
  <c r="H18"/>
  <c r="I18"/>
  <c r="I16"/>
  <c r="H26"/>
  <c r="H30"/>
  <c r="H32"/>
  <c r="H33"/>
  <c r="H51"/>
  <c r="H82"/>
  <c r="H87"/>
  <c r="I97" i="32" l="1"/>
  <c r="I100" i="31"/>
  <c r="J102" i="29" l="1"/>
  <c r="K102"/>
  <c r="I102"/>
  <c r="J105" i="28"/>
  <c r="K105"/>
  <c r="I105"/>
  <c r="I113" i="26" l="1"/>
  <c r="H112"/>
  <c r="I105"/>
  <c r="H105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F88"/>
  <c r="I88" s="1"/>
  <c r="F87"/>
  <c r="H87" s="1"/>
  <c r="H85"/>
  <c r="H84"/>
  <c r="F82"/>
  <c r="I82" s="1"/>
  <c r="H80"/>
  <c r="I78"/>
  <c r="H78"/>
  <c r="H77"/>
  <c r="F76"/>
  <c r="H76" s="1"/>
  <c r="H75"/>
  <c r="F74"/>
  <c r="H74" s="1"/>
  <c r="H73"/>
  <c r="H7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2"/>
  <c r="H60"/>
  <c r="F59"/>
  <c r="H59" s="1"/>
  <c r="F58"/>
  <c r="H58" s="1"/>
  <c r="F55"/>
  <c r="H55" s="1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H41" s="1"/>
  <c r="H40"/>
  <c r="F39"/>
  <c r="H39" s="1"/>
  <c r="F38"/>
  <c r="H38" s="1"/>
  <c r="H37"/>
  <c r="H35"/>
  <c r="H34"/>
  <c r="F33"/>
  <c r="I33" s="1"/>
  <c r="E33"/>
  <c r="F32"/>
  <c r="I32" s="1"/>
  <c r="F31"/>
  <c r="H31" s="1"/>
  <c r="F30"/>
  <c r="I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95" i="25"/>
  <c r="H95"/>
  <c r="F95"/>
  <c r="H94"/>
  <c r="I91"/>
  <c r="H91"/>
  <c r="I90"/>
  <c r="H90"/>
  <c r="I89"/>
  <c r="H89"/>
  <c r="I88"/>
  <c r="F88"/>
  <c r="H88" s="1"/>
  <c r="I86"/>
  <c r="I88" i="24"/>
  <c r="I86"/>
  <c r="I96"/>
  <c r="I95"/>
  <c r="I94"/>
  <c r="I93"/>
  <c r="H96"/>
  <c r="H95"/>
  <c r="H94"/>
  <c r="H93"/>
  <c r="H89"/>
  <c r="H88"/>
  <c r="I77"/>
  <c r="I91" i="23"/>
  <c r="I90"/>
  <c r="H90"/>
  <c r="I89"/>
  <c r="H89"/>
  <c r="I88"/>
  <c r="H88"/>
  <c r="I92" i="22"/>
  <c r="H91"/>
  <c r="I90"/>
  <c r="H90"/>
  <c r="I89"/>
  <c r="H89"/>
  <c r="I88"/>
  <c r="F88"/>
  <c r="H88" s="1"/>
  <c r="H16" i="26" l="1"/>
  <c r="H26"/>
  <c r="H88"/>
  <c r="I87"/>
  <c r="H83"/>
  <c r="H82"/>
  <c r="H51"/>
  <c r="I52"/>
  <c r="H30"/>
  <c r="I31"/>
  <c r="H32"/>
  <c r="H33"/>
  <c r="I17"/>
  <c r="I18"/>
  <c r="I27"/>
  <c r="I89" l="1"/>
  <c r="H88" i="21"/>
  <c r="I86" i="20"/>
  <c r="I98" s="1"/>
  <c r="I96"/>
  <c r="I94"/>
  <c r="I95"/>
  <c r="H95"/>
  <c r="H94"/>
  <c r="I93"/>
  <c r="I92"/>
  <c r="H93"/>
  <c r="H92"/>
  <c r="I91"/>
  <c r="H91"/>
  <c r="I90"/>
  <c r="F90"/>
  <c r="H90" s="1"/>
  <c r="I40"/>
  <c r="I95" i="19"/>
  <c r="I92"/>
  <c r="I93"/>
  <c r="I94"/>
  <c r="I91"/>
  <c r="I90"/>
  <c r="H95"/>
  <c r="H94"/>
  <c r="H93"/>
  <c r="H92"/>
  <c r="H91"/>
  <c r="H90"/>
  <c r="I96"/>
  <c r="I89"/>
  <c r="H89"/>
  <c r="I88"/>
  <c r="H88"/>
  <c r="F88"/>
  <c r="I86"/>
  <c r="I75"/>
  <c r="I90" i="18"/>
  <c r="I89"/>
  <c r="H90"/>
  <c r="H89"/>
  <c r="I88"/>
  <c r="F88"/>
  <c r="H88" s="1"/>
  <c r="I92" i="17"/>
  <c r="H92"/>
  <c r="I91"/>
  <c r="H91"/>
  <c r="I90"/>
  <c r="F90"/>
  <c r="H90" s="1"/>
  <c r="I89"/>
  <c r="H89"/>
  <c r="I88"/>
  <c r="H88"/>
  <c r="I93"/>
  <c r="I105" i="30"/>
  <c r="L105" s="1"/>
  <c r="I103"/>
  <c r="I97"/>
  <c r="I95"/>
  <c r="I94"/>
  <c r="I93"/>
  <c r="L92"/>
  <c r="L93"/>
  <c r="L94"/>
  <c r="L95"/>
  <c r="L96"/>
  <c r="L97"/>
  <c r="L98"/>
  <c r="L99"/>
  <c r="L100"/>
  <c r="L101"/>
  <c r="L102"/>
  <c r="L103"/>
  <c r="L104"/>
  <c r="L106"/>
  <c r="L91"/>
  <c r="I92"/>
  <c r="I96"/>
  <c r="I98"/>
  <c r="I99"/>
  <c r="I100"/>
  <c r="I101"/>
  <c r="I102"/>
  <c r="I104"/>
  <c r="I106"/>
  <c r="I91"/>
  <c r="H106"/>
  <c r="H105"/>
  <c r="H104"/>
  <c r="H103"/>
  <c r="H102"/>
  <c r="H101"/>
  <c r="H100"/>
  <c r="H99"/>
  <c r="H98"/>
  <c r="H97"/>
  <c r="H96"/>
  <c r="H95"/>
  <c r="H94"/>
  <c r="H93"/>
  <c r="H92"/>
  <c r="H91"/>
  <c r="F88"/>
  <c r="L87"/>
  <c r="F87"/>
  <c r="H87" s="1"/>
  <c r="J85"/>
  <c r="L85" s="1"/>
  <c r="H85"/>
  <c r="H84"/>
  <c r="I82"/>
  <c r="L82" s="1"/>
  <c r="F82"/>
  <c r="H82" s="1"/>
  <c r="L78"/>
  <c r="I78"/>
  <c r="H78"/>
  <c r="H77"/>
  <c r="F76"/>
  <c r="H76" s="1"/>
  <c r="H75"/>
  <c r="F74"/>
  <c r="H74" s="1"/>
  <c r="H73"/>
  <c r="L64"/>
  <c r="I64"/>
  <c r="H7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L58"/>
  <c r="H60"/>
  <c r="F59"/>
  <c r="H59" s="1"/>
  <c r="F58"/>
  <c r="H58" s="1"/>
  <c r="L54"/>
  <c r="L55"/>
  <c r="L31"/>
  <c r="L32"/>
  <c r="L30"/>
  <c r="I53"/>
  <c r="L53" s="1"/>
  <c r="F55"/>
  <c r="H55" s="1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H41" s="1"/>
  <c r="H40"/>
  <c r="F39"/>
  <c r="H39" s="1"/>
  <c r="F38"/>
  <c r="H38" s="1"/>
  <c r="H37"/>
  <c r="H35"/>
  <c r="H34"/>
  <c r="F33"/>
  <c r="H33" s="1"/>
  <c r="E33"/>
  <c r="F32"/>
  <c r="H32" s="1"/>
  <c r="F31"/>
  <c r="H31" s="1"/>
  <c r="F30"/>
  <c r="H30" s="1"/>
  <c r="F27"/>
  <c r="H27" s="1"/>
  <c r="F26"/>
  <c r="H26" s="1"/>
  <c r="L17"/>
  <c r="L18"/>
  <c r="L19"/>
  <c r="L20"/>
  <c r="L21"/>
  <c r="L22"/>
  <c r="L23"/>
  <c r="L24"/>
  <c r="L25"/>
  <c r="L1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H16" s="1"/>
  <c r="K103"/>
  <c r="K102"/>
  <c r="J102"/>
  <c r="J101"/>
  <c r="J100"/>
  <c r="J99"/>
  <c r="K97"/>
  <c r="K95"/>
  <c r="K93"/>
  <c r="J93"/>
  <c r="J92"/>
  <c r="K91"/>
  <c r="K87"/>
  <c r="J84"/>
  <c r="L84" s="1"/>
  <c r="L80"/>
  <c r="H80"/>
  <c r="J77"/>
  <c r="L77" s="1"/>
  <c r="L76"/>
  <c r="K75"/>
  <c r="L75" s="1"/>
  <c r="L74"/>
  <c r="L73"/>
  <c r="K71"/>
  <c r="L71" s="1"/>
  <c r="J70"/>
  <c r="L70" s="1"/>
  <c r="J69"/>
  <c r="L69" s="1"/>
  <c r="J68"/>
  <c r="L68" s="1"/>
  <c r="J67"/>
  <c r="L67" s="1"/>
  <c r="J66"/>
  <c r="L66" s="1"/>
  <c r="L65"/>
  <c r="L62"/>
  <c r="L59"/>
  <c r="K55"/>
  <c r="K54"/>
  <c r="K53"/>
  <c r="K52"/>
  <c r="K51"/>
  <c r="K48"/>
  <c r="L48" s="1"/>
  <c r="L43"/>
  <c r="L40"/>
  <c r="L39"/>
  <c r="L38"/>
  <c r="L37"/>
  <c r="L35"/>
  <c r="L34"/>
  <c r="J33"/>
  <c r="I32"/>
  <c r="K31"/>
  <c r="K30"/>
  <c r="K27"/>
  <c r="K26"/>
  <c r="J25"/>
  <c r="J24"/>
  <c r="J23"/>
  <c r="J22"/>
  <c r="K21"/>
  <c r="J20"/>
  <c r="K17"/>
  <c r="K16"/>
  <c r="I31" i="29"/>
  <c r="I32"/>
  <c r="I33"/>
  <c r="I30"/>
  <c r="J30"/>
  <c r="L100"/>
  <c r="L86" i="28"/>
  <c r="L103"/>
  <c r="I91"/>
  <c r="L91" s="1"/>
  <c r="H91"/>
  <c r="K95" i="27"/>
  <c r="L95" s="1"/>
  <c r="H95"/>
  <c r="K46" i="30" l="1"/>
  <c r="L46" s="1"/>
  <c r="K50"/>
  <c r="L50" s="1"/>
  <c r="I51"/>
  <c r="L51" s="1"/>
  <c r="I52"/>
  <c r="L52" s="1"/>
  <c r="L107"/>
  <c r="K88"/>
  <c r="H88"/>
  <c r="K45"/>
  <c r="L45" s="1"/>
  <c r="K47"/>
  <c r="L47" s="1"/>
  <c r="K49"/>
  <c r="L49" s="1"/>
  <c r="J18"/>
  <c r="H18"/>
  <c r="J26"/>
  <c r="J30"/>
  <c r="J32"/>
  <c r="J87"/>
  <c r="J17"/>
  <c r="J16"/>
  <c r="J27"/>
  <c r="J31"/>
  <c r="H83"/>
  <c r="J88"/>
  <c r="I18"/>
  <c r="K18"/>
  <c r="J19"/>
  <c r="K20"/>
  <c r="I33"/>
  <c r="L33" s="1"/>
  <c r="K33"/>
  <c r="L41"/>
  <c r="L42"/>
  <c r="L60"/>
  <c r="I16"/>
  <c r="I17"/>
  <c r="I26"/>
  <c r="L26" s="1"/>
  <c r="I27"/>
  <c r="L27" s="1"/>
  <c r="I30"/>
  <c r="I31"/>
  <c r="I87"/>
  <c r="I88"/>
  <c r="L88" s="1"/>
  <c r="K99" i="29"/>
  <c r="K98"/>
  <c r="J98"/>
  <c r="J97"/>
  <c r="J96"/>
  <c r="J95"/>
  <c r="L95" s="1"/>
  <c r="I94"/>
  <c r="K93"/>
  <c r="L93" s="1"/>
  <c r="H93"/>
  <c r="K91"/>
  <c r="L91" s="1"/>
  <c r="H91"/>
  <c r="I92"/>
  <c r="I90"/>
  <c r="K89"/>
  <c r="J89"/>
  <c r="J88"/>
  <c r="L88" s="1"/>
  <c r="H88"/>
  <c r="K87"/>
  <c r="J77"/>
  <c r="K71"/>
  <c r="L99"/>
  <c r="F99"/>
  <c r="H99" s="1"/>
  <c r="L98"/>
  <c r="H98"/>
  <c r="L97"/>
  <c r="H97"/>
  <c r="L96"/>
  <c r="H96"/>
  <c r="H95"/>
  <c r="L94"/>
  <c r="H94"/>
  <c r="L92"/>
  <c r="H92"/>
  <c r="L90"/>
  <c r="H90"/>
  <c r="L89"/>
  <c r="H89"/>
  <c r="L87"/>
  <c r="F87"/>
  <c r="H87" s="1"/>
  <c r="F84"/>
  <c r="K84" s="1"/>
  <c r="F83"/>
  <c r="K83" s="1"/>
  <c r="J81"/>
  <c r="L81" s="1"/>
  <c r="H81"/>
  <c r="L79"/>
  <c r="H79"/>
  <c r="L77"/>
  <c r="F77"/>
  <c r="H77" s="1"/>
  <c r="L76"/>
  <c r="F76"/>
  <c r="H76" s="1"/>
  <c r="K75"/>
  <c r="L75" s="1"/>
  <c r="H75"/>
  <c r="L74"/>
  <c r="F74"/>
  <c r="H74" s="1"/>
  <c r="L73"/>
  <c r="F73"/>
  <c r="H73" s="1"/>
  <c r="F71"/>
  <c r="L71" s="1"/>
  <c r="F70"/>
  <c r="H70" s="1"/>
  <c r="F69"/>
  <c r="J69" s="1"/>
  <c r="L69" s="1"/>
  <c r="F68"/>
  <c r="H68" s="1"/>
  <c r="F67"/>
  <c r="J67" s="1"/>
  <c r="L67" s="1"/>
  <c r="F66"/>
  <c r="J66" s="1"/>
  <c r="L66" s="1"/>
  <c r="L65"/>
  <c r="H65"/>
  <c r="L64"/>
  <c r="H64"/>
  <c r="L62"/>
  <c r="F60"/>
  <c r="I60" s="1"/>
  <c r="L60" s="1"/>
  <c r="I59"/>
  <c r="L59" s="1"/>
  <c r="F58"/>
  <c r="I58" s="1"/>
  <c r="L58" s="1"/>
  <c r="K55"/>
  <c r="L55" s="1"/>
  <c r="F55"/>
  <c r="H55" s="1"/>
  <c r="K54"/>
  <c r="L54" s="1"/>
  <c r="F54"/>
  <c r="H54" s="1"/>
  <c r="K53"/>
  <c r="L53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I43"/>
  <c r="L43" s="1"/>
  <c r="H43"/>
  <c r="F42"/>
  <c r="I42" s="1"/>
  <c r="L42" s="1"/>
  <c r="F41"/>
  <c r="I41" s="1"/>
  <c r="L41" s="1"/>
  <c r="I40"/>
  <c r="L40" s="1"/>
  <c r="H40"/>
  <c r="F39"/>
  <c r="H39" s="1"/>
  <c r="F38"/>
  <c r="H38" s="1"/>
  <c r="I37"/>
  <c r="L37" s="1"/>
  <c r="H37"/>
  <c r="L35"/>
  <c r="H35"/>
  <c r="L34"/>
  <c r="H34"/>
  <c r="F33"/>
  <c r="K33" s="1"/>
  <c r="F32"/>
  <c r="H32" s="1"/>
  <c r="F31"/>
  <c r="J31" s="1"/>
  <c r="F30"/>
  <c r="K30" s="1"/>
  <c r="F27"/>
  <c r="J27" s="1"/>
  <c r="F26"/>
  <c r="J26" s="1"/>
  <c r="F25"/>
  <c r="H25" s="1"/>
  <c r="F24"/>
  <c r="H24" s="1"/>
  <c r="F23"/>
  <c r="J23" s="1"/>
  <c r="L23" s="1"/>
  <c r="F22"/>
  <c r="J22" s="1"/>
  <c r="L22" s="1"/>
  <c r="F21"/>
  <c r="F20"/>
  <c r="J20" s="1"/>
  <c r="F19"/>
  <c r="J19" s="1"/>
  <c r="L19" s="1"/>
  <c r="E18"/>
  <c r="F18" s="1"/>
  <c r="F17"/>
  <c r="K17" s="1"/>
  <c r="F16"/>
  <c r="K16" s="1"/>
  <c r="L105" i="28"/>
  <c r="K96"/>
  <c r="J95"/>
  <c r="I94"/>
  <c r="K93"/>
  <c r="L93" s="1"/>
  <c r="I93"/>
  <c r="H97"/>
  <c r="L97"/>
  <c r="H98"/>
  <c r="L98"/>
  <c r="H99"/>
  <c r="L99"/>
  <c r="H100"/>
  <c r="L100"/>
  <c r="H101"/>
  <c r="L101"/>
  <c r="F102"/>
  <c r="H102"/>
  <c r="L102"/>
  <c r="I90"/>
  <c r="I89"/>
  <c r="K88"/>
  <c r="I88"/>
  <c r="J82"/>
  <c r="J55"/>
  <c r="J54"/>
  <c r="J53"/>
  <c r="I40"/>
  <c r="L96"/>
  <c r="H96"/>
  <c r="L95"/>
  <c r="H95"/>
  <c r="L94"/>
  <c r="H94"/>
  <c r="H93"/>
  <c r="K92"/>
  <c r="L92" s="1"/>
  <c r="H92"/>
  <c r="L90"/>
  <c r="H90"/>
  <c r="L89"/>
  <c r="H89"/>
  <c r="L88"/>
  <c r="F88"/>
  <c r="H88" s="1"/>
  <c r="F85"/>
  <c r="K85" s="1"/>
  <c r="F84"/>
  <c r="K84" s="1"/>
  <c r="L82"/>
  <c r="H82"/>
  <c r="L80"/>
  <c r="H80"/>
  <c r="H78"/>
  <c r="L77"/>
  <c r="F77"/>
  <c r="H77" s="1"/>
  <c r="L76"/>
  <c r="F76"/>
  <c r="H76" s="1"/>
  <c r="K75"/>
  <c r="L75" s="1"/>
  <c r="H75"/>
  <c r="L74"/>
  <c r="F74"/>
  <c r="H74" s="1"/>
  <c r="L73"/>
  <c r="F73"/>
  <c r="H73" s="1"/>
  <c r="F71"/>
  <c r="H71" s="1"/>
  <c r="F70"/>
  <c r="H70" s="1"/>
  <c r="F69"/>
  <c r="H69" s="1"/>
  <c r="F68"/>
  <c r="H68" s="1"/>
  <c r="F67"/>
  <c r="H67" s="1"/>
  <c r="F66"/>
  <c r="H66" s="1"/>
  <c r="L65"/>
  <c r="H65"/>
  <c r="L64"/>
  <c r="H64"/>
  <c r="L62"/>
  <c r="F60"/>
  <c r="I59"/>
  <c r="L59" s="1"/>
  <c r="F58"/>
  <c r="L55"/>
  <c r="F55"/>
  <c r="H55" s="1"/>
  <c r="L54"/>
  <c r="F54"/>
  <c r="H54" s="1"/>
  <c r="L53"/>
  <c r="H53"/>
  <c r="F52"/>
  <c r="H52" s="1"/>
  <c r="F51"/>
  <c r="H51" s="1"/>
  <c r="F50"/>
  <c r="J50" s="1"/>
  <c r="F49"/>
  <c r="H49" s="1"/>
  <c r="F48"/>
  <c r="H48" s="1"/>
  <c r="F47"/>
  <c r="H47" s="1"/>
  <c r="F46"/>
  <c r="H46" s="1"/>
  <c r="F45"/>
  <c r="J45" s="1"/>
  <c r="L45" s="1"/>
  <c r="I43"/>
  <c r="L43" s="1"/>
  <c r="H43"/>
  <c r="F42"/>
  <c r="F41"/>
  <c r="L40"/>
  <c r="H40"/>
  <c r="F39"/>
  <c r="F38"/>
  <c r="I37"/>
  <c r="L37" s="1"/>
  <c r="H37"/>
  <c r="L35"/>
  <c r="H35"/>
  <c r="L34"/>
  <c r="H34"/>
  <c r="F33"/>
  <c r="H33" s="1"/>
  <c r="F32"/>
  <c r="J32" s="1"/>
  <c r="L32" s="1"/>
  <c r="F31"/>
  <c r="H31" s="1"/>
  <c r="F30"/>
  <c r="H30" s="1"/>
  <c r="F27"/>
  <c r="K27" s="1"/>
  <c r="F26"/>
  <c r="K26" s="1"/>
  <c r="F25"/>
  <c r="H25" s="1"/>
  <c r="F24"/>
  <c r="J24" s="1"/>
  <c r="L24" s="1"/>
  <c r="F23"/>
  <c r="H23" s="1"/>
  <c r="F22"/>
  <c r="H22" s="1"/>
  <c r="F21"/>
  <c r="J21" s="1"/>
  <c r="F20"/>
  <c r="J20" s="1"/>
  <c r="F19"/>
  <c r="H19" s="1"/>
  <c r="E18"/>
  <c r="F18" s="1"/>
  <c r="F17"/>
  <c r="J17" s="1"/>
  <c r="F16"/>
  <c r="J16" s="1"/>
  <c r="L100" i="27"/>
  <c r="L101"/>
  <c r="L102"/>
  <c r="L103"/>
  <c r="L104"/>
  <c r="L105"/>
  <c r="L106"/>
  <c r="L107"/>
  <c r="L108"/>
  <c r="L109"/>
  <c r="F109"/>
  <c r="H109" s="1"/>
  <c r="H108"/>
  <c r="H107"/>
  <c r="H106"/>
  <c r="H105"/>
  <c r="H104"/>
  <c r="H103"/>
  <c r="H102"/>
  <c r="H101"/>
  <c r="H100"/>
  <c r="K99"/>
  <c r="L99" s="1"/>
  <c r="H99"/>
  <c r="K98"/>
  <c r="L98" s="1"/>
  <c r="H98"/>
  <c r="K97"/>
  <c r="L97" s="1"/>
  <c r="H97"/>
  <c r="K96"/>
  <c r="L96" s="1"/>
  <c r="H96"/>
  <c r="K94"/>
  <c r="L94" s="1"/>
  <c r="H94"/>
  <c r="J93"/>
  <c r="L93" s="1"/>
  <c r="H93"/>
  <c r="K92"/>
  <c r="J92"/>
  <c r="I92"/>
  <c r="L92" s="1"/>
  <c r="H92"/>
  <c r="I91"/>
  <c r="L91" s="1"/>
  <c r="H91"/>
  <c r="K90"/>
  <c r="J90"/>
  <c r="I90"/>
  <c r="L90" s="1"/>
  <c r="F90"/>
  <c r="H90" s="1"/>
  <c r="I89"/>
  <c r="L89" s="1"/>
  <c r="H89"/>
  <c r="I88"/>
  <c r="L88" s="1"/>
  <c r="L110" s="1"/>
  <c r="H88"/>
  <c r="F85"/>
  <c r="F84"/>
  <c r="J84" s="1"/>
  <c r="L82"/>
  <c r="H82"/>
  <c r="L80"/>
  <c r="H80"/>
  <c r="L74"/>
  <c r="L76"/>
  <c r="L77"/>
  <c r="L73"/>
  <c r="F77"/>
  <c r="H77" s="1"/>
  <c r="F76"/>
  <c r="H76" s="1"/>
  <c r="K75"/>
  <c r="L75" s="1"/>
  <c r="H75"/>
  <c r="F74"/>
  <c r="H74" s="1"/>
  <c r="F73"/>
  <c r="H73" s="1"/>
  <c r="L65"/>
  <c r="L66"/>
  <c r="L67"/>
  <c r="L68"/>
  <c r="L69"/>
  <c r="L70"/>
  <c r="L71"/>
  <c r="L64"/>
  <c r="F71"/>
  <c r="H71" s="1"/>
  <c r="F70"/>
  <c r="H70" s="1"/>
  <c r="F69"/>
  <c r="H69" s="1"/>
  <c r="F68"/>
  <c r="H68" s="1"/>
  <c r="F67"/>
  <c r="H67" s="1"/>
  <c r="F66"/>
  <c r="H66" s="1"/>
  <c r="H65"/>
  <c r="H64"/>
  <c r="L62"/>
  <c r="F60"/>
  <c r="J60" s="1"/>
  <c r="K59"/>
  <c r="J59"/>
  <c r="I59"/>
  <c r="L59" s="1"/>
  <c r="F58"/>
  <c r="J58" s="1"/>
  <c r="L46"/>
  <c r="L47"/>
  <c r="L48"/>
  <c r="L49"/>
  <c r="L51"/>
  <c r="L52"/>
  <c r="L53"/>
  <c r="L45"/>
  <c r="I55"/>
  <c r="L55" s="1"/>
  <c r="F55"/>
  <c r="H55" s="1"/>
  <c r="I54"/>
  <c r="L54" s="1"/>
  <c r="F54"/>
  <c r="H54" s="1"/>
  <c r="H53"/>
  <c r="F52"/>
  <c r="H52" s="1"/>
  <c r="F51"/>
  <c r="H51" s="1"/>
  <c r="F50"/>
  <c r="J50" s="1"/>
  <c r="F49"/>
  <c r="H49" s="1"/>
  <c r="F48"/>
  <c r="H48" s="1"/>
  <c r="F47"/>
  <c r="H47" s="1"/>
  <c r="F46"/>
  <c r="H46" s="1"/>
  <c r="F45"/>
  <c r="H45" s="1"/>
  <c r="L40"/>
  <c r="K43"/>
  <c r="J43"/>
  <c r="I43"/>
  <c r="L43" s="1"/>
  <c r="H43"/>
  <c r="F42"/>
  <c r="J42" s="1"/>
  <c r="F41"/>
  <c r="K41" s="1"/>
  <c r="H40"/>
  <c r="F39"/>
  <c r="K39" s="1"/>
  <c r="F38"/>
  <c r="J38" s="1"/>
  <c r="K37"/>
  <c r="J37"/>
  <c r="I37"/>
  <c r="H37"/>
  <c r="H35"/>
  <c r="H34"/>
  <c r="F33"/>
  <c r="H33" s="1"/>
  <c r="F32"/>
  <c r="H32" s="1"/>
  <c r="F31"/>
  <c r="H31" s="1"/>
  <c r="F30"/>
  <c r="H30" s="1"/>
  <c r="L31"/>
  <c r="L32"/>
  <c r="L33"/>
  <c r="L34"/>
  <c r="L35"/>
  <c r="L30"/>
  <c r="F27"/>
  <c r="J27" s="1"/>
  <c r="F26"/>
  <c r="J26" s="1"/>
  <c r="L19"/>
  <c r="L22"/>
  <c r="L23"/>
  <c r="L24"/>
  <c r="L25"/>
  <c r="F25"/>
  <c r="H25" s="1"/>
  <c r="F24"/>
  <c r="H24" s="1"/>
  <c r="F23"/>
  <c r="H23" s="1"/>
  <c r="F22"/>
  <c r="H22" s="1"/>
  <c r="F21"/>
  <c r="I21" s="1"/>
  <c r="F20"/>
  <c r="K20" s="1"/>
  <c r="F19"/>
  <c r="H19" s="1"/>
  <c r="E18"/>
  <c r="F18" s="1"/>
  <c r="K18" s="1"/>
  <c r="F17"/>
  <c r="K17" s="1"/>
  <c r="F16"/>
  <c r="K16" s="1"/>
  <c r="L37" l="1"/>
  <c r="L89" i="30"/>
  <c r="H83" i="29"/>
  <c r="J84"/>
  <c r="K21"/>
  <c r="H20"/>
  <c r="H21"/>
  <c r="J83"/>
  <c r="H84"/>
  <c r="I21"/>
  <c r="L21" s="1"/>
  <c r="H69"/>
  <c r="H66"/>
  <c r="H67"/>
  <c r="H71"/>
  <c r="H22"/>
  <c r="H23"/>
  <c r="H19"/>
  <c r="J18"/>
  <c r="H18"/>
  <c r="K18"/>
  <c r="I18"/>
  <c r="H16"/>
  <c r="J16"/>
  <c r="H17"/>
  <c r="J17"/>
  <c r="I20"/>
  <c r="K20"/>
  <c r="J24"/>
  <c r="L24" s="1"/>
  <c r="J25"/>
  <c r="L25" s="1"/>
  <c r="I26"/>
  <c r="K26"/>
  <c r="I27"/>
  <c r="K27"/>
  <c r="L30"/>
  <c r="H31"/>
  <c r="K31"/>
  <c r="L31" s="1"/>
  <c r="J32"/>
  <c r="L32" s="1"/>
  <c r="J33"/>
  <c r="L33" s="1"/>
  <c r="I38"/>
  <c r="L38" s="1"/>
  <c r="I39"/>
  <c r="L39" s="1"/>
  <c r="H41"/>
  <c r="H42"/>
  <c r="K45"/>
  <c r="L45" s="1"/>
  <c r="K46"/>
  <c r="L46" s="1"/>
  <c r="K47"/>
  <c r="L47" s="1"/>
  <c r="K48"/>
  <c r="L48" s="1"/>
  <c r="K49"/>
  <c r="L49" s="1"/>
  <c r="K50"/>
  <c r="L50" s="1"/>
  <c r="K51"/>
  <c r="L51" s="1"/>
  <c r="K52"/>
  <c r="L52" s="1"/>
  <c r="H58"/>
  <c r="H60"/>
  <c r="J68"/>
  <c r="L68" s="1"/>
  <c r="J70"/>
  <c r="L70" s="1"/>
  <c r="I83"/>
  <c r="L83" s="1"/>
  <c r="I84"/>
  <c r="L84" s="1"/>
  <c r="I16"/>
  <c r="L16" s="1"/>
  <c r="I17"/>
  <c r="L17" s="1"/>
  <c r="H26"/>
  <c r="H27"/>
  <c r="H30"/>
  <c r="H33"/>
  <c r="H24" i="28"/>
  <c r="H32"/>
  <c r="H45"/>
  <c r="J27"/>
  <c r="J25"/>
  <c r="L25" s="1"/>
  <c r="J23"/>
  <c r="L23" s="1"/>
  <c r="J33"/>
  <c r="K30"/>
  <c r="K31"/>
  <c r="J49"/>
  <c r="L49" s="1"/>
  <c r="J47"/>
  <c r="L47" s="1"/>
  <c r="J51"/>
  <c r="L51" s="1"/>
  <c r="J52"/>
  <c r="L52" s="1"/>
  <c r="J71"/>
  <c r="L71" s="1"/>
  <c r="J69"/>
  <c r="L69" s="1"/>
  <c r="J67"/>
  <c r="L67" s="1"/>
  <c r="H27"/>
  <c r="J19"/>
  <c r="L19" s="1"/>
  <c r="J22"/>
  <c r="L22" s="1"/>
  <c r="J30"/>
  <c r="L30" s="1"/>
  <c r="J31"/>
  <c r="L31" s="1"/>
  <c r="K33"/>
  <c r="J48"/>
  <c r="L48" s="1"/>
  <c r="J46"/>
  <c r="L46" s="1"/>
  <c r="J66"/>
  <c r="L66" s="1"/>
  <c r="J70"/>
  <c r="L70" s="1"/>
  <c r="J68"/>
  <c r="L68" s="1"/>
  <c r="H26"/>
  <c r="J26"/>
  <c r="K18"/>
  <c r="I18"/>
  <c r="J18"/>
  <c r="H18"/>
  <c r="I16"/>
  <c r="K16"/>
  <c r="I17"/>
  <c r="K17"/>
  <c r="I20"/>
  <c r="K20"/>
  <c r="L21"/>
  <c r="I38"/>
  <c r="L38" s="1"/>
  <c r="I39"/>
  <c r="L39" s="1"/>
  <c r="I41"/>
  <c r="L41" s="1"/>
  <c r="I42"/>
  <c r="L42" s="1"/>
  <c r="L50"/>
  <c r="H58"/>
  <c r="H60"/>
  <c r="H84"/>
  <c r="J84"/>
  <c r="H85"/>
  <c r="J85"/>
  <c r="H16"/>
  <c r="H17"/>
  <c r="H20"/>
  <c r="H21"/>
  <c r="I26"/>
  <c r="L26" s="1"/>
  <c r="I27"/>
  <c r="L27" s="1"/>
  <c r="H38"/>
  <c r="H39"/>
  <c r="H41"/>
  <c r="H42"/>
  <c r="H50"/>
  <c r="I58"/>
  <c r="L58" s="1"/>
  <c r="I60"/>
  <c r="L60" s="1"/>
  <c r="I84"/>
  <c r="L84" s="1"/>
  <c r="I85"/>
  <c r="L85" s="1"/>
  <c r="H42" i="27"/>
  <c r="H16"/>
  <c r="H20"/>
  <c r="J85"/>
  <c r="H85"/>
  <c r="K85"/>
  <c r="I85"/>
  <c r="I84"/>
  <c r="K84"/>
  <c r="H84"/>
  <c r="I58"/>
  <c r="K58"/>
  <c r="I60"/>
  <c r="K60"/>
  <c r="H58"/>
  <c r="H60"/>
  <c r="I50"/>
  <c r="L50" s="1"/>
  <c r="H50"/>
  <c r="I38"/>
  <c r="K38"/>
  <c r="H39"/>
  <c r="J39"/>
  <c r="H41"/>
  <c r="J41"/>
  <c r="I42"/>
  <c r="K42"/>
  <c r="H38"/>
  <c r="I39"/>
  <c r="L39" s="1"/>
  <c r="I41"/>
  <c r="L41" s="1"/>
  <c r="I27"/>
  <c r="K27"/>
  <c r="H27"/>
  <c r="I26"/>
  <c r="K26"/>
  <c r="H26"/>
  <c r="J16"/>
  <c r="J20"/>
  <c r="I16"/>
  <c r="H17"/>
  <c r="J17"/>
  <c r="H18"/>
  <c r="J18"/>
  <c r="I20"/>
  <c r="L20" s="1"/>
  <c r="H21"/>
  <c r="K21"/>
  <c r="L21" s="1"/>
  <c r="I17"/>
  <c r="L17" s="1"/>
  <c r="I18"/>
  <c r="L18" s="1"/>
  <c r="L16" l="1"/>
  <c r="I112"/>
  <c r="J112"/>
  <c r="K112"/>
  <c r="L109" i="30"/>
  <c r="L42" i="27"/>
  <c r="L38"/>
  <c r="L60"/>
  <c r="L58"/>
  <c r="L27" i="29"/>
  <c r="L26"/>
  <c r="L20"/>
  <c r="H80"/>
  <c r="L18"/>
  <c r="L85" s="1"/>
  <c r="L102" s="1"/>
  <c r="L18" i="28"/>
  <c r="L33"/>
  <c r="H81"/>
  <c r="L20"/>
  <c r="L17"/>
  <c r="L16"/>
  <c r="L27" i="27"/>
  <c r="L84"/>
  <c r="L85"/>
  <c r="L26"/>
  <c r="L86" l="1"/>
  <c r="L112" s="1"/>
  <c r="H78" l="1"/>
  <c r="I94" i="25"/>
  <c r="E85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E85" i="24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E85" i="23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H54"/>
  <c r="F54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H39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1" i="22"/>
  <c r="E85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H50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8" i="21"/>
  <c r="I82"/>
  <c r="I53"/>
  <c r="E85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H50"/>
  <c r="F50"/>
  <c r="I50" s="1"/>
  <c r="H49"/>
  <c r="F49"/>
  <c r="I49" s="1"/>
  <c r="F48"/>
  <c r="I48" s="1"/>
  <c r="F47"/>
  <c r="I47" s="1"/>
  <c r="F46"/>
  <c r="I46" s="1"/>
  <c r="F45"/>
  <c r="I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89" i="20"/>
  <c r="H88"/>
  <c r="E85"/>
  <c r="F85" s="1"/>
  <c r="F84"/>
  <c r="I84" s="1"/>
  <c r="H82"/>
  <c r="H80"/>
  <c r="H78"/>
  <c r="F77"/>
  <c r="H77" s="1"/>
  <c r="F76"/>
  <c r="H76" s="1"/>
  <c r="H75"/>
  <c r="F74"/>
  <c r="H74" s="1"/>
  <c r="H73"/>
  <c r="F73"/>
  <c r="H71"/>
  <c r="F71"/>
  <c r="H70"/>
  <c r="F70"/>
  <c r="H69"/>
  <c r="F69"/>
  <c r="H68"/>
  <c r="F68"/>
  <c r="H67"/>
  <c r="F67"/>
  <c r="H66"/>
  <c r="F66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H42"/>
  <c r="F42"/>
  <c r="I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7"/>
  <c r="F17"/>
  <c r="I17" s="1"/>
  <c r="F16"/>
  <c r="H16" s="1"/>
  <c r="E85" i="19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H54"/>
  <c r="F54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1" i="18"/>
  <c r="H81" i="27" l="1"/>
  <c r="H89" i="26"/>
  <c r="I96" i="25"/>
  <c r="H17"/>
  <c r="I49"/>
  <c r="I47"/>
  <c r="I45"/>
  <c r="I48"/>
  <c r="I46"/>
  <c r="I71"/>
  <c r="I85"/>
  <c r="H85"/>
  <c r="H86" s="1"/>
  <c r="I18"/>
  <c r="H18"/>
  <c r="I16"/>
  <c r="I20"/>
  <c r="H21"/>
  <c r="I26"/>
  <c r="H27"/>
  <c r="I30"/>
  <c r="H31"/>
  <c r="I32"/>
  <c r="I38"/>
  <c r="H39"/>
  <c r="H41"/>
  <c r="I42"/>
  <c r="H50"/>
  <c r="H58"/>
  <c r="H60"/>
  <c r="H84"/>
  <c r="H17" i="24"/>
  <c r="H27"/>
  <c r="H84"/>
  <c r="H60"/>
  <c r="H58"/>
  <c r="H50"/>
  <c r="H41"/>
  <c r="H39"/>
  <c r="H31"/>
  <c r="H21"/>
  <c r="I18"/>
  <c r="H18"/>
  <c r="I85"/>
  <c r="H85"/>
  <c r="H86" s="1"/>
  <c r="I16"/>
  <c r="I20"/>
  <c r="I26"/>
  <c r="I30"/>
  <c r="I32"/>
  <c r="I38"/>
  <c r="I42"/>
  <c r="H17" i="23"/>
  <c r="H27"/>
  <c r="H84"/>
  <c r="H21"/>
  <c r="H60"/>
  <c r="H50"/>
  <c r="H58"/>
  <c r="H81" s="1"/>
  <c r="H41"/>
  <c r="H31"/>
  <c r="I18"/>
  <c r="H18"/>
  <c r="I85"/>
  <c r="H85"/>
  <c r="H86" s="1"/>
  <c r="I16"/>
  <c r="I20"/>
  <c r="I26"/>
  <c r="I30"/>
  <c r="I32"/>
  <c r="I38"/>
  <c r="I42"/>
  <c r="H17" i="22"/>
  <c r="I85"/>
  <c r="H85"/>
  <c r="H86" s="1"/>
  <c r="I18"/>
  <c r="H18"/>
  <c r="I16"/>
  <c r="I20"/>
  <c r="H21"/>
  <c r="I26"/>
  <c r="H27"/>
  <c r="I30"/>
  <c r="H31"/>
  <c r="I32"/>
  <c r="I38"/>
  <c r="H39"/>
  <c r="H41"/>
  <c r="I42"/>
  <c r="H58"/>
  <c r="H60"/>
  <c r="H84"/>
  <c r="I89" i="21"/>
  <c r="H47"/>
  <c r="H45"/>
  <c r="H46"/>
  <c r="H48"/>
  <c r="H17"/>
  <c r="I22"/>
  <c r="I24"/>
  <c r="I66"/>
  <c r="I69"/>
  <c r="I67"/>
  <c r="I19"/>
  <c r="I25"/>
  <c r="I23"/>
  <c r="I51"/>
  <c r="I52"/>
  <c r="I70"/>
  <c r="I68"/>
  <c r="H41"/>
  <c r="H39"/>
  <c r="H31"/>
  <c r="H21"/>
  <c r="H27"/>
  <c r="I18"/>
  <c r="H18"/>
  <c r="I85"/>
  <c r="H85"/>
  <c r="H86" s="1"/>
  <c r="I16"/>
  <c r="I20"/>
  <c r="I26"/>
  <c r="I30"/>
  <c r="I32"/>
  <c r="I38"/>
  <c r="I42"/>
  <c r="H58"/>
  <c r="H60"/>
  <c r="H84"/>
  <c r="I18" i="20"/>
  <c r="H18"/>
  <c r="I85"/>
  <c r="H85"/>
  <c r="H86" s="1"/>
  <c r="I16"/>
  <c r="I20"/>
  <c r="H21"/>
  <c r="I26"/>
  <c r="H27"/>
  <c r="I30"/>
  <c r="H31"/>
  <c r="I32"/>
  <c r="I38"/>
  <c r="H39"/>
  <c r="H41"/>
  <c r="H50"/>
  <c r="H58"/>
  <c r="H60"/>
  <c r="H84"/>
  <c r="H21" i="19"/>
  <c r="H31"/>
  <c r="H39"/>
  <c r="H58"/>
  <c r="H17"/>
  <c r="H27"/>
  <c r="H41"/>
  <c r="H60"/>
  <c r="H84"/>
  <c r="H50"/>
  <c r="I18"/>
  <c r="H18"/>
  <c r="I85"/>
  <c r="H85"/>
  <c r="H86" s="1"/>
  <c r="I16"/>
  <c r="I20"/>
  <c r="I26"/>
  <c r="I30"/>
  <c r="I32"/>
  <c r="I38"/>
  <c r="I42"/>
  <c r="I98" i="25" l="1"/>
  <c r="H81" i="24"/>
  <c r="I86" i="21"/>
  <c r="I91" s="1"/>
  <c r="I115" i="26"/>
  <c r="H81" i="25"/>
  <c r="I100" i="24"/>
  <c r="I86" i="23"/>
  <c r="I93" s="1"/>
  <c r="I86" i="22"/>
  <c r="I94" s="1"/>
  <c r="H81"/>
  <c r="H81" i="21"/>
  <c r="H81" i="20"/>
  <c r="H81" i="19"/>
  <c r="I98"/>
  <c r="E85" i="18" l="1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H20"/>
  <c r="F20"/>
  <c r="I20" s="1"/>
  <c r="H19"/>
  <c r="F19"/>
  <c r="F18"/>
  <c r="I18" s="1"/>
  <c r="E18"/>
  <c r="F17"/>
  <c r="I17" s="1"/>
  <c r="F16"/>
  <c r="H16" s="1"/>
  <c r="E85" i="17"/>
  <c r="F85" s="1"/>
  <c r="F84"/>
  <c r="H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H60" s="1"/>
  <c r="I59"/>
  <c r="F58"/>
  <c r="H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H40"/>
  <c r="F39"/>
  <c r="H39" s="1"/>
  <c r="F38"/>
  <c r="I38" s="1"/>
  <c r="I37"/>
  <c r="H37"/>
  <c r="F27"/>
  <c r="I27" s="1"/>
  <c r="H35"/>
  <c r="H34"/>
  <c r="F26"/>
  <c r="H26" s="1"/>
  <c r="H33"/>
  <c r="F33"/>
  <c r="I33" s="1"/>
  <c r="F32"/>
  <c r="H32" s="1"/>
  <c r="F31"/>
  <c r="H31" s="1"/>
  <c r="F30"/>
  <c r="H30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85" i="18" l="1"/>
  <c r="H85"/>
  <c r="H86" s="1"/>
  <c r="I16"/>
  <c r="H17"/>
  <c r="H18"/>
  <c r="H21"/>
  <c r="I26"/>
  <c r="H27"/>
  <c r="I30"/>
  <c r="H31"/>
  <c r="I32"/>
  <c r="I38"/>
  <c r="H39"/>
  <c r="H41"/>
  <c r="I42"/>
  <c r="H50"/>
  <c r="H58"/>
  <c r="H60"/>
  <c r="H84"/>
  <c r="I32" i="17"/>
  <c r="I30"/>
  <c r="I31"/>
  <c r="H81"/>
  <c r="H50"/>
  <c r="I85"/>
  <c r="H85"/>
  <c r="H86" s="1"/>
  <c r="H18"/>
  <c r="I18"/>
  <c r="H16"/>
  <c r="I17"/>
  <c r="I86" s="1"/>
  <c r="I95" s="1"/>
  <c r="H20"/>
  <c r="I21"/>
  <c r="I26"/>
  <c r="H27"/>
  <c r="H38"/>
  <c r="I39"/>
  <c r="I41"/>
  <c r="H42"/>
  <c r="I58"/>
  <c r="I60"/>
  <c r="I84"/>
  <c r="I86" i="18" l="1"/>
  <c r="H81"/>
  <c r="I93"/>
</calcChain>
</file>

<file path=xl/sharedStrings.xml><?xml version="1.0" encoding="utf-8"?>
<sst xmlns="http://schemas.openxmlformats.org/spreadsheetml/2006/main" count="3832" uniqueCount="322">
  <si>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</si>
  <si>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</si>
  <si>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</si>
  <si>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</si>
  <si>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</si>
  <si>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</si>
  <si>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</si>
  <si>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</si>
  <si>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</si>
  <si>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</si>
  <si>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</si>
  <si>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</si>
  <si>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</si>
  <si>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</si>
  <si>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</si>
  <si>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</si>
  <si>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</si>
  <si>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</si>
  <si>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</si>
  <si>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</si>
  <si>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</si>
  <si>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</si>
  <si>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</si>
  <si>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</si>
  <si>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</si>
  <si>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</si>
  <si>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</si>
  <si>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</si>
  <si>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</si>
  <si>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</si>
  <si>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</si>
  <si>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</si>
  <si>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</si>
  <si>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</si>
  <si>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</si>
  <si>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</si>
  <si>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</si>
  <si>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</si>
  <si>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</si>
  <si>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</si>
  <si>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</si>
  <si>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</si>
  <si>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</si>
  <si>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</si>
  <si>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</si>
  <si>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</si>
  <si>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</si>
  <si>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</si>
  <si>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</si>
  <si>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</si>
  <si>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</si>
  <si>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</si>
  <si>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</si>
  <si>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</si>
  <si>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</si>
  <si>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</si>
  <si>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</si>
  <si>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</si>
  <si>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</si>
  <si>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</si>
  <si>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</si>
  <si>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</si>
  <si>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</si>
  <si>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</si>
  <si>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</si>
  <si>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</si>
  <si>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</si>
  <si>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</si>
  <si>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</si>
  <si>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</si>
  <si>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</si>
  <si>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</si>
  <si>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</si>
  <si>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</si>
  <si>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</si>
  <si>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</si>
  <si>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</si>
  <si>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</si>
  <si>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</si>
  <si>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</si>
  <si>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</si>
  <si>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</si>
  <si>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Осмотр и очистка оголовков дымоходов и вентканалов от наледи и снега (по необходимости) зимой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</si>
  <si>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</si>
  <si>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</si>
  <si>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</si>
  <si>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</si>
  <si>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</si>
  <si>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</si>
  <si>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</si>
  <si>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ООО «Жилсервис»</t>
  </si>
  <si>
    <t>АКТ №11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</si>
  <si>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</si>
  <si>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</si>
  <si>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</si>
  <si>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</si>
  <si>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</si>
  <si>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</si>
  <si>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</si>
  <si>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</si>
  <si>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Уборка газонов</t>
  </si>
  <si>
    <t>Осмотр шиферной кровли</t>
  </si>
  <si>
    <t>шт</t>
  </si>
  <si>
    <t>100м3</t>
  </si>
  <si>
    <t>1000м3</t>
  </si>
  <si>
    <t>Вода для промывки СО</t>
  </si>
  <si>
    <t>ТО внутридомового газ.оборудования</t>
  </si>
  <si>
    <t>Аварийно-диспетчерское обслуживание</t>
  </si>
  <si>
    <t xml:space="preserve">Проверка дымоходов </t>
  </si>
  <si>
    <t>Прочистка каналов</t>
  </si>
  <si>
    <t>3м</t>
  </si>
  <si>
    <t>30 раз за сезон</t>
  </si>
  <si>
    <t xml:space="preserve">Очистка края кровли от слежавшегося снега со сбрасыванием сосулек (10% от S кровли) </t>
  </si>
  <si>
    <t>АКТ №12</t>
  </si>
  <si>
    <t>Влажное подметание лестничных клеток 1 этажа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</si>
  <si>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</si>
  <si>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</si>
  <si>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</si>
  <si>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</si>
  <si>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</si>
  <si>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</si>
  <si>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</si>
  <si>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</si>
  <si>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</si>
  <si>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>1 раз в 2 месяца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</si>
  <si>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</si>
  <si>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</si>
  <si>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</si>
  <si>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</si>
  <si>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</si>
  <si>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</si>
  <si>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</si>
  <si>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Вывоз снега с придомовой территории</t>
  </si>
  <si>
    <t>35 раз за сезон</t>
  </si>
  <si>
    <t xml:space="preserve">6 раз за сезон </t>
  </si>
  <si>
    <t>Очистка козырьков над входами в подъезды от слежавшегося снега со сбрасыванием сосулек</t>
  </si>
  <si>
    <t xml:space="preserve">Смена светодиодных светильников </t>
  </si>
  <si>
    <t>Стоимость светодиодного светильника</t>
  </si>
  <si>
    <t>руб</t>
  </si>
  <si>
    <t>Смена плавкой вставки в электрощитке</t>
  </si>
  <si>
    <t>Замена ламп ДРЛ</t>
  </si>
  <si>
    <t>Внеплановй осмотр электросетей, армазуры и электрооборудования на лестничных клетках</t>
  </si>
  <si>
    <t>Работа автовышки</t>
  </si>
  <si>
    <t>маш/час</t>
  </si>
  <si>
    <t>Смена дверных приборов - пружины</t>
  </si>
  <si>
    <t>Устройство хомута диаметром до 50 мм</t>
  </si>
  <si>
    <t xml:space="preserve">приемки оказанных услуг и выполненных работ по содержанию и текущему ремонту
общего имущества в многоквартирном доме №14 по ул.Советская пгт.Ярега
</t>
  </si>
  <si>
    <t>генеральный директор Куканов Ю.Л.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</si>
  <si>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28.02.2014г.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</si>
  <si>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14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д.14</t>
    </r>
  </si>
  <si>
    <t>III. Проведение технических осмотров</t>
  </si>
  <si>
    <t>IV. Содержание общего имущества МКД</t>
  </si>
  <si>
    <t>V. Прочие услуги</t>
  </si>
  <si>
    <t>III. Содержание общего имущества МКД</t>
  </si>
  <si>
    <t>IV. Прочие услуги</t>
  </si>
  <si>
    <t>АКТ №1</t>
  </si>
  <si>
    <t>ежедневно 365 раз</t>
  </si>
  <si>
    <t>по мере необходимости</t>
  </si>
  <si>
    <t xml:space="preserve"> </t>
  </si>
  <si>
    <t>Спуск воды после промывки СО в канализацию</t>
  </si>
  <si>
    <t>Мелкий ремонт электропроводки</t>
  </si>
  <si>
    <t>1п.м.</t>
  </si>
  <si>
    <t>1 маш/час</t>
  </si>
  <si>
    <t>Внеплановая проверка вентканалов</t>
  </si>
  <si>
    <t>1шт.</t>
  </si>
  <si>
    <t>Внеплановый осмотр вводных электрических щитков</t>
  </si>
  <si>
    <t>100шт</t>
  </si>
  <si>
    <t>Смена трубопроводов на полипропиленовые трубы PN20 диаметром 20 мм</t>
  </si>
  <si>
    <t xml:space="preserve">Внеплановая проверка дымоходов </t>
  </si>
  <si>
    <t>10 м2</t>
  </si>
  <si>
    <t xml:space="preserve">Смена сгонов у трубопроводов диаметром до 20 мм </t>
  </si>
  <si>
    <t>1 сгон</t>
  </si>
  <si>
    <t xml:space="preserve">2 раза в месяц 24 раза в год 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</si>
  <si>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</si>
  <si>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</si>
  <si>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АКТ №2</t>
  </si>
  <si>
    <t>АКТ №3</t>
  </si>
  <si>
    <t>АКТ №4</t>
  </si>
  <si>
    <t>АКТ №5</t>
  </si>
  <si>
    <t>АКТ №6</t>
  </si>
  <si>
    <t>III. Прочие услуги</t>
  </si>
  <si>
    <t>АКТ №7</t>
  </si>
  <si>
    <t>АКТ №8</t>
  </si>
  <si>
    <t>АКТ №9</t>
  </si>
  <si>
    <t>АКТ №10</t>
  </si>
  <si>
    <r>
      <t>Наименование вида работы (услуги)</t>
    </r>
    <r>
      <rPr>
        <vertAlign val="superscript"/>
        <sz val="11"/>
        <rFont val="Times New Roman"/>
        <family val="1"/>
        <charset val="204"/>
      </rPr>
      <t>2</t>
    </r>
  </si>
  <si>
    <t>Стоимость выполненной работы (оказанной услуги) за январь 2017г.</t>
  </si>
  <si>
    <t>Стоимость выполненной работы (оказанной услуги) за февраль 2017г.</t>
  </si>
  <si>
    <t>Стоимость выполненной работы (оказанной услуги) за март 2017г.</t>
  </si>
  <si>
    <t>Цена выполненной работы  (оказанной услуги) за I квартал, в рублях</t>
  </si>
  <si>
    <t>за период с 01.01.2017 г. по 31.03.2017 г.</t>
  </si>
  <si>
    <t>Настоящий Акт составлен в 2 экземплярах, имеющих одинаковую юридическую силу, по одному для каждой из Сторон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</si>
  <si>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 собственником  квартиры 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 в  данном  многоквартирном  доме, действующего  на  основании  решения  от  28.02.2014г.  стороны, и  ООО  «Жилсервис», именуемое в  дальнейшем  "Исполнитель", в  лице  генерального  директора  Куканова  Юрия  Леонидовича, действующего  на  основании  Устава, с  другой  стороны, совместно  именуемые  "Стороны", составили настоящий Акт о нижеследующем:</t>
    </r>
  </si>
  <si>
    <t>Смена трубопроводов на полипропиленовые трубы PN25 диаметром 25 мм</t>
  </si>
  <si>
    <t>Ремонт и регулировка доводчика (без стоимости доводчика)</t>
  </si>
  <si>
    <t>Прочистка засоров канализации</t>
  </si>
  <si>
    <t>Смена оконных приборов - ручки</t>
  </si>
  <si>
    <t>Смена внутренних трубопроводов из стальных труб диаметром до 40 мм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</si>
  <si>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</si>
  <si>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</si>
  <si>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арматуры - задвижек диаметром 100 мм</t>
  </si>
  <si>
    <t>1 шт</t>
  </si>
  <si>
    <t>Смена отдельных участков наружной проводки</t>
  </si>
  <si>
    <t>м</t>
  </si>
  <si>
    <t>Дезинфекция подвала</t>
  </si>
  <si>
    <t>Смена арматуры - вентилей и клапанов обратных муфтовых диаметром до 20 мм</t>
  </si>
  <si>
    <t>Ремонт оголовка</t>
  </si>
  <si>
    <t>руб.</t>
  </si>
  <si>
    <t>Смена отводов у трубопроводов диаметром до 50 мм</t>
  </si>
  <si>
    <t>Внеплановый осмотр элекгросетей, арматуры и электрооборудования на чердаках и подвалах</t>
  </si>
  <si>
    <t>Ремонт отдельных мест покрытия из асбоцементных листов обыкновенного профиля</t>
  </si>
  <si>
    <t>за период с 01.04.2017 г. по 30.06.2017 г.</t>
  </si>
  <si>
    <t>Стоимость выполненной работы (оказанной услуги) за апрель 2017г.</t>
  </si>
  <si>
    <t>Стоимость выполненной работы (оказанной услуги) за май 2017г.</t>
  </si>
  <si>
    <t>Стоимость выполненной работы (оказанной услуги) за июнь 2017г.</t>
  </si>
  <si>
    <t>за период с 01.07.2017 г. по 30.09.2017 г.</t>
  </si>
  <si>
    <t>2. Всего за период с 01.01.2017 г. по 31.03.2017 г. выполнено работ (оказано услуг) на общую сумму: 195886,68 руб.</t>
  </si>
  <si>
    <t>(сто девяносто пять тысяч восемьсот восемьдесят шесть рублей 68 копеек)</t>
  </si>
  <si>
    <t>2. Всего за период с 01.04.2017 г. по 30.06.2017 г. выполнено работ (оказано услуг) на общую сумму: 312597,37 руб.</t>
  </si>
  <si>
    <t>(триста двенадцать тысяч пятьсот девятосто семь рублей 37 копеек)</t>
  </si>
  <si>
    <t>2. Всего за период с 01.07.2017 г. по 30.09.2017 г. выполнено работ (оказано услуг) на общую сумму: 154185,31 руб.</t>
  </si>
  <si>
    <t>(сто пятьдесят четыре тысячи сто восемьдесят пять рублей 31 копейка)</t>
  </si>
  <si>
    <t>Цена выполненной работы  (оказанной услуги) за II квартал, в рублях</t>
  </si>
  <si>
    <t>Цена выполненной работы  (оказанной услуги) за III квартал, в рублях</t>
  </si>
  <si>
    <t>Стоимость выполненной работы (оказанной услуги) за сентябрь 2017г.</t>
  </si>
  <si>
    <t>Стоимость выполненной работы (оказанной услуги) за август 2017г.</t>
  </si>
  <si>
    <t>Стоимость выполненной работы (оказанной услуги) за июль 2017г.</t>
  </si>
  <si>
    <t>АКТ №4а</t>
  </si>
  <si>
    <t>за период с 01.10.2017 г. по 31.30.2017 г.</t>
  </si>
  <si>
    <t>Стоимость выполненной работы (оказанной услуги) за октябрь 2017г.</t>
  </si>
  <si>
    <t>Стоимость выполненной работы (оказанной услуги) за ноябрь 2017г.</t>
  </si>
  <si>
    <t>Стоимость выполненной работы (оказанной услуги) за декабрь 2017г.</t>
  </si>
  <si>
    <t>Цена выполненной работы  (оказанной услуги) за IV квартал, в рублях</t>
  </si>
  <si>
    <t>156 раз в год</t>
  </si>
  <si>
    <t>104 раза в год</t>
  </si>
  <si>
    <t xml:space="preserve">24 раза в год </t>
  </si>
  <si>
    <t>182 раза</t>
  </si>
  <si>
    <t>52 раза в сезон</t>
  </si>
  <si>
    <t>52 раза за сезон</t>
  </si>
  <si>
    <t>24 раза за сезон</t>
  </si>
  <si>
    <t>Смена светильника РКУ</t>
  </si>
  <si>
    <t>Снятие показаний с общедомовых приборов учёта холодной воды</t>
  </si>
  <si>
    <t>Водоснабжение, канализация</t>
  </si>
  <si>
    <t>ТО внутренних сетей водопровода и канализации</t>
  </si>
  <si>
    <t>руб/м2 в мес</t>
  </si>
  <si>
    <t>Обход и осмотр фасадного газопровода</t>
  </si>
  <si>
    <t>Техническое диагностирование ВДГО</t>
  </si>
  <si>
    <t>Смена полиэтиленовых канализационных труб 110×2000 мм</t>
  </si>
  <si>
    <t>Смена полиэтиленовых канализационных труб 110×1000 мм</t>
  </si>
  <si>
    <t xml:space="preserve">Переход чугун-пластик Ду 110 </t>
  </si>
  <si>
    <t>Муфта 110</t>
  </si>
  <si>
    <t>Тройник 100-90°</t>
  </si>
  <si>
    <t>Патрубок компенсацинный ПП Ду 110</t>
  </si>
  <si>
    <t>Заглушка 110</t>
  </si>
  <si>
    <t>Смена трубопроводов на полипропиленовые трубы PN20 диаметром 25 мм</t>
  </si>
  <si>
    <t>Смена шарового крана ПП диаметром 25 мм</t>
  </si>
  <si>
    <t>Утепление трубопроводов минеральной ватой</t>
  </si>
  <si>
    <t>1 м3</t>
  </si>
  <si>
    <t>Ремонт силового предохранительного шкафа</t>
  </si>
  <si>
    <t>Смена оконных приборов - ручки (окна ПВХ)</t>
  </si>
  <si>
    <t>Тройник 100×50/90гр.</t>
  </si>
  <si>
    <t>Смена отдельных участков наружной проводки (кабель АВВГ 2×2,5мм²)</t>
  </si>
  <si>
    <t>2. Всего за период с 01.10.2017 г. по 31.10.2017 г. выполнено работ (оказано услуг) на общую сумму: 66444,36 руб.</t>
  </si>
  <si>
    <t>(шестьдесят шесть тысяч четыреста сорок четыре рубля 36 копееек)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</si>
  <si>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 собственником  квартиры 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 в  данном  многоквартирном  доме, действующего  на  основании  решения  от  21.09.2017г.  стороны, и  ООО  «Жилсервис», именуемое в  дальнейшем  "Исполнитель", в  лице  генерального  директора  Куканова  Юрия  Леонидовича, действующего  на  основании  Устава, с  другой  стороны, совместно  именуемые  "Стороны", составили настоящий Акт о нижеследующем:</t>
    </r>
  </si>
  <si>
    <t>за период с 01.01.2017 г. по 31.01.2017 г.</t>
  </si>
  <si>
    <t>Итого квартальные затраты</t>
  </si>
  <si>
    <t>2. Всего за период с 01.01.2017 по 31.01.2017 выполнено работ (оказано услуг) на общую сумму: 64780,73 руб.</t>
  </si>
  <si>
    <t>(шестьдесят четыре тысячи семьсот восемьдесят рублей 73 копейки)</t>
  </si>
  <si>
    <t>за период с 01.02.2017 г. по 28.02.2017 г.</t>
  </si>
  <si>
    <t>Итого месячные затраты</t>
  </si>
  <si>
    <t>2. Всего за период с 01.02.2017 по 28.02.2017 выполнено работ (оказано услуг) на общую сумму: 51935,06 руб.</t>
  </si>
  <si>
    <t>(пятьдесят одна тысяча девятьсот тридцать пять рублей 06 копеек)</t>
  </si>
  <si>
    <t>за период с 01.03.2017 г. по 31.03.2017 г.</t>
  </si>
  <si>
    <t>2. Всего за период с 01.03.2017 по 31.03.2017 выполнено работ (оказано услуг) на общую сумму: 79170,89 руб.</t>
  </si>
  <si>
    <t>(семьдесят девять тысяч сто семьдесят рублей 89 копеек)</t>
  </si>
  <si>
    <t>за период с 01.04.2017 г. по 30.04.2017 г.</t>
  </si>
  <si>
    <t>2. Всего за период с 01.04.2017 по 30.04.2017 выполнено работ (оказано услуг) на общую сумму: 78245,74 руб.</t>
  </si>
  <si>
    <t>(семьдесят восемь тысяч двести сорок пять рублей 74 копейки)</t>
  </si>
  <si>
    <t>за период с 01.05.2017 г. по 31.05.2017 г.</t>
  </si>
  <si>
    <t>2. Всего за период с 01.05.2017 по 31.05.2017 выполнено работ (оказано услуг) на общую сумму: 163564,24 руб.</t>
  </si>
  <si>
    <t>(сто шестьдесят три тысячи пятьсот шестьдесят четыре рубля 24 копейки)</t>
  </si>
  <si>
    <t>за период с 01.06.2017 г. по 30.06.2017 г.</t>
  </si>
  <si>
    <t>2. Всего за период с 01.06.2017 по 30.06.2017 выполнено работ (оказано услуг) на общую сумму: 70787,39 руб.</t>
  </si>
  <si>
    <t>(семьдесят тысяч семьсот восемьдесят семь рублей 39 копеек)</t>
  </si>
  <si>
    <t>за период с 01.07.2017 г. по 31.07.2017 г.</t>
  </si>
  <si>
    <t>2. Всего за период с 01.07.2017 по 31.07.2017 выполнено работ (оказано услуг) на общую сумму: 51390,10 руб.</t>
  </si>
  <si>
    <t>(пятьдесят одна тысяча триста девяносто рублей 10 копеек)</t>
  </si>
  <si>
    <t>за период с 01.08.2017 г. по 31.08.2017 г.</t>
  </si>
  <si>
    <t>за период с 01.09.2017 г. по 30.09.2017 г.</t>
  </si>
  <si>
    <t>за период с 01.10.2017 г. по 31.10.2017 г.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</si>
  <si>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21.09.2017г.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</si>
  <si>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Смена выключателей</t>
  </si>
  <si>
    <t>Итого затраты за месяц</t>
  </si>
  <si>
    <t>за период с 01.11.2017 г. по 30.11.2017 г.</t>
  </si>
  <si>
    <t>Утепление трубопроводов минеральной ватой УРСА</t>
  </si>
  <si>
    <t>1 мЗ</t>
  </si>
  <si>
    <t>Установка заглушек диаметром трубопроводов до 100 мм</t>
  </si>
  <si>
    <t>заглушка</t>
  </si>
  <si>
    <t>Работа автопогрузчика</t>
  </si>
  <si>
    <t>за период с 01.12.2017 г. по 31.12.2017 г.</t>
  </si>
  <si>
    <t>Заделка отверстий на шиферной кровле</t>
  </si>
  <si>
    <t>Сверхнормативы по ОДП за 1 полугодие</t>
  </si>
  <si>
    <t>Сверхнормативы по ОДП за 2 полугодие</t>
  </si>
  <si>
    <t>2. Всего за период с 01.12.2017 по 31.12.2017 выполнено работ (оказано услуг) на общую сумму: 73688,13 руб.</t>
  </si>
  <si>
    <t>(семьдесят три тысячи шестьсот восемьдесят восемь рублей 13 копеек)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</si>
  <si>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д.14</t>
    </r>
  </si>
  <si>
    <t>Ремонт отмостки</t>
  </si>
  <si>
    <t>м2</t>
  </si>
  <si>
    <t>Очистка цоколя от мха</t>
  </si>
  <si>
    <t>Устройство стяжек цементных толщиной 20 мм</t>
  </si>
  <si>
    <t>2. Всего за период с 01.08.2017 по 31.08.2017 выполнено работ (оказано услуг) на общую сумму: 362377,73 руб.</t>
  </si>
  <si>
    <t>(триста шестьдесят две тысячи триста семьдесят семь рублей  73 копейки)</t>
  </si>
  <si>
    <t>Ремонт поверхности кирпичных стен при глубине заделки в 1 кирпич площадью в одном месте до 1 м2</t>
  </si>
  <si>
    <t>Ремонт штукатурки внутренних стен по камню известковым раствором площадью до 10 м2 толщиной слоя до 20 мм</t>
  </si>
  <si>
    <t>2. Всего за период с 01.09.2017 по 30.09.2017 выполнено работ (оказано услуг) на общую сумму: 65782,08 руб.</t>
  </si>
  <si>
    <t>(шестьдесят пять тысяч семьсот восемьдесят два рубля 8 копеек)</t>
  </si>
  <si>
    <t>Смена дверных приборов - петли</t>
  </si>
  <si>
    <t>2. Всего за период с 01.10.2017 по 31.10.2017 выполнено работ (оказано услуг) на общую сумму: 71960,36 руб.</t>
  </si>
  <si>
    <t>(семьдесят одна тысяча девятьсот шестьдесят рублей 36 копеек)</t>
  </si>
  <si>
    <t>2. Всего за период с 01.11.2017 по 30.11.2017 выполнено работ (оказано услуг) на общую сумму: 95505,57 руб.</t>
  </si>
  <si>
    <t>(девяносто пять тысяч пятьсот пять рублей 57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</si>
</sst>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4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3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1" fontId="11" fillId="2" borderId="3" xfId="0" applyNumberFormat="1" applyFont="1" applyFill="1" applyBorder="1" applyAlignment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/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1" fillId="0" borderId="0" xfId="0" applyFont="1"/>
    <xf numFmtId="0" fontId="11" fillId="0" borderId="0" xfId="0" applyFont="1" applyAlignment="1">
      <alignment horizontal="center" vertical="top" wrapText="1"/>
    </xf>
    <xf numFmtId="0" fontId="0" fillId="0" borderId="0" xfId="0" applyFont="1"/>
    <xf numFmtId="0" fontId="11" fillId="0" borderId="0" xfId="0" applyFont="1" applyAlignment="1">
      <alignment wrapText="1"/>
    </xf>
    <xf numFmtId="4" fontId="14" fillId="0" borderId="3" xfId="0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0" fontId="11" fillId="0" borderId="22" xfId="0" applyNumberFormat="1" applyFont="1" applyFill="1" applyBorder="1" applyAlignment="1" applyProtection="1">
      <alignment horizontal="left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4" fontId="17" fillId="0" borderId="0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left" vertical="center"/>
    </xf>
    <xf numFmtId="0" fontId="0" fillId="0" borderId="0" xfId="0" applyBorder="1" applyAlignment="1"/>
    <xf numFmtId="0" fontId="13" fillId="0" borderId="3" xfId="0" applyFont="1" applyFill="1" applyBorder="1" applyAlignment="1">
      <alignment horizontal="center" vertical="center" wrapText="1"/>
    </xf>
    <xf numFmtId="4" fontId="23" fillId="5" borderId="5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5" borderId="5" xfId="0" applyNumberFormat="1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4" fontId="23" fillId="3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64" fontId="11" fillId="0" borderId="5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4" fontId="23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1" fillId="0" borderId="1" xfId="0" applyFont="1" applyBorder="1" applyAlignment="1"/>
    <xf numFmtId="0" fontId="0" fillId="0" borderId="1" xfId="0" applyBorder="1" applyAlignment="1"/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/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4" fillId="0" borderId="1" xfId="0" applyFont="1" applyBorder="1" applyAlignment="1">
      <alignment wrapText="1"/>
    </xf>
    <xf numFmtId="0" fontId="13" fillId="0" borderId="10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3"/>
  <sheetViews>
    <sheetView zoomScale="90" zoomScaleNormal="90" workbookViewId="0">
      <selection activeCell="A3" sqref="A3:L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9.140625" hidden="1" customWidth="1"/>
    <col min="7" max="7" width="18" customWidth="1"/>
    <col min="8" max="8" width="18" hidden="1" customWidth="1"/>
    <col min="9" max="11" width="18" customWidth="1"/>
    <col min="12" max="12" width="18.28515625" customWidth="1"/>
  </cols>
  <sheetData>
    <row r="1" spans="1:12" ht="15.75">
      <c r="A1" s="20" t="s">
        <v>90</v>
      </c>
      <c r="I1" s="19"/>
    </row>
    <row r="2" spans="1:12" ht="15.75">
      <c r="A2" s="21" t="s">
        <v>64</v>
      </c>
    </row>
    <row r="3" spans="1:12" ht="15.75">
      <c r="A3" s="171" t="s">
        <v>155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1:12" ht="15.75">
      <c r="A5" s="171" t="s">
        <v>190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2" ht="15.75">
      <c r="A6" s="1"/>
      <c r="B6" s="105"/>
      <c r="C6" s="105"/>
      <c r="D6" s="105"/>
      <c r="E6" s="105"/>
      <c r="F6" s="105"/>
      <c r="G6" s="105"/>
      <c r="H6" s="105"/>
      <c r="L6" s="23">
        <v>42825</v>
      </c>
    </row>
    <row r="7" spans="1:12" ht="15.75">
      <c r="B7" s="106"/>
      <c r="C7" s="106"/>
      <c r="D7" s="106"/>
      <c r="E7" s="2"/>
      <c r="F7" s="2"/>
      <c r="G7" s="2"/>
      <c r="H7" s="2"/>
    </row>
    <row r="8" spans="1:12" ht="78.75" customHeight="1">
      <c r="A8" s="180" t="s">
        <v>192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</row>
    <row r="9" spans="1:12" ht="15.75">
      <c r="A9" s="3"/>
    </row>
    <row r="10" spans="1:12" ht="47.25" customHeight="1">
      <c r="A10" s="179" t="s">
        <v>149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</row>
    <row r="11" spans="1:12" ht="15.75">
      <c r="A11" s="3"/>
    </row>
    <row r="12" spans="1:12" ht="79.5" customHeight="1">
      <c r="A12" s="12" t="s">
        <v>0</v>
      </c>
      <c r="B12" s="12" t="s">
        <v>185</v>
      </c>
      <c r="C12" s="12" t="s">
        <v>2</v>
      </c>
      <c r="D12" s="12" t="s">
        <v>18</v>
      </c>
      <c r="E12" s="12" t="s">
        <v>19</v>
      </c>
      <c r="F12" s="12"/>
      <c r="G12" s="12" t="s">
        <v>22</v>
      </c>
      <c r="H12" s="12"/>
      <c r="I12" s="12" t="s">
        <v>186</v>
      </c>
      <c r="J12" s="12" t="s">
        <v>187</v>
      </c>
      <c r="K12" s="12" t="s">
        <v>188</v>
      </c>
      <c r="L12" s="12" t="s">
        <v>189</v>
      </c>
    </row>
    <row r="13" spans="1:12">
      <c r="A13" s="108">
        <v>1</v>
      </c>
      <c r="B13" s="108">
        <v>2</v>
      </c>
      <c r="C13" s="108">
        <v>3</v>
      </c>
      <c r="D13" s="109">
        <v>4</v>
      </c>
      <c r="E13" s="108">
        <v>5</v>
      </c>
      <c r="F13" s="108"/>
      <c r="G13" s="108">
        <v>5</v>
      </c>
      <c r="H13" s="108"/>
      <c r="I13" s="108">
        <v>6</v>
      </c>
      <c r="J13" s="108">
        <v>7</v>
      </c>
      <c r="K13" s="108">
        <v>8</v>
      </c>
      <c r="L13" s="108">
        <v>9</v>
      </c>
    </row>
    <row r="14" spans="1:12" ht="15" customHeight="1">
      <c r="A14" s="182" t="s">
        <v>61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4"/>
    </row>
    <row r="15" spans="1:12" ht="15" customHeight="1">
      <c r="A15" s="172" t="s">
        <v>4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4"/>
    </row>
    <row r="16" spans="1:12" ht="31.5" customHeight="1">
      <c r="A16" s="96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  <c r="J16" s="10">
        <f>F16/12*G16</f>
        <v>1056.7872640000001</v>
      </c>
      <c r="K16" s="10">
        <f>F16/12*G16</f>
        <v>1056.7872640000001</v>
      </c>
      <c r="L16" s="121">
        <f>SUM(I16:K16)</f>
        <v>3170.3617920000002</v>
      </c>
    </row>
    <row r="17" spans="1:12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  <c r="J17" s="10">
        <f>F17/12*G17</f>
        <v>2818.0993706666663</v>
      </c>
      <c r="K17" s="10">
        <f>F17/12*G17</f>
        <v>2818.0993706666663</v>
      </c>
      <c r="L17" s="121">
        <f t="shared" ref="L17:L27" si="1">SUM(I17:K17)</f>
        <v>8454.2981119999986</v>
      </c>
    </row>
    <row r="18" spans="1:12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  <c r="J18" s="10">
        <f>F18/12*G18</f>
        <v>2338.4481600000004</v>
      </c>
      <c r="K18" s="10">
        <f>F18/12*G18</f>
        <v>2338.4481600000004</v>
      </c>
      <c r="L18" s="121">
        <f t="shared" si="1"/>
        <v>7015.3444800000016</v>
      </c>
    </row>
    <row r="19" spans="1:12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v>0</v>
      </c>
      <c r="J19" s="10">
        <v>0</v>
      </c>
      <c r="K19" s="10">
        <v>0</v>
      </c>
      <c r="L19" s="121">
        <f t="shared" si="1"/>
        <v>0</v>
      </c>
    </row>
    <row r="20" spans="1:12" ht="15.75" customHeight="1">
      <c r="A20" s="22">
        <v>4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  <c r="J20" s="10">
        <f>F20/12*G20</f>
        <v>24.456599999999998</v>
      </c>
      <c r="K20" s="10">
        <f>F20/12*G20</f>
        <v>24.456599999999998</v>
      </c>
      <c r="L20" s="121">
        <f t="shared" si="1"/>
        <v>73.369799999999998</v>
      </c>
    </row>
    <row r="21" spans="1:12" ht="15.75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f>F21/6*G21</f>
        <v>6.2378100000000014</v>
      </c>
      <c r="J21" s="10">
        <v>0</v>
      </c>
      <c r="K21" s="10">
        <f>F21/6*G21</f>
        <v>6.2378100000000014</v>
      </c>
      <c r="L21" s="121">
        <f t="shared" si="1"/>
        <v>12.475620000000003</v>
      </c>
    </row>
    <row r="22" spans="1:12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v>0</v>
      </c>
      <c r="J22" s="10">
        <v>0</v>
      </c>
      <c r="K22" s="10">
        <v>0</v>
      </c>
      <c r="L22" s="121">
        <f t="shared" si="1"/>
        <v>0</v>
      </c>
    </row>
    <row r="23" spans="1:12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v>0</v>
      </c>
      <c r="J23" s="10">
        <v>0</v>
      </c>
      <c r="K23" s="10">
        <v>0</v>
      </c>
      <c r="L23" s="121">
        <f t="shared" si="1"/>
        <v>0</v>
      </c>
    </row>
    <row r="24" spans="1:12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v>0</v>
      </c>
      <c r="J24" s="10">
        <v>0</v>
      </c>
      <c r="K24" s="10">
        <v>0</v>
      </c>
      <c r="L24" s="121">
        <f t="shared" si="1"/>
        <v>0</v>
      </c>
    </row>
    <row r="25" spans="1:12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v>0</v>
      </c>
      <c r="J25" s="10">
        <v>0</v>
      </c>
      <c r="K25" s="10">
        <v>0</v>
      </c>
      <c r="L25" s="121">
        <f t="shared" si="1"/>
        <v>0</v>
      </c>
    </row>
    <row r="26" spans="1:12" ht="15.75" customHeight="1">
      <c r="A26" s="22">
        <v>6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 t="shared" ref="H26:H27" si="2">SUM(F26*G26/1000)</f>
        <v>5.737070000000001</v>
      </c>
      <c r="I26" s="10">
        <f>F26/12*G26</f>
        <v>478.08916666666664</v>
      </c>
      <c r="J26" s="10">
        <f>F26/12*G26</f>
        <v>478.08916666666664</v>
      </c>
      <c r="K26" s="10">
        <f>F26/12*G26</f>
        <v>478.08916666666664</v>
      </c>
      <c r="L26" s="121">
        <f t="shared" si="1"/>
        <v>1434.2674999999999</v>
      </c>
    </row>
    <row r="27" spans="1:12" ht="15.75" customHeight="1">
      <c r="A27" s="94">
        <v>7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 t="shared" si="2"/>
        <v>163.78560000000002</v>
      </c>
      <c r="I27" s="10">
        <f>F27/12*G27</f>
        <v>13648.8</v>
      </c>
      <c r="J27" s="10">
        <f>F27/12*G27</f>
        <v>13648.8</v>
      </c>
      <c r="K27" s="10">
        <f>F27/12*G27</f>
        <v>13648.8</v>
      </c>
      <c r="L27" s="121">
        <f t="shared" si="1"/>
        <v>40946.399999999994</v>
      </c>
    </row>
    <row r="28" spans="1:12" ht="15.75" customHeight="1">
      <c r="A28" s="172" t="s">
        <v>89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6"/>
    </row>
    <row r="29" spans="1:12" ht="15.75" hidden="1" customHeight="1">
      <c r="A29" s="96"/>
      <c r="B29" s="97" t="s">
        <v>27</v>
      </c>
      <c r="C29" s="98"/>
      <c r="D29" s="99"/>
      <c r="E29" s="100"/>
      <c r="F29" s="101"/>
      <c r="G29" s="101"/>
      <c r="H29" s="102"/>
      <c r="I29" s="103"/>
      <c r="J29" s="101"/>
      <c r="K29" s="102"/>
      <c r="L29" s="103"/>
    </row>
    <row r="30" spans="1:12" ht="31.5" hidden="1" customHeight="1">
      <c r="A30" s="22">
        <v>8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3">SUM(F30*G30/1000)</f>
        <v>1.080971892</v>
      </c>
      <c r="I30" s="10">
        <v>0</v>
      </c>
      <c r="J30" s="10">
        <v>0</v>
      </c>
      <c r="K30" s="10">
        <v>0</v>
      </c>
      <c r="L30" s="121">
        <f t="shared" ref="L30:L35" si="4">SUM(I30:K30)</f>
        <v>0</v>
      </c>
    </row>
    <row r="31" spans="1:12" ht="31.5" hidden="1" customHeight="1">
      <c r="A31" s="22">
        <v>9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3"/>
        <v>1.0523934719999999</v>
      </c>
      <c r="I31" s="10">
        <v>0</v>
      </c>
      <c r="J31" s="10">
        <v>0</v>
      </c>
      <c r="K31" s="10">
        <v>0</v>
      </c>
      <c r="L31" s="121">
        <f t="shared" si="4"/>
        <v>0</v>
      </c>
    </row>
    <row r="32" spans="1:12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3"/>
        <v>1.1979879792000001</v>
      </c>
      <c r="I32" s="10">
        <v>0</v>
      </c>
      <c r="J32" s="10">
        <v>0</v>
      </c>
      <c r="K32" s="10">
        <v>0</v>
      </c>
      <c r="L32" s="121">
        <f t="shared" si="4"/>
        <v>0</v>
      </c>
    </row>
    <row r="33" spans="1:12" ht="15.75" hidden="1" customHeight="1">
      <c r="A33" s="22">
        <v>10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 t="shared" si="3"/>
        <v>3.1309999999999998</v>
      </c>
      <c r="I33" s="10">
        <v>0</v>
      </c>
      <c r="J33" s="10">
        <v>0</v>
      </c>
      <c r="K33" s="10">
        <v>0</v>
      </c>
      <c r="L33" s="121">
        <f t="shared" si="4"/>
        <v>0</v>
      </c>
    </row>
    <row r="34" spans="1:12" ht="15.75" hidden="1" customHeight="1">
      <c r="A34" s="22"/>
      <c r="B34" s="69" t="s">
        <v>67</v>
      </c>
      <c r="C34" s="70" t="s">
        <v>32</v>
      </c>
      <c r="D34" s="69" t="s">
        <v>69</v>
      </c>
      <c r="E34" s="71"/>
      <c r="F34" s="72">
        <v>3</v>
      </c>
      <c r="G34" s="72">
        <v>204.32</v>
      </c>
      <c r="H34" s="73">
        <f t="shared" si="3"/>
        <v>0.61296000000000006</v>
      </c>
      <c r="I34" s="10">
        <v>0</v>
      </c>
      <c r="J34" s="10">
        <v>0</v>
      </c>
      <c r="K34" s="10">
        <v>0</v>
      </c>
      <c r="L34" s="121">
        <f t="shared" si="4"/>
        <v>0</v>
      </c>
    </row>
    <row r="35" spans="1:12" ht="15.75" hidden="1" customHeight="1">
      <c r="A35" s="22"/>
      <c r="B35" s="69" t="s">
        <v>68</v>
      </c>
      <c r="C35" s="70" t="s">
        <v>31</v>
      </c>
      <c r="D35" s="69" t="s">
        <v>69</v>
      </c>
      <c r="E35" s="71"/>
      <c r="F35" s="72">
        <v>2</v>
      </c>
      <c r="G35" s="72">
        <v>1214.73</v>
      </c>
      <c r="H35" s="73">
        <f t="shared" si="3"/>
        <v>2.4294600000000002</v>
      </c>
      <c r="I35" s="10">
        <v>0</v>
      </c>
      <c r="J35" s="10">
        <v>0</v>
      </c>
      <c r="K35" s="10">
        <v>0</v>
      </c>
      <c r="L35" s="121">
        <f t="shared" si="4"/>
        <v>0</v>
      </c>
    </row>
    <row r="36" spans="1:12" ht="15.75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  <c r="J36" s="112"/>
      <c r="K36" s="112"/>
      <c r="L36" s="112"/>
    </row>
    <row r="37" spans="1:12" ht="15.75" customHeight="1">
      <c r="A37" s="22">
        <v>8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  <c r="J37" s="10">
        <f>F37/6*G37</f>
        <v>2448.8999999999996</v>
      </c>
      <c r="K37" s="10">
        <f>F37/6*G37</f>
        <v>2448.8999999999996</v>
      </c>
      <c r="L37" s="121">
        <f t="shared" ref="L37:L55" si="5">SUM(I37:K37)</f>
        <v>7346.6999999999989</v>
      </c>
    </row>
    <row r="38" spans="1:12" ht="15.75" customHeight="1">
      <c r="A38" s="22">
        <v>9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6">SUM(F38*G38/1000)</f>
        <v>2.9313559799999998</v>
      </c>
      <c r="I38" s="10">
        <f>F38/6*G38</f>
        <v>488.55932999999993</v>
      </c>
      <c r="J38" s="10">
        <f>F38/6*G38</f>
        <v>488.55932999999993</v>
      </c>
      <c r="K38" s="10">
        <f>F38/6*G38</f>
        <v>488.55932999999993</v>
      </c>
      <c r="L38" s="121">
        <f t="shared" si="5"/>
        <v>1465.6779899999997</v>
      </c>
    </row>
    <row r="39" spans="1:12" ht="15.75" customHeight="1">
      <c r="A39" s="22">
        <v>10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6"/>
        <v>2.8361217999999999</v>
      </c>
      <c r="I39" s="10">
        <f>F39/6*G39</f>
        <v>472.68696666666665</v>
      </c>
      <c r="J39" s="10">
        <f>F39/6*G39</f>
        <v>472.68696666666665</v>
      </c>
      <c r="K39" s="10">
        <f>F39/6*G39</f>
        <v>472.68696666666665</v>
      </c>
      <c r="L39" s="121">
        <f t="shared" si="5"/>
        <v>1418.0608999999999</v>
      </c>
    </row>
    <row r="40" spans="1:12" ht="15.75" hidden="1" customHeight="1">
      <c r="A40" s="22"/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6"/>
        <v>23.452000000000002</v>
      </c>
      <c r="I40" s="10">
        <v>0</v>
      </c>
      <c r="J40" s="10">
        <v>0</v>
      </c>
      <c r="K40" s="10">
        <v>0</v>
      </c>
      <c r="L40" s="121">
        <f t="shared" si="5"/>
        <v>0</v>
      </c>
    </row>
    <row r="41" spans="1:12" ht="47.25" customHeight="1">
      <c r="A41" s="22">
        <v>11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6"/>
        <v>9.4386193649999992</v>
      </c>
      <c r="I41" s="10">
        <f>F41/6*G41</f>
        <v>1573.1032275</v>
      </c>
      <c r="J41" s="10">
        <f>F41/6*G41</f>
        <v>1573.1032275</v>
      </c>
      <c r="K41" s="10">
        <f>F41/6*G41</f>
        <v>1573.1032275</v>
      </c>
      <c r="L41" s="121">
        <f t="shared" si="5"/>
        <v>4719.3096825000002</v>
      </c>
    </row>
    <row r="42" spans="1:12" ht="15.75" customHeight="1">
      <c r="A42" s="22">
        <v>12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6"/>
        <v>0.89646442199999987</v>
      </c>
      <c r="I42" s="10">
        <f>F42/6*G42</f>
        <v>149.41073699999998</v>
      </c>
      <c r="J42" s="10">
        <f>F42/6*G42</f>
        <v>149.41073699999998</v>
      </c>
      <c r="K42" s="10">
        <f>F42/6*G42</f>
        <v>149.41073699999998</v>
      </c>
      <c r="L42" s="121">
        <f t="shared" si="5"/>
        <v>448.23221099999995</v>
      </c>
    </row>
    <row r="43" spans="1:12" ht="15.75" customHeight="1">
      <c r="A43" s="94">
        <v>13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6"/>
        <v>0.76775400000000005</v>
      </c>
      <c r="I43" s="10">
        <f>F43/6*G43</f>
        <v>127.95899999999999</v>
      </c>
      <c r="J43" s="10">
        <f>F43/6*G43</f>
        <v>127.95899999999999</v>
      </c>
      <c r="K43" s="10">
        <f>F43/6*G43</f>
        <v>127.95899999999999</v>
      </c>
      <c r="L43" s="121">
        <f t="shared" si="5"/>
        <v>383.87699999999995</v>
      </c>
    </row>
    <row r="44" spans="1:12" ht="15.75" customHeight="1">
      <c r="A44" s="172" t="s">
        <v>150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6"/>
    </row>
    <row r="45" spans="1:12" ht="15.75" hidden="1" customHeight="1">
      <c r="A45" s="96"/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7">SUM(F45*G45/1000)</f>
        <v>1.9206154680000005</v>
      </c>
      <c r="I45" s="10">
        <v>0</v>
      </c>
      <c r="J45" s="10">
        <v>0</v>
      </c>
      <c r="K45" s="10">
        <v>0</v>
      </c>
      <c r="L45" s="121">
        <f t="shared" si="5"/>
        <v>0</v>
      </c>
    </row>
    <row r="46" spans="1:12" ht="15.75" hidden="1" customHeight="1">
      <c r="A46" s="22"/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7"/>
        <v>0.13132552</v>
      </c>
      <c r="I46" s="10">
        <v>0</v>
      </c>
      <c r="J46" s="10">
        <v>0</v>
      </c>
      <c r="K46" s="10">
        <v>0</v>
      </c>
      <c r="L46" s="121">
        <f t="shared" si="5"/>
        <v>0</v>
      </c>
    </row>
    <row r="47" spans="1:12" ht="15.75" hidden="1" customHeight="1">
      <c r="A47" s="22"/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7"/>
        <v>1.9367726630000004</v>
      </c>
      <c r="I47" s="10">
        <v>0</v>
      </c>
      <c r="J47" s="10">
        <v>0</v>
      </c>
      <c r="K47" s="10">
        <v>0</v>
      </c>
      <c r="L47" s="121">
        <f t="shared" si="5"/>
        <v>0</v>
      </c>
    </row>
    <row r="48" spans="1:12" ht="15.75" hidden="1" customHeight="1">
      <c r="A48" s="22"/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7"/>
        <v>2.1010746879999997</v>
      </c>
      <c r="I48" s="10">
        <v>0</v>
      </c>
      <c r="J48" s="10">
        <v>0</v>
      </c>
      <c r="K48" s="10">
        <v>0</v>
      </c>
      <c r="L48" s="121">
        <f t="shared" si="5"/>
        <v>0</v>
      </c>
    </row>
    <row r="49" spans="1:12" ht="15.75" hidden="1" customHeight="1">
      <c r="A49" s="22"/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7"/>
        <v>0.13363571200000002</v>
      </c>
      <c r="I49" s="10">
        <v>0</v>
      </c>
      <c r="J49" s="10">
        <v>0</v>
      </c>
      <c r="K49" s="10">
        <v>0</v>
      </c>
      <c r="L49" s="121">
        <f t="shared" si="5"/>
        <v>0</v>
      </c>
    </row>
    <row r="50" spans="1:12" ht="15.75" customHeight="1">
      <c r="A50" s="22">
        <v>14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7"/>
        <v>5.7761391999999994</v>
      </c>
      <c r="I50" s="10">
        <f>F50/5*G50</f>
        <v>1155.22784</v>
      </c>
      <c r="J50" s="10">
        <f>F50/5*G50</f>
        <v>1155.22784</v>
      </c>
      <c r="K50" s="10">
        <v>0</v>
      </c>
      <c r="L50" s="121">
        <f t="shared" si="5"/>
        <v>2310.45568</v>
      </c>
    </row>
    <row r="51" spans="1:12" ht="31.5" hidden="1" customHeight="1">
      <c r="A51" s="22"/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7"/>
        <v>2.31045568</v>
      </c>
      <c r="I51" s="10">
        <v>0</v>
      </c>
      <c r="J51" s="10">
        <v>0</v>
      </c>
      <c r="K51" s="10">
        <v>0</v>
      </c>
      <c r="L51" s="121">
        <f t="shared" si="5"/>
        <v>0</v>
      </c>
    </row>
    <row r="52" spans="1:12" ht="31.5" hidden="1" customHeight="1">
      <c r="A52" s="22"/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7"/>
        <v>1.167556</v>
      </c>
      <c r="I52" s="10">
        <v>0</v>
      </c>
      <c r="J52" s="10">
        <v>0</v>
      </c>
      <c r="K52" s="10">
        <v>0</v>
      </c>
      <c r="L52" s="121">
        <f t="shared" si="5"/>
        <v>0</v>
      </c>
    </row>
    <row r="53" spans="1:12" ht="15.75" hidden="1" customHeight="1">
      <c r="A53" s="22"/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7"/>
        <v>0.1208424</v>
      </c>
      <c r="I53" s="10">
        <v>0</v>
      </c>
      <c r="J53" s="10">
        <v>0</v>
      </c>
      <c r="K53" s="10">
        <v>0</v>
      </c>
      <c r="L53" s="121">
        <f t="shared" si="5"/>
        <v>0</v>
      </c>
    </row>
    <row r="54" spans="1:12" ht="15.75" customHeight="1">
      <c r="A54" s="22">
        <v>15</v>
      </c>
      <c r="B54" s="69" t="s">
        <v>108</v>
      </c>
      <c r="C54" s="70" t="s">
        <v>102</v>
      </c>
      <c r="D54" s="69" t="s">
        <v>74</v>
      </c>
      <c r="E54" s="71">
        <v>62</v>
      </c>
      <c r="F54" s="72">
        <f>SUM(E54*4)</f>
        <v>248</v>
      </c>
      <c r="G54" s="10">
        <v>150.86000000000001</v>
      </c>
      <c r="H54" s="73">
        <f t="shared" si="7"/>
        <v>37.413280000000007</v>
      </c>
      <c r="I54" s="10">
        <f>E54*G54</f>
        <v>9353.3200000000015</v>
      </c>
      <c r="J54" s="10">
        <v>0</v>
      </c>
      <c r="K54" s="10">
        <v>0</v>
      </c>
      <c r="L54" s="121">
        <f t="shared" si="5"/>
        <v>9353.3200000000015</v>
      </c>
    </row>
    <row r="55" spans="1:12" ht="15.75" customHeight="1">
      <c r="A55" s="94">
        <v>16</v>
      </c>
      <c r="B55" s="69" t="s">
        <v>42</v>
      </c>
      <c r="C55" s="70" t="s">
        <v>102</v>
      </c>
      <c r="D55" s="69" t="s">
        <v>74</v>
      </c>
      <c r="E55" s="71">
        <v>124</v>
      </c>
      <c r="F55" s="72">
        <f>SUM(E55)*3</f>
        <v>372</v>
      </c>
      <c r="G55" s="10">
        <v>70.209999999999994</v>
      </c>
      <c r="H55" s="73">
        <f t="shared" si="7"/>
        <v>26.118119999999998</v>
      </c>
      <c r="I55" s="10">
        <f>E55*G55</f>
        <v>8706.0399999999991</v>
      </c>
      <c r="J55" s="10">
        <v>0</v>
      </c>
      <c r="K55" s="10">
        <v>0</v>
      </c>
      <c r="L55" s="121">
        <f t="shared" si="5"/>
        <v>8706.0399999999991</v>
      </c>
    </row>
    <row r="56" spans="1:12" ht="15.75" customHeight="1">
      <c r="A56" s="172" t="s">
        <v>151</v>
      </c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6"/>
    </row>
    <row r="57" spans="1:12" ht="15.75" customHeight="1">
      <c r="A57" s="96"/>
      <c r="B57" s="97" t="s">
        <v>44</v>
      </c>
      <c r="C57" s="98"/>
      <c r="D57" s="99"/>
      <c r="E57" s="100"/>
      <c r="F57" s="101"/>
      <c r="G57" s="101"/>
      <c r="H57" s="102"/>
      <c r="I57" s="10"/>
      <c r="J57" s="112"/>
      <c r="K57" s="112"/>
      <c r="L57" s="112"/>
    </row>
    <row r="58" spans="1:12" ht="31.5" customHeight="1">
      <c r="A58" s="22">
        <v>17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  <c r="J58" s="10">
        <f>F58/6*G58</f>
        <v>2099.6383759999999</v>
      </c>
      <c r="K58" s="10">
        <f>F58/6*G58</f>
        <v>2099.6383759999999</v>
      </c>
      <c r="L58" s="121">
        <f t="shared" ref="L58:L77" si="8">SUM(I58:K58)</f>
        <v>6298.9151279999996</v>
      </c>
    </row>
    <row r="59" spans="1:12" ht="31.5" customHeight="1">
      <c r="A59" s="22">
        <v>18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  <c r="J59" s="10">
        <f>F59/6*G59</f>
        <v>264.64639999999997</v>
      </c>
      <c r="K59" s="10">
        <f>F59/6*G59</f>
        <v>264.64639999999997</v>
      </c>
      <c r="L59" s="121">
        <f t="shared" si="8"/>
        <v>793.93919999999991</v>
      </c>
    </row>
    <row r="60" spans="1:12" ht="31.5" customHeight="1">
      <c r="A60" s="22">
        <v>19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  <c r="J60" s="10">
        <f>F60/6*G60</f>
        <v>164.57697999999999</v>
      </c>
      <c r="K60" s="10">
        <f>F60/6*G60</f>
        <v>164.57697999999999</v>
      </c>
      <c r="L60" s="121">
        <f t="shared" si="8"/>
        <v>493.73093999999998</v>
      </c>
    </row>
    <row r="61" spans="1:12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3"/>
      <c r="J61" s="103"/>
      <c r="K61" s="103"/>
      <c r="L61" s="103"/>
    </row>
    <row r="62" spans="1:12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  <c r="J62" s="10">
        <v>0</v>
      </c>
      <c r="K62" s="10">
        <v>0</v>
      </c>
      <c r="L62" s="121">
        <f t="shared" si="8"/>
        <v>0</v>
      </c>
    </row>
    <row r="63" spans="1:12" ht="15.75" hidden="1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  <c r="J63" s="10"/>
      <c r="K63" s="10"/>
      <c r="L63" s="10"/>
    </row>
    <row r="64" spans="1:12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71" si="9">SUM(F64*G64/1000)</f>
        <v>2.3774000000000002</v>
      </c>
      <c r="I64" s="10">
        <v>0</v>
      </c>
      <c r="J64" s="10">
        <v>0</v>
      </c>
      <c r="K64" s="10">
        <v>0</v>
      </c>
      <c r="L64" s="121">
        <f t="shared" si="8"/>
        <v>0</v>
      </c>
    </row>
    <row r="65" spans="1:12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9"/>
        <v>0.24453000000000003</v>
      </c>
      <c r="I65" s="10">
        <v>0</v>
      </c>
      <c r="J65" s="10">
        <v>0</v>
      </c>
      <c r="K65" s="10">
        <v>0</v>
      </c>
      <c r="L65" s="121">
        <f t="shared" si="8"/>
        <v>0</v>
      </c>
    </row>
    <row r="66" spans="1:12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9"/>
        <v>30.192552699999997</v>
      </c>
      <c r="I66" s="10">
        <v>0</v>
      </c>
      <c r="J66" s="10">
        <v>0</v>
      </c>
      <c r="K66" s="10">
        <v>0</v>
      </c>
      <c r="L66" s="121">
        <f t="shared" si="8"/>
        <v>0</v>
      </c>
    </row>
    <row r="67" spans="1:12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9"/>
        <v>2.3512089300000003</v>
      </c>
      <c r="I67" s="10">
        <v>0</v>
      </c>
      <c r="J67" s="10">
        <v>0</v>
      </c>
      <c r="K67" s="10">
        <v>0</v>
      </c>
      <c r="L67" s="121">
        <f t="shared" si="8"/>
        <v>0</v>
      </c>
    </row>
    <row r="68" spans="1:12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9"/>
        <v>48.436315200000003</v>
      </c>
      <c r="I68" s="10">
        <v>0</v>
      </c>
      <c r="J68" s="10">
        <v>0</v>
      </c>
      <c r="K68" s="10">
        <v>0</v>
      </c>
      <c r="L68" s="121">
        <f t="shared" si="8"/>
        <v>0</v>
      </c>
    </row>
    <row r="69" spans="1:12" ht="15.75" hidden="1" customHeight="1">
      <c r="A69" s="22"/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9"/>
        <v>0.49497199999999997</v>
      </c>
      <c r="I69" s="10">
        <v>0</v>
      </c>
      <c r="J69" s="10">
        <v>0</v>
      </c>
      <c r="K69" s="10">
        <v>0</v>
      </c>
      <c r="L69" s="121">
        <f t="shared" si="8"/>
        <v>0</v>
      </c>
    </row>
    <row r="70" spans="1:12" ht="15.75" hidden="1" customHeight="1">
      <c r="A70" s="22"/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9"/>
        <v>0.46179599999999998</v>
      </c>
      <c r="I70" s="10">
        <v>0</v>
      </c>
      <c r="J70" s="10">
        <v>0</v>
      </c>
      <c r="K70" s="10">
        <v>0</v>
      </c>
      <c r="L70" s="121">
        <f t="shared" si="8"/>
        <v>0</v>
      </c>
    </row>
    <row r="71" spans="1:12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9"/>
        <v>0.2666</v>
      </c>
      <c r="I71" s="10">
        <v>0</v>
      </c>
      <c r="J71" s="10">
        <v>0</v>
      </c>
      <c r="K71" s="10">
        <v>0</v>
      </c>
      <c r="L71" s="121">
        <f t="shared" si="8"/>
        <v>0</v>
      </c>
    </row>
    <row r="72" spans="1:12" ht="15.75" customHeight="1">
      <c r="A72" s="22"/>
      <c r="B72" s="104" t="s">
        <v>75</v>
      </c>
      <c r="C72" s="13"/>
      <c r="D72" s="11"/>
      <c r="E72" s="16"/>
      <c r="F72" s="10"/>
      <c r="G72" s="10"/>
      <c r="H72" s="68" t="s">
        <v>158</v>
      </c>
      <c r="I72" s="10"/>
      <c r="J72" s="10"/>
      <c r="K72" s="10"/>
      <c r="L72" s="10"/>
    </row>
    <row r="73" spans="1:12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ref="H73:H77" si="10">SUM(F73*G73/1000)</f>
        <v>1.6776199999999999</v>
      </c>
      <c r="I73" s="10">
        <v>0</v>
      </c>
      <c r="J73" s="10">
        <v>0</v>
      </c>
      <c r="K73" s="10">
        <v>0</v>
      </c>
      <c r="L73" s="121">
        <f t="shared" si="8"/>
        <v>0</v>
      </c>
    </row>
    <row r="74" spans="1:12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10"/>
        <v>1</v>
      </c>
      <c r="I74" s="10">
        <v>0</v>
      </c>
      <c r="J74" s="10">
        <v>0</v>
      </c>
      <c r="K74" s="10">
        <v>0</v>
      </c>
      <c r="L74" s="121">
        <f t="shared" si="8"/>
        <v>0</v>
      </c>
    </row>
    <row r="75" spans="1:12" ht="15.75" customHeight="1">
      <c r="A75" s="22">
        <v>20</v>
      </c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10"/>
        <v>0.10724600000000001</v>
      </c>
      <c r="I75" s="10">
        <v>0</v>
      </c>
      <c r="J75" s="10">
        <v>0</v>
      </c>
      <c r="K75" s="10">
        <f>G75*0.2</f>
        <v>107.24600000000001</v>
      </c>
      <c r="L75" s="121">
        <f t="shared" si="8"/>
        <v>107.24600000000001</v>
      </c>
    </row>
    <row r="76" spans="1:12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10"/>
        <v>0.91185000000000005</v>
      </c>
      <c r="I76" s="10">
        <v>0</v>
      </c>
      <c r="J76" s="10">
        <v>0</v>
      </c>
      <c r="K76" s="10">
        <v>0</v>
      </c>
      <c r="L76" s="121">
        <f t="shared" si="8"/>
        <v>0</v>
      </c>
    </row>
    <row r="77" spans="1:12" ht="15.75" hidden="1" customHeight="1">
      <c r="A77" s="22"/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10"/>
        <v>0.38324999999999998</v>
      </c>
      <c r="I77" s="10">
        <v>0</v>
      </c>
      <c r="J77" s="10">
        <v>0</v>
      </c>
      <c r="K77" s="10">
        <v>0</v>
      </c>
      <c r="L77" s="121">
        <f t="shared" si="8"/>
        <v>0</v>
      </c>
    </row>
    <row r="78" spans="1:12" ht="15.75" hidden="1" customHeight="1">
      <c r="A78" s="22"/>
      <c r="B78" s="11" t="s">
        <v>160</v>
      </c>
      <c r="C78" s="13" t="s">
        <v>161</v>
      </c>
      <c r="D78" s="11"/>
      <c r="E78" s="16"/>
      <c r="F78" s="10"/>
      <c r="G78" s="10">
        <v>31.54</v>
      </c>
      <c r="H78" s="68">
        <f t="shared" ref="H78" si="11">SUM(F78*G78/1000)</f>
        <v>0</v>
      </c>
      <c r="I78" s="10"/>
    </row>
    <row r="79" spans="1:12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  <c r="J79" s="10"/>
      <c r="K79" s="10"/>
      <c r="L79" s="10"/>
    </row>
    <row r="80" spans="1:12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ref="H80" si="12">SUM(F80*G80/1000)</f>
        <v>0.294985</v>
      </c>
      <c r="I80" s="10">
        <v>0</v>
      </c>
      <c r="J80" s="10">
        <v>0</v>
      </c>
      <c r="K80" s="10">
        <v>0</v>
      </c>
      <c r="L80" s="121">
        <f t="shared" ref="L80:L82" si="13">SUM(I80:K80)</f>
        <v>0</v>
      </c>
    </row>
    <row r="81" spans="1:12" ht="15.75" hidden="1" customHeight="1">
      <c r="A81" s="22"/>
      <c r="B81" s="104" t="s">
        <v>98</v>
      </c>
      <c r="C81" s="89"/>
      <c r="D81" s="24"/>
      <c r="E81" s="25"/>
      <c r="F81" s="75"/>
      <c r="G81" s="75"/>
      <c r="H81" s="90">
        <f>SUM(H58:H80)</f>
        <v>112.00861796600002</v>
      </c>
      <c r="I81" s="75"/>
      <c r="J81" s="75"/>
      <c r="K81" s="75"/>
      <c r="L81" s="75"/>
    </row>
    <row r="82" spans="1:12" ht="15.75" hidden="1" customHeight="1">
      <c r="A82" s="94"/>
      <c r="B82" s="69" t="s">
        <v>106</v>
      </c>
      <c r="C82" s="13"/>
      <c r="D82" s="11"/>
      <c r="E82" s="61"/>
      <c r="F82" s="10">
        <v>1</v>
      </c>
      <c r="G82" s="10">
        <v>20408</v>
      </c>
      <c r="H82" s="68">
        <f>G82*F82/1000</f>
        <v>20.408000000000001</v>
      </c>
      <c r="I82" s="10">
        <v>0</v>
      </c>
      <c r="J82" s="10">
        <v>0</v>
      </c>
      <c r="K82" s="10">
        <v>0</v>
      </c>
      <c r="L82" s="121">
        <f t="shared" si="13"/>
        <v>0</v>
      </c>
    </row>
    <row r="83" spans="1:12" ht="15.75" customHeight="1">
      <c r="A83" s="172" t="s">
        <v>152</v>
      </c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6"/>
    </row>
    <row r="84" spans="1:12" ht="15.75" customHeight="1">
      <c r="A84" s="96">
        <v>21</v>
      </c>
      <c r="B84" s="69" t="s">
        <v>107</v>
      </c>
      <c r="C84" s="13" t="s">
        <v>56</v>
      </c>
      <c r="D84" s="40" t="s">
        <v>57</v>
      </c>
      <c r="E84" s="10">
        <v>2820</v>
      </c>
      <c r="F84" s="10">
        <f>SUM(E84*12)</f>
        <v>33840</v>
      </c>
      <c r="G84" s="10">
        <v>2.54</v>
      </c>
      <c r="H84" s="68">
        <f>SUM(F84*G84/1000)</f>
        <v>85.953600000000009</v>
      </c>
      <c r="I84" s="10">
        <f>F84/12*G84</f>
        <v>7162.8</v>
      </c>
      <c r="J84" s="10">
        <f>F84/12*G84</f>
        <v>7162.8</v>
      </c>
      <c r="K84" s="10">
        <f>F84/12*G84</f>
        <v>7162.8</v>
      </c>
      <c r="L84" s="121">
        <f t="shared" ref="L84:L85" si="14">SUM(I84:K84)</f>
        <v>21488.400000000001</v>
      </c>
    </row>
    <row r="85" spans="1:12" ht="31.5" customHeight="1">
      <c r="A85" s="22">
        <v>22</v>
      </c>
      <c r="B85" s="11" t="s">
        <v>80</v>
      </c>
      <c r="C85" s="13"/>
      <c r="D85" s="40" t="s">
        <v>57</v>
      </c>
      <c r="E85" s="71">
        <v>2820</v>
      </c>
      <c r="F85" s="10">
        <f>E85*12</f>
        <v>33840</v>
      </c>
      <c r="G85" s="10">
        <v>2.0499999999999998</v>
      </c>
      <c r="H85" s="68">
        <f>F85*G85/1000</f>
        <v>69.372</v>
      </c>
      <c r="I85" s="10">
        <f>F85/12*G85</f>
        <v>5780.9999999999991</v>
      </c>
      <c r="J85" s="10">
        <f>F85/12*G85</f>
        <v>5780.9999999999991</v>
      </c>
      <c r="K85" s="10">
        <f>F85/12*G85</f>
        <v>5780.9999999999991</v>
      </c>
      <c r="L85" s="121">
        <f t="shared" si="14"/>
        <v>17342.999999999996</v>
      </c>
    </row>
    <row r="86" spans="1:12" ht="15.75" customHeight="1">
      <c r="A86" s="22"/>
      <c r="B86" s="29" t="s">
        <v>84</v>
      </c>
      <c r="C86" s="13"/>
      <c r="D86" s="40"/>
      <c r="E86" s="61"/>
      <c r="F86" s="10"/>
      <c r="G86" s="10"/>
      <c r="H86" s="68"/>
      <c r="I86" s="10"/>
      <c r="J86" s="112"/>
      <c r="K86" s="112"/>
      <c r="L86" s="122">
        <f>L16+L17+L18+L20+L21+L26+L27+L37+L38+L39+L41+L42+L43+L50+L54+L55+L58+L59+L60+L75+L84+L85</f>
        <v>143783.42203549994</v>
      </c>
    </row>
    <row r="87" spans="1:12" ht="15.75" customHeight="1">
      <c r="A87" s="183" t="s">
        <v>62</v>
      </c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5"/>
    </row>
    <row r="88" spans="1:12" ht="31.5" customHeight="1">
      <c r="A88" s="22">
        <v>23</v>
      </c>
      <c r="B88" s="43" t="s">
        <v>193</v>
      </c>
      <c r="C88" s="44" t="s">
        <v>85</v>
      </c>
      <c r="D88" s="37"/>
      <c r="E88" s="10"/>
      <c r="F88" s="10">
        <v>1</v>
      </c>
      <c r="G88" s="10">
        <v>1272</v>
      </c>
      <c r="H88" s="68">
        <f t="shared" ref="H88:H109" si="15">G88*F88/1000</f>
        <v>1.272</v>
      </c>
      <c r="I88" s="10">
        <f>G88</f>
        <v>1272</v>
      </c>
      <c r="J88" s="10">
        <v>0</v>
      </c>
      <c r="K88" s="10">
        <v>0</v>
      </c>
      <c r="L88" s="121">
        <f t="shared" ref="L88:L109" si="16">SUM(I88:K88)</f>
        <v>1272</v>
      </c>
    </row>
    <row r="89" spans="1:12" ht="31.5" customHeight="1">
      <c r="A89" s="22">
        <v>24</v>
      </c>
      <c r="B89" s="66" t="s">
        <v>194</v>
      </c>
      <c r="C89" s="22" t="s">
        <v>164</v>
      </c>
      <c r="D89" s="22"/>
      <c r="E89" s="16"/>
      <c r="F89" s="16">
        <v>1</v>
      </c>
      <c r="G89" s="16">
        <v>403.69</v>
      </c>
      <c r="H89" s="65">
        <f t="shared" si="15"/>
        <v>0.40368999999999999</v>
      </c>
      <c r="I89" s="10">
        <f>G89</f>
        <v>403.69</v>
      </c>
      <c r="J89" s="10">
        <v>0</v>
      </c>
      <c r="K89" s="10">
        <v>0</v>
      </c>
      <c r="L89" s="121">
        <f t="shared" si="16"/>
        <v>403.69</v>
      </c>
    </row>
    <row r="90" spans="1:12" ht="15.75" customHeight="1">
      <c r="A90" s="22">
        <v>25</v>
      </c>
      <c r="B90" s="41" t="s">
        <v>195</v>
      </c>
      <c r="C90" s="42" t="s">
        <v>110</v>
      </c>
      <c r="D90" s="22"/>
      <c r="E90" s="16"/>
      <c r="F90" s="16">
        <f>(3+3+3+3+3+3+3+3+15+20+15+20+10+10+20+15+10+20+3)/3</f>
        <v>60.666666666666664</v>
      </c>
      <c r="G90" s="16">
        <v>1120.8900000000001</v>
      </c>
      <c r="H90" s="65">
        <f t="shared" si="15"/>
        <v>68.000660000000011</v>
      </c>
      <c r="I90" s="10">
        <f>G90</f>
        <v>1120.8900000000001</v>
      </c>
      <c r="J90" s="10">
        <f>G90*7</f>
        <v>7846.2300000000005</v>
      </c>
      <c r="K90" s="10">
        <f>G90*((15+20+15+20)/3)</f>
        <v>26154.100000000002</v>
      </c>
      <c r="L90" s="121">
        <f t="shared" si="16"/>
        <v>35121.22</v>
      </c>
    </row>
    <row r="91" spans="1:12" ht="31.5" customHeight="1">
      <c r="A91" s="22">
        <v>26</v>
      </c>
      <c r="B91" s="43" t="s">
        <v>83</v>
      </c>
      <c r="C91" s="22" t="s">
        <v>30</v>
      </c>
      <c r="D91" s="22"/>
      <c r="E91" s="16"/>
      <c r="F91" s="16">
        <v>2</v>
      </c>
      <c r="G91" s="16">
        <v>83.36</v>
      </c>
      <c r="H91" s="65">
        <f t="shared" si="15"/>
        <v>0.16672000000000001</v>
      </c>
      <c r="I91" s="10">
        <f>G91</f>
        <v>83.36</v>
      </c>
      <c r="J91" s="10">
        <v>0</v>
      </c>
      <c r="K91" s="10">
        <v>0</v>
      </c>
      <c r="L91" s="121">
        <f t="shared" si="16"/>
        <v>83.36</v>
      </c>
    </row>
    <row r="92" spans="1:12" ht="15.75" customHeight="1">
      <c r="A92" s="22">
        <v>27</v>
      </c>
      <c r="B92" s="123" t="s">
        <v>142</v>
      </c>
      <c r="C92" s="22" t="s">
        <v>30</v>
      </c>
      <c r="D92" s="22"/>
      <c r="E92" s="16"/>
      <c r="F92" s="16">
        <v>11.5</v>
      </c>
      <c r="G92" s="16">
        <v>1582</v>
      </c>
      <c r="H92" s="65">
        <f t="shared" si="15"/>
        <v>18.193000000000001</v>
      </c>
      <c r="I92" s="10">
        <f>G92</f>
        <v>1582</v>
      </c>
      <c r="J92" s="10">
        <f>G92</f>
        <v>1582</v>
      </c>
      <c r="K92" s="10">
        <f>G92*(1+1.5)</f>
        <v>3955</v>
      </c>
      <c r="L92" s="121">
        <f t="shared" si="16"/>
        <v>7119</v>
      </c>
    </row>
    <row r="93" spans="1:12" ht="15.75" customHeight="1">
      <c r="A93" s="22">
        <v>28</v>
      </c>
      <c r="B93" s="67" t="s">
        <v>196</v>
      </c>
      <c r="C93" s="91" t="s">
        <v>102</v>
      </c>
      <c r="D93" s="22"/>
      <c r="E93" s="16"/>
      <c r="F93" s="16">
        <v>2</v>
      </c>
      <c r="G93" s="16">
        <v>126.82</v>
      </c>
      <c r="H93" s="65">
        <f t="shared" si="15"/>
        <v>0.25363999999999998</v>
      </c>
      <c r="I93" s="10">
        <v>0</v>
      </c>
      <c r="J93" s="10">
        <f>G93*2</f>
        <v>253.64</v>
      </c>
      <c r="K93" s="10">
        <v>0</v>
      </c>
      <c r="L93" s="121">
        <f t="shared" si="16"/>
        <v>253.64</v>
      </c>
    </row>
    <row r="94" spans="1:12" ht="31.5" customHeight="1">
      <c r="A94" s="22">
        <v>29</v>
      </c>
      <c r="B94" s="43" t="s">
        <v>197</v>
      </c>
      <c r="C94" s="44" t="s">
        <v>85</v>
      </c>
      <c r="D94" s="22"/>
      <c r="E94" s="16"/>
      <c r="F94" s="16">
        <v>20.2</v>
      </c>
      <c r="G94" s="16">
        <v>1183.51</v>
      </c>
      <c r="H94" s="65">
        <f t="shared" si="15"/>
        <v>23.906901999999999</v>
      </c>
      <c r="I94" s="10">
        <v>0</v>
      </c>
      <c r="J94" s="10">
        <v>0</v>
      </c>
      <c r="K94" s="10">
        <f>G94*0.2</f>
        <v>236.702</v>
      </c>
      <c r="L94" s="121">
        <f t="shared" si="16"/>
        <v>236.702</v>
      </c>
    </row>
    <row r="95" spans="1:12" ht="15.75" customHeight="1">
      <c r="A95" s="22">
        <v>30</v>
      </c>
      <c r="B95" s="43" t="s">
        <v>86</v>
      </c>
      <c r="C95" s="44" t="s">
        <v>102</v>
      </c>
      <c r="D95" s="22"/>
      <c r="E95" s="16"/>
      <c r="F95" s="16">
        <v>5</v>
      </c>
      <c r="G95" s="16">
        <v>189.88</v>
      </c>
      <c r="H95" s="65">
        <f>G95*F95/1000</f>
        <v>0.94940000000000002</v>
      </c>
      <c r="I95" s="10">
        <v>0</v>
      </c>
      <c r="J95" s="10">
        <v>0</v>
      </c>
      <c r="K95" s="10">
        <f>G95</f>
        <v>189.88</v>
      </c>
      <c r="L95" s="121">
        <f>SUM(I95:K95)</f>
        <v>189.88</v>
      </c>
    </row>
    <row r="96" spans="1:12" ht="31.5" customHeight="1">
      <c r="A96" s="22">
        <v>31</v>
      </c>
      <c r="B96" s="43" t="s">
        <v>198</v>
      </c>
      <c r="C96" s="44" t="s">
        <v>199</v>
      </c>
      <c r="D96" s="37"/>
      <c r="E96" s="10"/>
      <c r="F96" s="10">
        <v>4</v>
      </c>
      <c r="G96" s="10">
        <v>54.17</v>
      </c>
      <c r="H96" s="10">
        <f t="shared" si="15"/>
        <v>0.21668000000000001</v>
      </c>
      <c r="I96" s="10">
        <v>0</v>
      </c>
      <c r="J96" s="10">
        <v>0</v>
      </c>
      <c r="K96" s="10">
        <f>G96</f>
        <v>54.17</v>
      </c>
      <c r="L96" s="121">
        <f t="shared" si="16"/>
        <v>54.17</v>
      </c>
    </row>
    <row r="97" spans="1:12" ht="15.75" customHeight="1">
      <c r="A97" s="22">
        <v>32</v>
      </c>
      <c r="B97" s="43" t="s">
        <v>200</v>
      </c>
      <c r="C97" s="44" t="s">
        <v>201</v>
      </c>
      <c r="D97" s="37"/>
      <c r="E97" s="10"/>
      <c r="F97" s="10">
        <v>1</v>
      </c>
      <c r="G97" s="10">
        <v>7245.64</v>
      </c>
      <c r="H97" s="68">
        <f t="shared" si="15"/>
        <v>7.2456400000000007</v>
      </c>
      <c r="I97" s="10">
        <v>0</v>
      </c>
      <c r="J97" s="10">
        <v>0</v>
      </c>
      <c r="K97" s="10">
        <f>G97</f>
        <v>7245.64</v>
      </c>
      <c r="L97" s="121">
        <f t="shared" si="16"/>
        <v>7245.64</v>
      </c>
    </row>
    <row r="98" spans="1:12" ht="15.75" customHeight="1">
      <c r="A98" s="22">
        <v>33</v>
      </c>
      <c r="B98" s="43" t="s">
        <v>202</v>
      </c>
      <c r="C98" s="44" t="s">
        <v>203</v>
      </c>
      <c r="D98" s="37"/>
      <c r="E98" s="10"/>
      <c r="F98" s="10">
        <v>1</v>
      </c>
      <c r="G98" s="10">
        <v>88.14</v>
      </c>
      <c r="H98" s="68">
        <f t="shared" si="15"/>
        <v>8.8139999999999996E-2</v>
      </c>
      <c r="I98" s="10">
        <v>0</v>
      </c>
      <c r="J98" s="10">
        <v>0</v>
      </c>
      <c r="K98" s="10">
        <f>G98</f>
        <v>88.14</v>
      </c>
      <c r="L98" s="121">
        <f t="shared" si="16"/>
        <v>88.14</v>
      </c>
    </row>
    <row r="99" spans="1:12" ht="31.5" customHeight="1">
      <c r="A99" s="124">
        <v>34</v>
      </c>
      <c r="B99" s="43" t="s">
        <v>141</v>
      </c>
      <c r="C99" s="44" t="s">
        <v>38</v>
      </c>
      <c r="D99" s="37"/>
      <c r="E99" s="10"/>
      <c r="F99" s="10">
        <v>0.02</v>
      </c>
      <c r="G99" s="10">
        <v>3581.13</v>
      </c>
      <c r="H99" s="68">
        <f>G99*F99/1000</f>
        <v>7.1622600000000008E-2</v>
      </c>
      <c r="I99" s="10">
        <v>0</v>
      </c>
      <c r="J99" s="10">
        <v>0</v>
      </c>
      <c r="K99" s="10">
        <f>G99*0.01</f>
        <v>35.811300000000003</v>
      </c>
      <c r="L99" s="121">
        <f t="shared" si="16"/>
        <v>35.811300000000003</v>
      </c>
    </row>
    <row r="100" spans="1:12" ht="15.75" hidden="1" customHeight="1">
      <c r="A100" s="22"/>
      <c r="B100" s="66" t="s">
        <v>204</v>
      </c>
      <c r="C100" s="22" t="s">
        <v>102</v>
      </c>
      <c r="D100" s="37"/>
      <c r="E100" s="10"/>
      <c r="F100" s="10">
        <v>1.5</v>
      </c>
      <c r="G100" s="10">
        <v>470</v>
      </c>
      <c r="H100" s="68">
        <f t="shared" si="15"/>
        <v>0.70499999999999996</v>
      </c>
      <c r="I100" s="10">
        <v>0</v>
      </c>
      <c r="J100" s="10">
        <v>0</v>
      </c>
      <c r="K100" s="10">
        <v>0</v>
      </c>
      <c r="L100" s="121">
        <f t="shared" si="16"/>
        <v>0</v>
      </c>
    </row>
    <row r="101" spans="1:12" ht="31.5" hidden="1" customHeight="1">
      <c r="A101" s="22"/>
      <c r="B101" s="43" t="s">
        <v>205</v>
      </c>
      <c r="C101" s="44" t="s">
        <v>201</v>
      </c>
      <c r="D101" s="37"/>
      <c r="E101" s="10"/>
      <c r="F101" s="10">
        <v>1</v>
      </c>
      <c r="G101" s="10">
        <v>589.84</v>
      </c>
      <c r="H101" s="68">
        <f t="shared" si="15"/>
        <v>0.58984000000000003</v>
      </c>
      <c r="I101" s="10">
        <v>0</v>
      </c>
      <c r="J101" s="10">
        <v>0</v>
      </c>
      <c r="K101" s="10">
        <v>0</v>
      </c>
      <c r="L101" s="121">
        <f t="shared" si="16"/>
        <v>0</v>
      </c>
    </row>
    <row r="102" spans="1:12" ht="15.75" hidden="1" customHeight="1">
      <c r="A102" s="22"/>
      <c r="B102" s="67" t="s">
        <v>145</v>
      </c>
      <c r="C102" s="91" t="s">
        <v>88</v>
      </c>
      <c r="D102" s="22"/>
      <c r="E102" s="16"/>
      <c r="F102" s="16">
        <v>1</v>
      </c>
      <c r="G102" s="16">
        <v>195.85</v>
      </c>
      <c r="H102" s="68">
        <f t="shared" si="15"/>
        <v>0.19585</v>
      </c>
      <c r="I102" s="10">
        <v>0</v>
      </c>
      <c r="J102" s="10">
        <v>0</v>
      </c>
      <c r="K102" s="10">
        <v>0</v>
      </c>
      <c r="L102" s="121">
        <f t="shared" si="16"/>
        <v>0</v>
      </c>
    </row>
    <row r="103" spans="1:12" ht="15.75" hidden="1" customHeight="1">
      <c r="A103" s="22"/>
      <c r="B103" s="67" t="s">
        <v>206</v>
      </c>
      <c r="C103" s="91" t="s">
        <v>207</v>
      </c>
      <c r="D103" s="22"/>
      <c r="E103" s="16"/>
      <c r="F103" s="16">
        <v>1</v>
      </c>
      <c r="G103" s="16">
        <v>19499</v>
      </c>
      <c r="H103" s="68">
        <f t="shared" si="15"/>
        <v>19.498999999999999</v>
      </c>
      <c r="I103" s="10">
        <v>0</v>
      </c>
      <c r="J103" s="10">
        <v>0</v>
      </c>
      <c r="K103" s="10">
        <v>0</v>
      </c>
      <c r="L103" s="121">
        <f t="shared" si="16"/>
        <v>0</v>
      </c>
    </row>
    <row r="104" spans="1:12" ht="15.75" hidden="1" customHeight="1">
      <c r="A104" s="22"/>
      <c r="B104" s="43" t="s">
        <v>208</v>
      </c>
      <c r="C104" s="44" t="s">
        <v>201</v>
      </c>
      <c r="D104" s="22"/>
      <c r="E104" s="16"/>
      <c r="F104" s="16">
        <v>1</v>
      </c>
      <c r="G104" s="16">
        <v>520.51</v>
      </c>
      <c r="H104" s="68">
        <f t="shared" si="15"/>
        <v>0.52051000000000003</v>
      </c>
      <c r="I104" s="10">
        <v>0</v>
      </c>
      <c r="J104" s="10">
        <v>0</v>
      </c>
      <c r="K104" s="10">
        <v>0</v>
      </c>
      <c r="L104" s="121">
        <f t="shared" si="16"/>
        <v>0</v>
      </c>
    </row>
    <row r="105" spans="1:12" ht="15.75" hidden="1" customHeight="1">
      <c r="A105" s="22"/>
      <c r="B105" s="43" t="s">
        <v>170</v>
      </c>
      <c r="C105" s="44" t="s">
        <v>171</v>
      </c>
      <c r="D105" s="22"/>
      <c r="E105" s="16"/>
      <c r="F105" s="16">
        <v>2</v>
      </c>
      <c r="G105" s="16">
        <v>206.54</v>
      </c>
      <c r="H105" s="68">
        <f t="shared" si="15"/>
        <v>0.41308</v>
      </c>
      <c r="I105" s="10">
        <v>0</v>
      </c>
      <c r="J105" s="10">
        <v>0</v>
      </c>
      <c r="K105" s="10">
        <v>0</v>
      </c>
      <c r="L105" s="121">
        <f t="shared" si="16"/>
        <v>0</v>
      </c>
    </row>
    <row r="106" spans="1:12" ht="31.5" hidden="1" customHeight="1">
      <c r="A106" s="22"/>
      <c r="B106" s="43" t="s">
        <v>167</v>
      </c>
      <c r="C106" s="44" t="s">
        <v>85</v>
      </c>
      <c r="D106" s="37"/>
      <c r="E106" s="10"/>
      <c r="F106" s="10">
        <v>1</v>
      </c>
      <c r="G106" s="10">
        <v>1146</v>
      </c>
      <c r="H106" s="68">
        <f t="shared" si="15"/>
        <v>1.1459999999999999</v>
      </c>
      <c r="I106" s="10">
        <v>0</v>
      </c>
      <c r="J106" s="10">
        <v>0</v>
      </c>
      <c r="K106" s="10">
        <v>0</v>
      </c>
      <c r="L106" s="121">
        <f t="shared" si="16"/>
        <v>0</v>
      </c>
    </row>
    <row r="107" spans="1:12" ht="31.5" hidden="1" customHeight="1">
      <c r="A107" s="22"/>
      <c r="B107" s="43" t="s">
        <v>209</v>
      </c>
      <c r="C107" s="44" t="s">
        <v>28</v>
      </c>
      <c r="D107" s="37"/>
      <c r="E107" s="10"/>
      <c r="F107" s="14">
        <v>1E-3</v>
      </c>
      <c r="G107" s="10">
        <v>1591.6</v>
      </c>
      <c r="H107" s="68">
        <f t="shared" si="15"/>
        <v>1.5915999999999999E-3</v>
      </c>
      <c r="I107" s="10">
        <v>0</v>
      </c>
      <c r="J107" s="10">
        <v>0</v>
      </c>
      <c r="K107" s="10">
        <v>0</v>
      </c>
      <c r="L107" s="121">
        <f t="shared" si="16"/>
        <v>0</v>
      </c>
    </row>
    <row r="108" spans="1:12" ht="15.75" hidden="1" customHeight="1">
      <c r="A108" s="22"/>
      <c r="B108" s="66" t="s">
        <v>168</v>
      </c>
      <c r="C108" s="22" t="s">
        <v>102</v>
      </c>
      <c r="D108" s="37"/>
      <c r="E108" s="10"/>
      <c r="F108" s="10">
        <v>2</v>
      </c>
      <c r="G108" s="10">
        <v>185.08</v>
      </c>
      <c r="H108" s="68">
        <f t="shared" si="15"/>
        <v>0.37016000000000004</v>
      </c>
      <c r="I108" s="10">
        <v>0</v>
      </c>
      <c r="J108" s="10">
        <v>0</v>
      </c>
      <c r="K108" s="10">
        <v>0</v>
      </c>
      <c r="L108" s="121">
        <f t="shared" si="16"/>
        <v>0</v>
      </c>
    </row>
    <row r="109" spans="1:12" ht="31.5" hidden="1" customHeight="1">
      <c r="A109" s="22"/>
      <c r="B109" s="43" t="s">
        <v>210</v>
      </c>
      <c r="C109" s="44" t="s">
        <v>169</v>
      </c>
      <c r="D109" s="11"/>
      <c r="E109" s="16"/>
      <c r="F109" s="10">
        <f>(3)/10</f>
        <v>0.3</v>
      </c>
      <c r="G109" s="10">
        <v>5945.91</v>
      </c>
      <c r="H109" s="68">
        <f t="shared" si="15"/>
        <v>1.7837729999999998</v>
      </c>
      <c r="I109" s="95">
        <v>0</v>
      </c>
      <c r="J109" s="95">
        <v>0</v>
      </c>
      <c r="K109" s="95">
        <v>0</v>
      </c>
      <c r="L109" s="121">
        <f t="shared" si="16"/>
        <v>0</v>
      </c>
    </row>
    <row r="110" spans="1:12" ht="15.75" customHeight="1">
      <c r="A110" s="22"/>
      <c r="B110" s="29" t="s">
        <v>84</v>
      </c>
      <c r="C110" s="89"/>
      <c r="D110" s="88"/>
      <c r="E110" s="75"/>
      <c r="F110" s="75"/>
      <c r="G110" s="75"/>
      <c r="H110" s="75"/>
      <c r="I110" s="75"/>
      <c r="J110" s="75"/>
      <c r="K110" s="112"/>
      <c r="L110" s="75">
        <f>SUM(L88+L89+L90+L91+L92+L93+L94+L95+L96+L97+L98+L99)</f>
        <v>52103.253299999997</v>
      </c>
    </row>
    <row r="111" spans="1:12" ht="15.75" customHeight="1">
      <c r="A111" s="22"/>
      <c r="B111" s="37" t="s">
        <v>81</v>
      </c>
      <c r="C111" s="12"/>
      <c r="D111" s="12"/>
      <c r="E111" s="32"/>
      <c r="F111" s="32"/>
      <c r="G111" s="33"/>
      <c r="H111" s="33"/>
      <c r="I111" s="33"/>
      <c r="J111" s="33"/>
      <c r="K111" s="112"/>
      <c r="L111" s="15">
        <v>0</v>
      </c>
    </row>
    <row r="112" spans="1:12" ht="15.75" customHeight="1">
      <c r="A112" s="39"/>
      <c r="B112" s="36" t="s">
        <v>266</v>
      </c>
      <c r="C112" s="26"/>
      <c r="D112" s="26"/>
      <c r="E112" s="26"/>
      <c r="F112" s="26"/>
      <c r="G112" s="26"/>
      <c r="H112" s="26"/>
      <c r="I112" s="122">
        <f>I16+I17+I18+I20+I21+I26+I27+I37+I38+I39+I41+I42+I43+I50+I54+I55+I58+I59+I60+I75+I84+I85+I88+I89+I90+I91+I92+I93+I94+I95+I96+I97+I98+I99</f>
        <v>64780.727228500007</v>
      </c>
      <c r="J112" s="122">
        <f>J16+J17+J18+J20+J21+J26+J27+J37+J38+J39+J41+J42+J43+J50+J54+J55+J58+J59+J60+J75+J84+J85+J88+J89+J90+J91+J92+J93+J94+J95+J96+J97+J98+J99</f>
        <v>51935.059418500008</v>
      </c>
      <c r="K112" s="122">
        <f>K16+K17+K18+K20+K21+K26+K27+K37+K38+K39+K41+K42+K43+K50+K54+K55+K58+K59+K60+K75+K84+K85+K88+K89+K90+K91+K92+K93+K94+K95+K96+K97+K98+K99</f>
        <v>79170.88868850001</v>
      </c>
      <c r="L112" s="34">
        <f>L86+L110</f>
        <v>195886.67533549992</v>
      </c>
    </row>
    <row r="113" spans="1:12" ht="15.75" customHeight="1">
      <c r="A113" s="178" t="s">
        <v>216</v>
      </c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</row>
    <row r="114" spans="1:12" ht="15.75" customHeight="1">
      <c r="A114" s="113"/>
      <c r="B114" s="166" t="s">
        <v>217</v>
      </c>
      <c r="C114" s="166"/>
      <c r="D114" s="166"/>
      <c r="E114" s="166"/>
      <c r="F114" s="166"/>
      <c r="G114" s="166"/>
      <c r="H114" s="114"/>
      <c r="I114" s="114"/>
      <c r="J114" s="114"/>
      <c r="K114" s="114"/>
      <c r="L114" s="147"/>
    </row>
    <row r="115" spans="1:12" ht="15.75" customHeight="1">
      <c r="A115" s="111"/>
      <c r="B115" s="167" t="s">
        <v>6</v>
      </c>
      <c r="C115" s="167"/>
      <c r="D115" s="167"/>
      <c r="E115" s="167"/>
      <c r="F115" s="167"/>
      <c r="G115" s="167"/>
      <c r="H115" s="116"/>
      <c r="I115" s="116"/>
      <c r="J115" s="116"/>
      <c r="K115" s="116"/>
      <c r="L115" s="115"/>
    </row>
    <row r="116" spans="1:12" ht="15.75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</row>
    <row r="117" spans="1:12" ht="15.75" customHeight="1">
      <c r="A117" s="168" t="s">
        <v>7</v>
      </c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</row>
    <row r="118" spans="1:12" ht="15.75">
      <c r="A118" s="169" t="s">
        <v>8</v>
      </c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</row>
    <row r="119" spans="1:12" ht="15.75" customHeight="1">
      <c r="A119" s="164" t="s">
        <v>191</v>
      </c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</row>
    <row r="120" spans="1:12" ht="15.75">
      <c r="A120" s="8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ht="15.75">
      <c r="A121" s="170" t="s">
        <v>9</v>
      </c>
      <c r="B121" s="170"/>
      <c r="C121" s="170"/>
      <c r="D121" s="170"/>
      <c r="E121" s="170"/>
      <c r="F121" s="170"/>
      <c r="G121" s="170"/>
      <c r="H121" s="170"/>
      <c r="I121" s="170"/>
      <c r="J121" s="170"/>
      <c r="K121" s="170"/>
      <c r="L121" s="170"/>
    </row>
    <row r="122" spans="1:12" ht="15.75">
      <c r="A122" s="3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ht="15.75" customHeight="1">
      <c r="A123" s="164" t="s">
        <v>10</v>
      </c>
      <c r="B123" s="164"/>
      <c r="C123" s="177" t="s">
        <v>147</v>
      </c>
      <c r="D123" s="161"/>
      <c r="E123" s="161"/>
      <c r="F123" s="161"/>
      <c r="G123" s="161"/>
      <c r="H123" s="161"/>
      <c r="I123" s="161"/>
      <c r="J123" s="117"/>
      <c r="K123" s="160"/>
      <c r="L123" s="161"/>
    </row>
    <row r="124" spans="1:12" ht="15.75" customHeight="1">
      <c r="A124" s="118"/>
      <c r="B124" s="119"/>
      <c r="C124" s="162" t="s">
        <v>11</v>
      </c>
      <c r="D124" s="163"/>
      <c r="E124" s="163"/>
      <c r="F124" s="163"/>
      <c r="G124" s="163"/>
      <c r="H124" s="163"/>
      <c r="I124" s="163"/>
      <c r="K124" s="162" t="s">
        <v>12</v>
      </c>
      <c r="L124" s="163"/>
    </row>
    <row r="125" spans="1:12" ht="15.75" customHeight="1">
      <c r="A125" s="120"/>
      <c r="B125" s="119"/>
      <c r="F125" s="9"/>
      <c r="G125" s="9"/>
      <c r="I125" s="9"/>
      <c r="J125" s="9"/>
      <c r="K125" s="9"/>
    </row>
    <row r="126" spans="1:12" ht="15.75" customHeight="1">
      <c r="A126" s="164" t="s">
        <v>13</v>
      </c>
      <c r="B126" s="164"/>
      <c r="C126" s="161"/>
      <c r="D126" s="161"/>
      <c r="E126" s="161"/>
      <c r="F126" s="161"/>
      <c r="G126" s="161"/>
      <c r="H126" s="161"/>
      <c r="I126" s="161"/>
      <c r="K126" s="161"/>
      <c r="L126" s="161"/>
    </row>
    <row r="127" spans="1:12">
      <c r="A127" s="107"/>
      <c r="C127" s="162" t="s">
        <v>11</v>
      </c>
      <c r="D127" s="162"/>
      <c r="E127" s="162"/>
      <c r="F127" s="162"/>
      <c r="G127" s="162"/>
      <c r="H127" s="162"/>
      <c r="I127" s="162"/>
      <c r="K127" s="162" t="s">
        <v>12</v>
      </c>
      <c r="L127" s="163"/>
    </row>
    <row r="128" spans="1:12" ht="15.75">
      <c r="A128" s="3" t="s">
        <v>14</v>
      </c>
    </row>
    <row r="129" spans="1:12">
      <c r="A129" s="165" t="s">
        <v>15</v>
      </c>
      <c r="B129" s="165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</row>
    <row r="130" spans="1:12" ht="30" customHeight="1">
      <c r="A130" s="159" t="s">
        <v>16</v>
      </c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  <row r="131" spans="1:12" ht="30" customHeight="1">
      <c r="A131" s="159" t="s">
        <v>17</v>
      </c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</row>
    <row r="132" spans="1:12" ht="30" customHeight="1">
      <c r="A132" s="159" t="s">
        <v>21</v>
      </c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</row>
    <row r="133" spans="1:12" ht="15" customHeight="1">
      <c r="A133" s="159" t="s">
        <v>20</v>
      </c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</row>
  </sheetData>
  <mergeCells count="34">
    <mergeCell ref="A121:L121"/>
    <mergeCell ref="A3:L3"/>
    <mergeCell ref="A15:L15"/>
    <mergeCell ref="A28:L28"/>
    <mergeCell ref="A123:B123"/>
    <mergeCell ref="C123:I123"/>
    <mergeCell ref="A44:L44"/>
    <mergeCell ref="A56:L56"/>
    <mergeCell ref="A83:L83"/>
    <mergeCell ref="A113:L113"/>
    <mergeCell ref="A10:L10"/>
    <mergeCell ref="A8:L8"/>
    <mergeCell ref="A4:L4"/>
    <mergeCell ref="A5:L5"/>
    <mergeCell ref="A14:L14"/>
    <mergeCell ref="A87:L87"/>
    <mergeCell ref="B114:G114"/>
    <mergeCell ref="B115:G115"/>
    <mergeCell ref="A117:L117"/>
    <mergeCell ref="A118:L118"/>
    <mergeCell ref="A119:L119"/>
    <mergeCell ref="A132:L132"/>
    <mergeCell ref="A133:L133"/>
    <mergeCell ref="K123:L123"/>
    <mergeCell ref="C124:I124"/>
    <mergeCell ref="K124:L124"/>
    <mergeCell ref="A126:B126"/>
    <mergeCell ref="C126:I126"/>
    <mergeCell ref="K126:L126"/>
    <mergeCell ref="K127:L127"/>
    <mergeCell ref="A129:L129"/>
    <mergeCell ref="A130:L130"/>
    <mergeCell ref="A131:L131"/>
    <mergeCell ref="C127:I127"/>
  </mergeCells>
  <printOptions horizontalCentered="1"/>
  <pageMargins left="0.51181102362204722" right="0.31496062992125984" top="0.27559055118110237" bottom="0.27559055118110237" header="0.31496062992125984" footer="0.31496062992125984"/>
  <pageSetup paperSize="9" scale="5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5"/>
  <sheetViews>
    <sheetView topLeftCell="A89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179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282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56"/>
      <c r="C6" s="56"/>
      <c r="D6" s="56"/>
      <c r="E6" s="56"/>
      <c r="F6" s="56"/>
      <c r="G6" s="56"/>
      <c r="H6" s="56"/>
      <c r="I6" s="23">
        <v>42916</v>
      </c>
    </row>
    <row r="7" spans="1:9" ht="15.75">
      <c r="B7" s="58"/>
      <c r="C7" s="58"/>
      <c r="D7" s="58"/>
      <c r="E7" s="2"/>
      <c r="F7" s="2"/>
      <c r="G7" s="2"/>
      <c r="H7" s="2"/>
    </row>
    <row r="8" spans="1:9" ht="78.75" customHeight="1">
      <c r="A8" s="180" t="s">
        <v>148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31.5" customHeight="1">
      <c r="A16" s="22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</row>
    <row r="17" spans="1:9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</row>
    <row r="18" spans="1:9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</row>
    <row r="19" spans="1:9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v>0</v>
      </c>
    </row>
    <row r="20" spans="1:9" ht="15.75" customHeight="1">
      <c r="A20" s="22">
        <v>4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</row>
    <row r="21" spans="1:9" ht="15.75" hidden="1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f>F21/6*G21</f>
        <v>6.2378100000000014</v>
      </c>
    </row>
    <row r="22" spans="1:9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v>0</v>
      </c>
    </row>
    <row r="23" spans="1:9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v>0</v>
      </c>
    </row>
    <row r="24" spans="1:9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v>0</v>
      </c>
    </row>
    <row r="25" spans="1:9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v>0</v>
      </c>
    </row>
    <row r="26" spans="1:9" ht="15.75" customHeight="1">
      <c r="A26" s="22">
        <v>5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>SUM(F26*G26/1000)</f>
        <v>5.737070000000001</v>
      </c>
      <c r="I26" s="10">
        <f>F26/12*G26</f>
        <v>478.08916666666664</v>
      </c>
    </row>
    <row r="27" spans="1:9" ht="15.75" customHeight="1">
      <c r="A27" s="22">
        <v>6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>SUM(F27*G27/1000)</f>
        <v>163.78560000000002</v>
      </c>
      <c r="I27" s="10">
        <f>F27/12*G27</f>
        <v>13648.8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31.5" customHeight="1">
      <c r="A30" s="22">
        <v>7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1">SUM(F30*G30/1000)</f>
        <v>1.080971892</v>
      </c>
      <c r="I30" s="10">
        <f>F30/6*G30</f>
        <v>180.16198199999997</v>
      </c>
    </row>
    <row r="31" spans="1:9" ht="31.5" customHeight="1">
      <c r="A31" s="22">
        <v>8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1"/>
        <v>1.0523934719999999</v>
      </c>
      <c r="I31" s="10">
        <f t="shared" ref="I31:I33" si="2">F31/6*G31</f>
        <v>175.398912</v>
      </c>
    </row>
    <row r="32" spans="1:9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1"/>
        <v>1.1979879792000001</v>
      </c>
      <c r="I32" s="10">
        <f>F32*G32</f>
        <v>1197.9879792000002</v>
      </c>
    </row>
    <row r="33" spans="1:9" ht="15.75" customHeight="1">
      <c r="A33" s="22">
        <v>9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157</v>
      </c>
      <c r="E34" s="71"/>
      <c r="F34" s="72">
        <v>3</v>
      </c>
      <c r="G34" s="72">
        <v>204.32</v>
      </c>
      <c r="H34" s="73">
        <f t="shared" si="1"/>
        <v>0.61296000000000006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157</v>
      </c>
      <c r="E35" s="71"/>
      <c r="F35" s="72">
        <v>2</v>
      </c>
      <c r="G35" s="72">
        <v>1214.73</v>
      </c>
      <c r="H35" s="73">
        <f t="shared" si="1"/>
        <v>2.4294600000000002</v>
      </c>
      <c r="I35" s="10">
        <v>0</v>
      </c>
    </row>
    <row r="36" spans="1:9" ht="15.75" hidden="1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hidden="1" customHeight="1">
      <c r="A37" s="22">
        <v>8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</row>
    <row r="38" spans="1:9" ht="15.75" hidden="1" customHeight="1">
      <c r="A38" s="22">
        <v>9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3">SUM(F38*G38/1000)</f>
        <v>2.9313559799999998</v>
      </c>
      <c r="I38" s="10">
        <f>F38/6*G38</f>
        <v>488.55932999999993</v>
      </c>
    </row>
    <row r="39" spans="1:9" ht="15.75" hidden="1" customHeight="1">
      <c r="A39" s="22">
        <v>10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3"/>
        <v>2.8361217999999999</v>
      </c>
      <c r="I39" s="10">
        <f>F39/6*G39</f>
        <v>472.68696666666665</v>
      </c>
    </row>
    <row r="40" spans="1:9" ht="15.75" hidden="1" customHeight="1">
      <c r="A40" s="22"/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3"/>
        <v>23.452000000000002</v>
      </c>
      <c r="I40" s="10">
        <v>0</v>
      </c>
    </row>
    <row r="41" spans="1:9" ht="47.25" hidden="1" customHeight="1">
      <c r="A41" s="22">
        <v>11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3"/>
        <v>9.4386193649999992</v>
      </c>
      <c r="I41" s="10">
        <f>F41/6*G41</f>
        <v>1573.1032275</v>
      </c>
    </row>
    <row r="42" spans="1:9" ht="15.75" hidden="1" customHeight="1">
      <c r="A42" s="22">
        <v>12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3"/>
        <v>0.89646442199999987</v>
      </c>
      <c r="I42" s="10">
        <f>F42/6*G42</f>
        <v>149.41073699999998</v>
      </c>
    </row>
    <row r="43" spans="1:9" ht="15.75" hidden="1" customHeight="1">
      <c r="A43" s="22">
        <v>13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3"/>
        <v>0.76775400000000005</v>
      </c>
      <c r="I43" s="10">
        <f>F43/6*G43</f>
        <v>127.95899999999999</v>
      </c>
    </row>
    <row r="44" spans="1:9" ht="15.75" hidden="1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hidden="1" customHeight="1">
      <c r="A45" s="22"/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4">SUM(F45*G45/1000)</f>
        <v>1.9206154680000005</v>
      </c>
      <c r="I45" s="10">
        <v>0</v>
      </c>
    </row>
    <row r="46" spans="1:9" ht="15.75" hidden="1" customHeight="1">
      <c r="A46" s="22"/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4"/>
        <v>0.13132552</v>
      </c>
      <c r="I46" s="10">
        <v>0</v>
      </c>
    </row>
    <row r="47" spans="1:9" ht="15.75" hidden="1" customHeight="1">
      <c r="A47" s="22"/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4"/>
        <v>1.9367726630000004</v>
      </c>
      <c r="I47" s="10">
        <v>0</v>
      </c>
    </row>
    <row r="48" spans="1:9" ht="15.75" hidden="1" customHeight="1">
      <c r="A48" s="22"/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4"/>
        <v>2.1010746879999997</v>
      </c>
      <c r="I48" s="10">
        <v>0</v>
      </c>
    </row>
    <row r="49" spans="1:9" ht="15.75" hidden="1" customHeight="1">
      <c r="A49" s="22"/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4"/>
        <v>0.13363571200000002</v>
      </c>
      <c r="I49" s="10">
        <v>0</v>
      </c>
    </row>
    <row r="50" spans="1:9" ht="15.75" hidden="1" customHeight="1">
      <c r="A50" s="22">
        <v>14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4"/>
        <v>5.7761391999999994</v>
      </c>
      <c r="I50" s="10">
        <f>F50/5*G50</f>
        <v>1155.22784</v>
      </c>
    </row>
    <row r="51" spans="1:9" ht="31.5" hidden="1" customHeight="1">
      <c r="A51" s="22"/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4"/>
        <v>2.31045568</v>
      </c>
      <c r="I51" s="10">
        <v>0</v>
      </c>
    </row>
    <row r="52" spans="1:9" ht="31.5" hidden="1" customHeight="1">
      <c r="A52" s="22"/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4"/>
        <v>1.167556</v>
      </c>
      <c r="I52" s="10">
        <v>0</v>
      </c>
    </row>
    <row r="53" spans="1:9" ht="15.75" hidden="1" customHeight="1">
      <c r="A53" s="22"/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4"/>
        <v>0.1208424</v>
      </c>
      <c r="I53" s="10">
        <v>0</v>
      </c>
    </row>
    <row r="54" spans="1:9" ht="15.75" hidden="1" customHeight="1">
      <c r="A54" s="22">
        <v>15</v>
      </c>
      <c r="B54" s="69" t="s">
        <v>108</v>
      </c>
      <c r="C54" s="70" t="s">
        <v>102</v>
      </c>
      <c r="D54" s="69" t="s">
        <v>41</v>
      </c>
      <c r="E54" s="71">
        <v>62</v>
      </c>
      <c r="F54" s="72">
        <f>SUM(E54*4)</f>
        <v>248</v>
      </c>
      <c r="G54" s="10">
        <v>150.86000000000001</v>
      </c>
      <c r="H54" s="73">
        <f t="shared" si="4"/>
        <v>37.413280000000007</v>
      </c>
      <c r="I54" s="10">
        <f>E54*G54</f>
        <v>9353.3200000000015</v>
      </c>
    </row>
    <row r="55" spans="1:9" ht="15.75" hidden="1" customHeight="1">
      <c r="A55" s="22">
        <v>16</v>
      </c>
      <c r="B55" s="69" t="s">
        <v>42</v>
      </c>
      <c r="C55" s="70" t="s">
        <v>102</v>
      </c>
      <c r="D55" s="69" t="s">
        <v>74</v>
      </c>
      <c r="E55" s="71">
        <v>124</v>
      </c>
      <c r="F55" s="72">
        <f>SUM(E55)*3</f>
        <v>372</v>
      </c>
      <c r="G55" s="10">
        <v>70.209999999999994</v>
      </c>
      <c r="H55" s="73">
        <f t="shared" si="4"/>
        <v>26.118119999999998</v>
      </c>
      <c r="I55" s="10">
        <f>E55*G55</f>
        <v>8706.0399999999991</v>
      </c>
    </row>
    <row r="56" spans="1:9" ht="15.75" hidden="1" customHeight="1">
      <c r="A56" s="190" t="s">
        <v>151</v>
      </c>
      <c r="B56" s="191"/>
      <c r="C56" s="191"/>
      <c r="D56" s="191"/>
      <c r="E56" s="191"/>
      <c r="F56" s="191"/>
      <c r="G56" s="191"/>
      <c r="H56" s="191"/>
      <c r="I56" s="192"/>
    </row>
    <row r="57" spans="1:9" ht="15.75" hidden="1" customHeight="1">
      <c r="A57" s="22"/>
      <c r="B57" s="92" t="s">
        <v>44</v>
      </c>
      <c r="C57" s="70"/>
      <c r="D57" s="69"/>
      <c r="E57" s="71"/>
      <c r="F57" s="72"/>
      <c r="G57" s="72"/>
      <c r="H57" s="73"/>
      <c r="I57" s="10"/>
    </row>
    <row r="58" spans="1:9" ht="31.5" hidden="1" customHeight="1">
      <c r="A58" s="22">
        <v>17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</row>
    <row r="59" spans="1:9" ht="31.5" hidden="1" customHeight="1">
      <c r="A59" s="22">
        <v>18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</row>
    <row r="60" spans="1:9" ht="31.5" hidden="1" customHeight="1">
      <c r="A60" s="22">
        <v>19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</row>
    <row r="61" spans="1:9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"/>
    </row>
    <row r="62" spans="1:9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</row>
    <row r="63" spans="1:9" ht="15.75" hidden="1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80" si="5">SUM(F64*G64/1000)</f>
        <v>2.3774000000000002</v>
      </c>
      <c r="I64" s="10">
        <v>0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5"/>
        <v>0.24453000000000003</v>
      </c>
      <c r="I65" s="10">
        <v>0</v>
      </c>
    </row>
    <row r="66" spans="1:9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5"/>
        <v>30.192552699999997</v>
      </c>
      <c r="I66" s="10">
        <v>0</v>
      </c>
    </row>
    <row r="67" spans="1:9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5"/>
        <v>2.3512089300000003</v>
      </c>
      <c r="I67" s="10">
        <v>0</v>
      </c>
    </row>
    <row r="68" spans="1:9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5"/>
        <v>48.436315200000003</v>
      </c>
      <c r="I68" s="10">
        <v>0</v>
      </c>
    </row>
    <row r="69" spans="1:9" ht="15.75" hidden="1" customHeight="1">
      <c r="A69" s="22"/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5"/>
        <v>0.49497199999999997</v>
      </c>
      <c r="I69" s="10">
        <v>0</v>
      </c>
    </row>
    <row r="70" spans="1:9" ht="15.75" hidden="1" customHeight="1">
      <c r="A70" s="22"/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5"/>
        <v>0.46179599999999998</v>
      </c>
      <c r="I70" s="10">
        <v>0</v>
      </c>
    </row>
    <row r="71" spans="1:9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5"/>
        <v>0.2666</v>
      </c>
      <c r="I71" s="10">
        <v>0</v>
      </c>
    </row>
    <row r="72" spans="1:9" ht="15.75" hidden="1" customHeight="1">
      <c r="A72" s="22"/>
      <c r="B72" s="54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si="5"/>
        <v>1.6776199999999999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5"/>
        <v>1</v>
      </c>
      <c r="I74" s="10">
        <v>0</v>
      </c>
    </row>
    <row r="75" spans="1:9" ht="15.75" hidden="1" customHeight="1">
      <c r="A75" s="22"/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5"/>
        <v>0.10724600000000001</v>
      </c>
      <c r="I75" s="10">
        <v>0</v>
      </c>
    </row>
    <row r="76" spans="1:9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5"/>
        <v>0.91185000000000005</v>
      </c>
      <c r="I76" s="10">
        <v>0</v>
      </c>
    </row>
    <row r="77" spans="1:9" ht="15.75" hidden="1" customHeight="1">
      <c r="A77" s="22"/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5"/>
        <v>0.38324999999999998</v>
      </c>
      <c r="I77" s="10">
        <v>0</v>
      </c>
    </row>
    <row r="78" spans="1:9" ht="15.75" hidden="1" customHeight="1">
      <c r="A78" s="22"/>
      <c r="B78" s="11" t="s">
        <v>160</v>
      </c>
      <c r="C78" s="13" t="s">
        <v>161</v>
      </c>
      <c r="D78" s="11"/>
      <c r="E78" s="16"/>
      <c r="F78" s="10"/>
      <c r="G78" s="10">
        <v>31.54</v>
      </c>
      <c r="H78" s="68">
        <f t="shared" si="5"/>
        <v>0</v>
      </c>
      <c r="I78" s="10"/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si="5"/>
        <v>0.294985</v>
      </c>
      <c r="I80" s="10">
        <v>0</v>
      </c>
    </row>
    <row r="81" spans="1:9" ht="15.75" hidden="1" customHeight="1">
      <c r="A81" s="22"/>
      <c r="B81" s="54" t="s">
        <v>98</v>
      </c>
      <c r="C81" s="89"/>
      <c r="D81" s="24"/>
      <c r="E81" s="25"/>
      <c r="F81" s="75"/>
      <c r="G81" s="75"/>
      <c r="H81" s="90">
        <f>SUM(H58:H80)</f>
        <v>112.00861796600002</v>
      </c>
      <c r="I81" s="75"/>
    </row>
    <row r="82" spans="1:9" ht="15.75" hidden="1" customHeight="1">
      <c r="A82" s="22"/>
      <c r="B82" s="69" t="s">
        <v>106</v>
      </c>
      <c r="C82" s="13"/>
      <c r="D82" s="11"/>
      <c r="E82" s="61"/>
      <c r="F82" s="10">
        <v>1</v>
      </c>
      <c r="G82" s="10">
        <v>18972</v>
      </c>
      <c r="H82" s="68">
        <f>G82*F82/1000</f>
        <v>18.972000000000001</v>
      </c>
      <c r="I82" s="10">
        <v>0</v>
      </c>
    </row>
    <row r="83" spans="1:9" ht="15.75" customHeight="1">
      <c r="A83" s="190" t="s">
        <v>180</v>
      </c>
      <c r="B83" s="191"/>
      <c r="C83" s="191"/>
      <c r="D83" s="191"/>
      <c r="E83" s="191"/>
      <c r="F83" s="191"/>
      <c r="G83" s="191"/>
      <c r="H83" s="191"/>
      <c r="I83" s="192"/>
    </row>
    <row r="84" spans="1:9" ht="15.75" customHeight="1">
      <c r="A84" s="22">
        <v>10</v>
      </c>
      <c r="B84" s="69" t="s">
        <v>107</v>
      </c>
      <c r="C84" s="13" t="s">
        <v>56</v>
      </c>
      <c r="D84" s="40" t="s">
        <v>57</v>
      </c>
      <c r="E84" s="10">
        <v>2820</v>
      </c>
      <c r="F84" s="10">
        <f>SUM(E84*12)</f>
        <v>33840</v>
      </c>
      <c r="G84" s="10">
        <v>2.54</v>
      </c>
      <c r="H84" s="68">
        <f>SUM(F84*G84/1000)</f>
        <v>85.953600000000009</v>
      </c>
      <c r="I84" s="10">
        <f>F84/12*G84</f>
        <v>7162.8</v>
      </c>
    </row>
    <row r="85" spans="1:9" ht="31.5" customHeight="1">
      <c r="A85" s="22">
        <v>11</v>
      </c>
      <c r="B85" s="11" t="s">
        <v>80</v>
      </c>
      <c r="C85" s="13"/>
      <c r="D85" s="40" t="s">
        <v>57</v>
      </c>
      <c r="E85" s="71">
        <f>E84</f>
        <v>2820</v>
      </c>
      <c r="F85" s="10">
        <f>E85*12</f>
        <v>33840</v>
      </c>
      <c r="G85" s="10">
        <v>2.0499999999999998</v>
      </c>
      <c r="H85" s="68">
        <f>F85*G85/1000</f>
        <v>69.372</v>
      </c>
      <c r="I85" s="10">
        <f>F85/12*G85</f>
        <v>5780.9999999999991</v>
      </c>
    </row>
    <row r="86" spans="1:9" ht="15.75" customHeight="1">
      <c r="A86" s="22"/>
      <c r="B86" s="29" t="s">
        <v>84</v>
      </c>
      <c r="C86" s="89"/>
      <c r="D86" s="88"/>
      <c r="E86" s="75"/>
      <c r="F86" s="75"/>
      <c r="G86" s="75"/>
      <c r="H86" s="90">
        <f>SUM(H85)</f>
        <v>69.372</v>
      </c>
      <c r="I86" s="75">
        <f>I16+I17+I18+I20+I26+I27+I30+I31+I33+I84+I85</f>
        <v>34185.874788666668</v>
      </c>
    </row>
    <row r="87" spans="1:9" ht="15.75" customHeight="1">
      <c r="A87" s="194" t="s">
        <v>62</v>
      </c>
      <c r="B87" s="195"/>
      <c r="C87" s="195"/>
      <c r="D87" s="195"/>
      <c r="E87" s="195"/>
      <c r="F87" s="195"/>
      <c r="G87" s="195"/>
      <c r="H87" s="195"/>
      <c r="I87" s="196"/>
    </row>
    <row r="88" spans="1:9" ht="15.75" customHeight="1">
      <c r="A88" s="22">
        <v>12</v>
      </c>
      <c r="B88" s="41" t="s">
        <v>195</v>
      </c>
      <c r="C88" s="42" t="s">
        <v>110</v>
      </c>
      <c r="D88" s="30"/>
      <c r="E88" s="15"/>
      <c r="F88" s="137">
        <f>(3+3+3+3+3+3+3+3+15+20+15+20+10+10+20+15+10+20+3)/3</f>
        <v>60.666666666666664</v>
      </c>
      <c r="G88" s="15">
        <v>1120.8900000000001</v>
      </c>
      <c r="H88" s="136">
        <f t="shared" ref="H88:H91" si="6">G88*F88/1000</f>
        <v>68.000660000000011</v>
      </c>
      <c r="I88" s="10">
        <f>G88*((15+10+20)/3)</f>
        <v>16813.350000000002</v>
      </c>
    </row>
    <row r="89" spans="1:9" ht="31.5" customHeight="1">
      <c r="A89" s="22">
        <v>13</v>
      </c>
      <c r="B89" s="43" t="s">
        <v>198</v>
      </c>
      <c r="C89" s="44" t="s">
        <v>199</v>
      </c>
      <c r="D89" s="141"/>
      <c r="E89" s="27"/>
      <c r="F89" s="27">
        <v>4</v>
      </c>
      <c r="G89" s="27">
        <v>54.17</v>
      </c>
      <c r="H89" s="27">
        <f t="shared" si="6"/>
        <v>0.21668000000000001</v>
      </c>
      <c r="I89" s="10">
        <f>G89</f>
        <v>54.17</v>
      </c>
    </row>
    <row r="90" spans="1:9" ht="15.75" customHeight="1">
      <c r="A90" s="22">
        <v>14</v>
      </c>
      <c r="B90" s="66" t="s">
        <v>204</v>
      </c>
      <c r="C90" s="22" t="s">
        <v>102</v>
      </c>
      <c r="D90" s="37"/>
      <c r="E90" s="10"/>
      <c r="F90" s="10">
        <v>1.5</v>
      </c>
      <c r="G90" s="10">
        <v>470</v>
      </c>
      <c r="H90" s="140">
        <f t="shared" si="6"/>
        <v>0.70499999999999996</v>
      </c>
      <c r="I90" s="10">
        <f>G90*0.5</f>
        <v>235</v>
      </c>
    </row>
    <row r="91" spans="1:9" ht="15.75" customHeight="1">
      <c r="A91" s="22">
        <v>15</v>
      </c>
      <c r="B91" s="67" t="s">
        <v>206</v>
      </c>
      <c r="C91" s="91" t="s">
        <v>207</v>
      </c>
      <c r="D91" s="30"/>
      <c r="E91" s="15"/>
      <c r="F91" s="137">
        <v>1</v>
      </c>
      <c r="G91" s="15">
        <v>19499</v>
      </c>
      <c r="H91" s="68">
        <f t="shared" si="6"/>
        <v>19.498999999999999</v>
      </c>
      <c r="I91" s="10">
        <f>G91</f>
        <v>19499</v>
      </c>
    </row>
    <row r="92" spans="1:9">
      <c r="A92" s="22"/>
      <c r="B92" s="35" t="s">
        <v>53</v>
      </c>
      <c r="C92" s="31"/>
      <c r="D92" s="38"/>
      <c r="E92" s="31">
        <v>1</v>
      </c>
      <c r="F92" s="31"/>
      <c r="G92" s="31"/>
      <c r="H92" s="31"/>
      <c r="I92" s="25">
        <f>SUM(I88:I91)</f>
        <v>36601.520000000004</v>
      </c>
    </row>
    <row r="93" spans="1:9" ht="15.75" customHeight="1">
      <c r="A93" s="22"/>
      <c r="B93" s="37" t="s">
        <v>81</v>
      </c>
      <c r="C93" s="12"/>
      <c r="D93" s="12"/>
      <c r="E93" s="32"/>
      <c r="F93" s="32"/>
      <c r="G93" s="33"/>
      <c r="H93" s="33"/>
      <c r="I93" s="15">
        <v>0</v>
      </c>
    </row>
    <row r="94" spans="1:9" ht="15.75" customHeight="1">
      <c r="A94" s="39"/>
      <c r="B94" s="36" t="s">
        <v>270</v>
      </c>
      <c r="C94" s="26"/>
      <c r="D94" s="26"/>
      <c r="E94" s="26"/>
      <c r="F94" s="26"/>
      <c r="G94" s="26"/>
      <c r="H94" s="26"/>
      <c r="I94" s="34">
        <f>I86+I92</f>
        <v>70787.394788666672</v>
      </c>
    </row>
    <row r="95" spans="1:9" ht="15.75" customHeight="1">
      <c r="A95" s="193" t="s">
        <v>283</v>
      </c>
      <c r="B95" s="193"/>
      <c r="C95" s="193"/>
      <c r="D95" s="193"/>
      <c r="E95" s="193"/>
      <c r="F95" s="193"/>
      <c r="G95" s="193"/>
      <c r="H95" s="193"/>
      <c r="I95" s="193"/>
    </row>
    <row r="96" spans="1:9" ht="15.75" customHeight="1">
      <c r="A96" s="53"/>
      <c r="B96" s="199" t="s">
        <v>284</v>
      </c>
      <c r="C96" s="199"/>
      <c r="D96" s="199"/>
      <c r="E96" s="199"/>
      <c r="F96" s="199"/>
      <c r="G96" s="199"/>
      <c r="H96" s="64"/>
      <c r="I96" s="2"/>
    </row>
    <row r="97" spans="1:9" ht="15.75" customHeight="1">
      <c r="A97" s="55"/>
      <c r="B97" s="162" t="s">
        <v>6</v>
      </c>
      <c r="C97" s="162"/>
      <c r="D97" s="162"/>
      <c r="E97" s="162"/>
      <c r="F97" s="162"/>
      <c r="G97" s="162"/>
      <c r="H97" s="17"/>
      <c r="I97" s="4"/>
    </row>
    <row r="98" spans="1:9">
      <c r="A98" s="7"/>
      <c r="B98" s="7"/>
      <c r="C98" s="7"/>
      <c r="D98" s="7"/>
      <c r="E98" s="7"/>
      <c r="F98" s="7"/>
      <c r="G98" s="7"/>
      <c r="H98" s="7"/>
      <c r="I98" s="7"/>
    </row>
    <row r="99" spans="1:9" ht="15.75" customHeight="1">
      <c r="A99" s="168" t="s">
        <v>7</v>
      </c>
      <c r="B99" s="168"/>
      <c r="C99" s="168"/>
      <c r="D99" s="168"/>
      <c r="E99" s="168"/>
      <c r="F99" s="168"/>
      <c r="G99" s="168"/>
      <c r="H99" s="168"/>
      <c r="I99" s="168"/>
    </row>
    <row r="100" spans="1:9" ht="15.75">
      <c r="A100" s="168" t="s">
        <v>8</v>
      </c>
      <c r="B100" s="168"/>
      <c r="C100" s="168"/>
      <c r="D100" s="168"/>
      <c r="E100" s="168"/>
      <c r="F100" s="168"/>
      <c r="G100" s="168"/>
      <c r="H100" s="168"/>
      <c r="I100" s="168"/>
    </row>
    <row r="101" spans="1:9" ht="15.75">
      <c r="A101" s="164" t="s">
        <v>63</v>
      </c>
      <c r="B101" s="164"/>
      <c r="C101" s="164"/>
      <c r="D101" s="164"/>
      <c r="E101" s="164"/>
      <c r="F101" s="164"/>
      <c r="G101" s="164"/>
      <c r="H101" s="164"/>
      <c r="I101" s="164"/>
    </row>
    <row r="102" spans="1:9" ht="15.75">
      <c r="A102" s="8"/>
    </row>
    <row r="103" spans="1:9" ht="15.75">
      <c r="A103" s="170" t="s">
        <v>9</v>
      </c>
      <c r="B103" s="170"/>
      <c r="C103" s="170"/>
      <c r="D103" s="170"/>
      <c r="E103" s="170"/>
      <c r="F103" s="170"/>
      <c r="G103" s="170"/>
      <c r="H103" s="170"/>
      <c r="I103" s="170"/>
    </row>
    <row r="104" spans="1:9" ht="15.75">
      <c r="A104" s="3"/>
    </row>
    <row r="105" spans="1:9" ht="15.75" customHeight="1">
      <c r="B105" s="58" t="s">
        <v>10</v>
      </c>
      <c r="C105" s="197" t="s">
        <v>147</v>
      </c>
      <c r="D105" s="197"/>
      <c r="E105" s="197"/>
      <c r="F105" s="62"/>
      <c r="I105" s="59"/>
    </row>
    <row r="106" spans="1:9" ht="15.75" customHeight="1">
      <c r="A106" s="55"/>
      <c r="C106" s="162" t="s">
        <v>11</v>
      </c>
      <c r="D106" s="162"/>
      <c r="E106" s="162"/>
      <c r="F106" s="17"/>
      <c r="I106" s="57" t="s">
        <v>12</v>
      </c>
    </row>
    <row r="107" spans="1:9" ht="15.75" customHeight="1">
      <c r="A107" s="18"/>
      <c r="C107" s="9"/>
      <c r="D107" s="9"/>
      <c r="G107" s="9"/>
      <c r="H107" s="9"/>
    </row>
    <row r="108" spans="1:9" ht="15.75" customHeight="1">
      <c r="B108" s="58" t="s">
        <v>13</v>
      </c>
      <c r="C108" s="177"/>
      <c r="D108" s="177"/>
      <c r="E108" s="177"/>
      <c r="F108" s="63"/>
      <c r="I108" s="59"/>
    </row>
    <row r="109" spans="1:9">
      <c r="A109" s="55"/>
      <c r="C109" s="198" t="s">
        <v>11</v>
      </c>
      <c r="D109" s="198"/>
      <c r="E109" s="198"/>
      <c r="F109" s="55"/>
      <c r="I109" s="57" t="s">
        <v>12</v>
      </c>
    </row>
    <row r="110" spans="1:9" ht="15.75">
      <c r="A110" s="3" t="s">
        <v>14</v>
      </c>
    </row>
    <row r="111" spans="1:9">
      <c r="A111" s="165" t="s">
        <v>15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45" customHeight="1">
      <c r="A112" s="159" t="s">
        <v>16</v>
      </c>
      <c r="B112" s="159"/>
      <c r="C112" s="159"/>
      <c r="D112" s="159"/>
      <c r="E112" s="159"/>
      <c r="F112" s="159"/>
      <c r="G112" s="159"/>
      <c r="H112" s="159"/>
      <c r="I112" s="159"/>
    </row>
    <row r="113" spans="1:9" ht="30" customHeight="1">
      <c r="A113" s="159" t="s">
        <v>17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30" customHeight="1">
      <c r="A114" s="159" t="s">
        <v>21</v>
      </c>
      <c r="B114" s="159"/>
      <c r="C114" s="159"/>
      <c r="D114" s="159"/>
      <c r="E114" s="159"/>
      <c r="F114" s="159"/>
      <c r="G114" s="159"/>
      <c r="H114" s="159"/>
      <c r="I114" s="159"/>
    </row>
    <row r="115" spans="1:9" ht="15" customHeight="1">
      <c r="A115" s="159" t="s">
        <v>20</v>
      </c>
      <c r="B115" s="159"/>
      <c r="C115" s="159"/>
      <c r="D115" s="159"/>
      <c r="E115" s="159"/>
      <c r="F115" s="159"/>
      <c r="G115" s="159"/>
      <c r="H115" s="159"/>
      <c r="I115" s="159"/>
    </row>
  </sheetData>
  <mergeCells count="28">
    <mergeCell ref="A14:I14"/>
    <mergeCell ref="A3:I3"/>
    <mergeCell ref="A4:I4"/>
    <mergeCell ref="A5:I5"/>
    <mergeCell ref="A8:I8"/>
    <mergeCell ref="A10:I10"/>
    <mergeCell ref="A103:I103"/>
    <mergeCell ref="A15:I15"/>
    <mergeCell ref="A28:I28"/>
    <mergeCell ref="A44:I44"/>
    <mergeCell ref="A56:I56"/>
    <mergeCell ref="A83:I83"/>
    <mergeCell ref="A95:I95"/>
    <mergeCell ref="B96:G96"/>
    <mergeCell ref="B97:G97"/>
    <mergeCell ref="A99:I99"/>
    <mergeCell ref="A100:I100"/>
    <mergeCell ref="A101:I101"/>
    <mergeCell ref="A87:I87"/>
    <mergeCell ref="A113:I113"/>
    <mergeCell ref="A114:I114"/>
    <mergeCell ref="A115:I115"/>
    <mergeCell ref="C105:E105"/>
    <mergeCell ref="C106:E106"/>
    <mergeCell ref="C108:E108"/>
    <mergeCell ref="C109:E109"/>
    <mergeCell ref="A111:I111"/>
    <mergeCell ref="A112:I112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4"/>
  <sheetViews>
    <sheetView topLeftCell="A33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181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285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56"/>
      <c r="C6" s="56"/>
      <c r="D6" s="56"/>
      <c r="E6" s="56"/>
      <c r="F6" s="56"/>
      <c r="G6" s="56"/>
      <c r="H6" s="56"/>
      <c r="I6" s="23">
        <v>42947</v>
      </c>
    </row>
    <row r="7" spans="1:9" ht="15.75">
      <c r="B7" s="58"/>
      <c r="C7" s="58"/>
      <c r="D7" s="58"/>
      <c r="E7" s="2"/>
      <c r="F7" s="2"/>
      <c r="G7" s="2"/>
      <c r="H7" s="2"/>
    </row>
    <row r="8" spans="1:9" ht="78.75" customHeight="1">
      <c r="A8" s="180" t="s">
        <v>148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31.5" customHeight="1">
      <c r="A16" s="22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</row>
    <row r="17" spans="1:9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</row>
    <row r="18" spans="1:9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</row>
    <row r="19" spans="1:9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v>0</v>
      </c>
    </row>
    <row r="20" spans="1:9" ht="15.75" customHeight="1">
      <c r="A20" s="22">
        <v>4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</row>
    <row r="21" spans="1:9" ht="15.75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f>F21/6*G21</f>
        <v>6.2378100000000014</v>
      </c>
    </row>
    <row r="22" spans="1:9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v>0</v>
      </c>
    </row>
    <row r="23" spans="1:9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v>0</v>
      </c>
    </row>
    <row r="24" spans="1:9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v>0</v>
      </c>
    </row>
    <row r="25" spans="1:9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v>0</v>
      </c>
    </row>
    <row r="26" spans="1:9" ht="15.75" customHeight="1">
      <c r="A26" s="22">
        <v>6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>SUM(F26*G26/1000)</f>
        <v>5.737070000000001</v>
      </c>
      <c r="I26" s="10">
        <f>F26/12*G26</f>
        <v>478.08916666666664</v>
      </c>
    </row>
    <row r="27" spans="1:9" ht="15.75" customHeight="1">
      <c r="A27" s="22">
        <v>7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>SUM(F27*G27/1000)</f>
        <v>163.78560000000002</v>
      </c>
      <c r="I27" s="10">
        <f>F27/12*G27</f>
        <v>13648.8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31.5" customHeight="1">
      <c r="A30" s="22">
        <v>8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1">SUM(F30*G30/1000)</f>
        <v>1.080971892</v>
      </c>
      <c r="I30" s="10">
        <f>F30/6*G30</f>
        <v>180.16198199999997</v>
      </c>
    </row>
    <row r="31" spans="1:9" ht="31.5" customHeight="1">
      <c r="A31" s="22">
        <v>9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1"/>
        <v>1.0523934719999999</v>
      </c>
      <c r="I31" s="10">
        <f t="shared" ref="I31:I33" si="2">F31/6*G31</f>
        <v>175.398912</v>
      </c>
    </row>
    <row r="32" spans="1:9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1"/>
        <v>1.1979879792000001</v>
      </c>
      <c r="I32" s="10">
        <f>F32*G32</f>
        <v>1197.9879792000002</v>
      </c>
    </row>
    <row r="33" spans="1:9" ht="15.75" customHeight="1">
      <c r="A33" s="22">
        <v>10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157</v>
      </c>
      <c r="E34" s="71"/>
      <c r="F34" s="72">
        <v>3</v>
      </c>
      <c r="G34" s="72">
        <v>204.32</v>
      </c>
      <c r="H34" s="73">
        <f t="shared" si="1"/>
        <v>0.61296000000000006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157</v>
      </c>
      <c r="E35" s="71"/>
      <c r="F35" s="72">
        <v>2</v>
      </c>
      <c r="G35" s="72">
        <v>1214.73</v>
      </c>
      <c r="H35" s="73">
        <f t="shared" si="1"/>
        <v>2.4294600000000002</v>
      </c>
      <c r="I35" s="10">
        <v>0</v>
      </c>
    </row>
    <row r="36" spans="1:9" ht="15.75" hidden="1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hidden="1" customHeight="1">
      <c r="A37" s="22">
        <v>8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</row>
    <row r="38" spans="1:9" ht="15.75" hidden="1" customHeight="1">
      <c r="A38" s="22">
        <v>9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3">SUM(F38*G38/1000)</f>
        <v>2.9313559799999998</v>
      </c>
      <c r="I38" s="10">
        <f>F38/6*G38</f>
        <v>488.55932999999993</v>
      </c>
    </row>
    <row r="39" spans="1:9" ht="15.75" hidden="1" customHeight="1">
      <c r="A39" s="22">
        <v>10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3"/>
        <v>2.8361217999999999</v>
      </c>
      <c r="I39" s="10">
        <f>F39/6*G39</f>
        <v>472.68696666666665</v>
      </c>
    </row>
    <row r="40" spans="1:9" ht="15.75" hidden="1" customHeight="1">
      <c r="A40" s="22"/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3"/>
        <v>23.452000000000002</v>
      </c>
      <c r="I40" s="10">
        <v>0</v>
      </c>
    </row>
    <row r="41" spans="1:9" ht="47.25" hidden="1" customHeight="1">
      <c r="A41" s="22">
        <v>11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3"/>
        <v>9.4386193649999992</v>
      </c>
      <c r="I41" s="10">
        <f>F41/6*G41</f>
        <v>1573.1032275</v>
      </c>
    </row>
    <row r="42" spans="1:9" ht="15.75" hidden="1" customHeight="1">
      <c r="A42" s="22">
        <v>12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3"/>
        <v>0.89646442199999987</v>
      </c>
      <c r="I42" s="10">
        <f>F42/6*G42</f>
        <v>149.41073699999998</v>
      </c>
    </row>
    <row r="43" spans="1:9" ht="15.75" hidden="1" customHeight="1">
      <c r="A43" s="22">
        <v>13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3"/>
        <v>0.76775400000000005</v>
      </c>
      <c r="I43" s="10">
        <f>F43/6*G43</f>
        <v>127.95899999999999</v>
      </c>
    </row>
    <row r="44" spans="1:9" ht="15.75" hidden="1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hidden="1" customHeight="1">
      <c r="A45" s="22"/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4">SUM(F45*G45/1000)</f>
        <v>1.9206154680000005</v>
      </c>
      <c r="I45" s="10">
        <v>0</v>
      </c>
    </row>
    <row r="46" spans="1:9" ht="15.75" hidden="1" customHeight="1">
      <c r="A46" s="22"/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4"/>
        <v>0.13132552</v>
      </c>
      <c r="I46" s="10">
        <v>0</v>
      </c>
    </row>
    <row r="47" spans="1:9" ht="15.75" hidden="1" customHeight="1">
      <c r="A47" s="22"/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4"/>
        <v>1.9367726630000004</v>
      </c>
      <c r="I47" s="10">
        <v>0</v>
      </c>
    </row>
    <row r="48" spans="1:9" ht="15.75" hidden="1" customHeight="1">
      <c r="A48" s="22"/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4"/>
        <v>2.1010746879999997</v>
      </c>
      <c r="I48" s="10">
        <v>0</v>
      </c>
    </row>
    <row r="49" spans="1:9" ht="15.75" hidden="1" customHeight="1">
      <c r="A49" s="22"/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4"/>
        <v>0.13363571200000002</v>
      </c>
      <c r="I49" s="10">
        <v>0</v>
      </c>
    </row>
    <row r="50" spans="1:9" ht="15.75" hidden="1" customHeight="1">
      <c r="A50" s="22">
        <v>14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4"/>
        <v>5.7761391999999994</v>
      </c>
      <c r="I50" s="10">
        <f>F50/5*G50</f>
        <v>1155.22784</v>
      </c>
    </row>
    <row r="51" spans="1:9" ht="31.5" hidden="1" customHeight="1">
      <c r="A51" s="22"/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4"/>
        <v>2.31045568</v>
      </c>
      <c r="I51" s="10">
        <v>0</v>
      </c>
    </row>
    <row r="52" spans="1:9" ht="31.5" hidden="1" customHeight="1">
      <c r="A52" s="22"/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4"/>
        <v>1.167556</v>
      </c>
      <c r="I52" s="10">
        <v>0</v>
      </c>
    </row>
    <row r="53" spans="1:9" ht="15.75" hidden="1" customHeight="1">
      <c r="A53" s="22"/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4"/>
        <v>0.1208424</v>
      </c>
      <c r="I53" s="10">
        <v>0</v>
      </c>
    </row>
    <row r="54" spans="1:9" ht="15.75" hidden="1" customHeight="1">
      <c r="A54" s="22">
        <v>15</v>
      </c>
      <c r="B54" s="69" t="s">
        <v>108</v>
      </c>
      <c r="C54" s="70" t="s">
        <v>102</v>
      </c>
      <c r="D54" s="69" t="s">
        <v>41</v>
      </c>
      <c r="E54" s="71">
        <v>62</v>
      </c>
      <c r="F54" s="72">
        <f>SUM(E54*4)</f>
        <v>248</v>
      </c>
      <c r="G54" s="10">
        <v>150.86000000000001</v>
      </c>
      <c r="H54" s="73">
        <f t="shared" si="4"/>
        <v>37.413280000000007</v>
      </c>
      <c r="I54" s="10">
        <f>E54*G54</f>
        <v>9353.3200000000015</v>
      </c>
    </row>
    <row r="55" spans="1:9" ht="15.75" hidden="1" customHeight="1">
      <c r="A55" s="22">
        <v>16</v>
      </c>
      <c r="B55" s="69" t="s">
        <v>42</v>
      </c>
      <c r="C55" s="70" t="s">
        <v>102</v>
      </c>
      <c r="D55" s="69" t="s">
        <v>74</v>
      </c>
      <c r="E55" s="71">
        <v>124</v>
      </c>
      <c r="F55" s="72">
        <f>SUM(E55)*3</f>
        <v>372</v>
      </c>
      <c r="G55" s="10">
        <v>70.209999999999994</v>
      </c>
      <c r="H55" s="73">
        <f t="shared" si="4"/>
        <v>26.118119999999998</v>
      </c>
      <c r="I55" s="10">
        <f>E55*G55</f>
        <v>8706.0399999999991</v>
      </c>
    </row>
    <row r="56" spans="1:9" ht="15.75" hidden="1" customHeight="1">
      <c r="A56" s="190" t="s">
        <v>151</v>
      </c>
      <c r="B56" s="191"/>
      <c r="C56" s="191"/>
      <c r="D56" s="191"/>
      <c r="E56" s="191"/>
      <c r="F56" s="191"/>
      <c r="G56" s="191"/>
      <c r="H56" s="191"/>
      <c r="I56" s="192"/>
    </row>
    <row r="57" spans="1:9" ht="15.75" hidden="1" customHeight="1">
      <c r="A57" s="22"/>
      <c r="B57" s="92" t="s">
        <v>44</v>
      </c>
      <c r="C57" s="70"/>
      <c r="D57" s="69"/>
      <c r="E57" s="71"/>
      <c r="F57" s="72"/>
      <c r="G57" s="72"/>
      <c r="H57" s="73"/>
      <c r="I57" s="10"/>
    </row>
    <row r="58" spans="1:9" ht="31.5" hidden="1" customHeight="1">
      <c r="A58" s="22">
        <v>17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</row>
    <row r="59" spans="1:9" ht="31.5" hidden="1" customHeight="1">
      <c r="A59" s="22">
        <v>18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</row>
    <row r="60" spans="1:9" ht="31.5" hidden="1" customHeight="1">
      <c r="A60" s="22">
        <v>19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</row>
    <row r="61" spans="1:9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"/>
    </row>
    <row r="62" spans="1:9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</row>
    <row r="63" spans="1:9" ht="15.75" hidden="1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80" si="5">SUM(F64*G64/1000)</f>
        <v>2.3774000000000002</v>
      </c>
      <c r="I64" s="10">
        <v>0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5"/>
        <v>0.24453000000000003</v>
      </c>
      <c r="I65" s="10">
        <v>0</v>
      </c>
    </row>
    <row r="66" spans="1:9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5"/>
        <v>30.192552699999997</v>
      </c>
      <c r="I66" s="10">
        <v>0</v>
      </c>
    </row>
    <row r="67" spans="1:9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5"/>
        <v>2.3512089300000003</v>
      </c>
      <c r="I67" s="10">
        <v>0</v>
      </c>
    </row>
    <row r="68" spans="1:9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5"/>
        <v>48.436315200000003</v>
      </c>
      <c r="I68" s="10">
        <v>0</v>
      </c>
    </row>
    <row r="69" spans="1:9" ht="15.75" hidden="1" customHeight="1">
      <c r="A69" s="22"/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5"/>
        <v>0.49497199999999997</v>
      </c>
      <c r="I69" s="10">
        <v>0</v>
      </c>
    </row>
    <row r="70" spans="1:9" ht="15.75" hidden="1" customHeight="1">
      <c r="A70" s="22"/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5"/>
        <v>0.46179599999999998</v>
      </c>
      <c r="I70" s="10">
        <v>0</v>
      </c>
    </row>
    <row r="71" spans="1:9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5"/>
        <v>0.2666</v>
      </c>
      <c r="I71" s="10">
        <v>0</v>
      </c>
    </row>
    <row r="72" spans="1:9" ht="15.75" hidden="1" customHeight="1">
      <c r="A72" s="22"/>
      <c r="B72" s="54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si="5"/>
        <v>1.6776199999999999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5"/>
        <v>1</v>
      </c>
      <c r="I74" s="10">
        <v>0</v>
      </c>
    </row>
    <row r="75" spans="1:9" ht="15.75" hidden="1" customHeight="1">
      <c r="A75" s="22"/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5"/>
        <v>0.10724600000000001</v>
      </c>
      <c r="I75" s="10">
        <v>0</v>
      </c>
    </row>
    <row r="76" spans="1:9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5"/>
        <v>0.91185000000000005</v>
      </c>
      <c r="I76" s="10">
        <v>0</v>
      </c>
    </row>
    <row r="77" spans="1:9" ht="15.75" hidden="1" customHeight="1">
      <c r="A77" s="22"/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5"/>
        <v>0.38324999999999998</v>
      </c>
      <c r="I77" s="10">
        <v>0</v>
      </c>
    </row>
    <row r="78" spans="1:9" ht="15.75" hidden="1" customHeight="1">
      <c r="A78" s="22"/>
      <c r="B78" s="11" t="s">
        <v>160</v>
      </c>
      <c r="C78" s="13" t="s">
        <v>161</v>
      </c>
      <c r="D78" s="11"/>
      <c r="E78" s="16"/>
      <c r="F78" s="10"/>
      <c r="G78" s="10">
        <v>31.54</v>
      </c>
      <c r="H78" s="68">
        <f t="shared" si="5"/>
        <v>0</v>
      </c>
      <c r="I78" s="10"/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si="5"/>
        <v>0.294985</v>
      </c>
      <c r="I80" s="10">
        <v>0</v>
      </c>
    </row>
    <row r="81" spans="1:9" ht="15.75" hidden="1" customHeight="1">
      <c r="A81" s="22"/>
      <c r="B81" s="54" t="s">
        <v>98</v>
      </c>
      <c r="C81" s="89"/>
      <c r="D81" s="24"/>
      <c r="E81" s="25"/>
      <c r="F81" s="75"/>
      <c r="G81" s="75"/>
      <c r="H81" s="90">
        <f>SUM(H58:H80)</f>
        <v>112.00861796600002</v>
      </c>
      <c r="I81" s="75"/>
    </row>
    <row r="82" spans="1:9" ht="15.75" hidden="1" customHeight="1">
      <c r="A82" s="22"/>
      <c r="B82" s="69" t="s">
        <v>106</v>
      </c>
      <c r="C82" s="13"/>
      <c r="D82" s="11"/>
      <c r="E82" s="61"/>
      <c r="F82" s="10">
        <v>1</v>
      </c>
      <c r="G82" s="10">
        <v>18972</v>
      </c>
      <c r="H82" s="68">
        <f>G82*F82/1000</f>
        <v>18.972000000000001</v>
      </c>
      <c r="I82" s="10">
        <v>0</v>
      </c>
    </row>
    <row r="83" spans="1:9" ht="15.75" customHeight="1">
      <c r="A83" s="190" t="s">
        <v>180</v>
      </c>
      <c r="B83" s="191"/>
      <c r="C83" s="191"/>
      <c r="D83" s="191"/>
      <c r="E83" s="191"/>
      <c r="F83" s="191"/>
      <c r="G83" s="191"/>
      <c r="H83" s="191"/>
      <c r="I83" s="192"/>
    </row>
    <row r="84" spans="1:9" ht="15.75" customHeight="1">
      <c r="A84" s="22">
        <v>11</v>
      </c>
      <c r="B84" s="69" t="s">
        <v>107</v>
      </c>
      <c r="C84" s="13" t="s">
        <v>56</v>
      </c>
      <c r="D84" s="40" t="s">
        <v>57</v>
      </c>
      <c r="E84" s="10">
        <v>2820</v>
      </c>
      <c r="F84" s="10">
        <f>SUM(E84*12)</f>
        <v>33840</v>
      </c>
      <c r="G84" s="10">
        <v>2.54</v>
      </c>
      <c r="H84" s="68">
        <f>SUM(F84*G84/1000)</f>
        <v>85.953600000000009</v>
      </c>
      <c r="I84" s="10">
        <f>F84/12*G84</f>
        <v>7162.8</v>
      </c>
    </row>
    <row r="85" spans="1:9" ht="31.5" customHeight="1">
      <c r="A85" s="22">
        <v>12</v>
      </c>
      <c r="B85" s="11" t="s">
        <v>80</v>
      </c>
      <c r="C85" s="13"/>
      <c r="D85" s="40" t="s">
        <v>57</v>
      </c>
      <c r="E85" s="71">
        <f>E84</f>
        <v>2820</v>
      </c>
      <c r="F85" s="10">
        <f>E85*12</f>
        <v>33840</v>
      </c>
      <c r="G85" s="10">
        <v>2.0499999999999998</v>
      </c>
      <c r="H85" s="68">
        <f>F85*G85/1000</f>
        <v>69.372</v>
      </c>
      <c r="I85" s="10">
        <f>F85/12*G85</f>
        <v>5780.9999999999991</v>
      </c>
    </row>
    <row r="86" spans="1:9" ht="15.75" customHeight="1">
      <c r="A86" s="22"/>
      <c r="B86" s="29" t="s">
        <v>84</v>
      </c>
      <c r="C86" s="89"/>
      <c r="D86" s="88"/>
      <c r="E86" s="75"/>
      <c r="F86" s="75"/>
      <c r="G86" s="75"/>
      <c r="H86" s="90">
        <f>SUM(H85)</f>
        <v>69.372</v>
      </c>
      <c r="I86" s="75">
        <f>I16+I17+I18+I20+I21+I26+I27+I30+I31+I33+I84+I85</f>
        <v>34192.112598666667</v>
      </c>
    </row>
    <row r="87" spans="1:9" ht="15.75" customHeight="1">
      <c r="A87" s="194" t="s">
        <v>62</v>
      </c>
      <c r="B87" s="195"/>
      <c r="C87" s="195"/>
      <c r="D87" s="195"/>
      <c r="E87" s="195"/>
      <c r="F87" s="195"/>
      <c r="G87" s="195"/>
      <c r="H87" s="195"/>
      <c r="I87" s="196"/>
    </row>
    <row r="88" spans="1:9" ht="31.5" customHeight="1">
      <c r="A88" s="22">
        <v>13</v>
      </c>
      <c r="B88" s="43" t="s">
        <v>197</v>
      </c>
      <c r="C88" s="44" t="s">
        <v>85</v>
      </c>
      <c r="D88" s="30"/>
      <c r="E88" s="15"/>
      <c r="F88" s="137">
        <v>20.2</v>
      </c>
      <c r="G88" s="15">
        <v>1183.51</v>
      </c>
      <c r="H88" s="138">
        <f t="shared" ref="H88:H90" si="6">G88*F88/1000</f>
        <v>23.906901999999999</v>
      </c>
      <c r="I88" s="10">
        <f>G88*14</f>
        <v>16569.14</v>
      </c>
    </row>
    <row r="89" spans="1:9" ht="31.5" customHeight="1">
      <c r="A89" s="22">
        <v>14</v>
      </c>
      <c r="B89" s="43" t="s">
        <v>198</v>
      </c>
      <c r="C89" s="44" t="s">
        <v>199</v>
      </c>
      <c r="D89" s="141"/>
      <c r="E89" s="27"/>
      <c r="F89" s="27">
        <v>4</v>
      </c>
      <c r="G89" s="27">
        <v>54.17</v>
      </c>
      <c r="H89" s="27">
        <f t="shared" si="6"/>
        <v>0.21668000000000001</v>
      </c>
      <c r="I89" s="10">
        <f>G89*2</f>
        <v>108.34</v>
      </c>
    </row>
    <row r="90" spans="1:9" ht="15.75" customHeight="1">
      <c r="A90" s="22">
        <v>15</v>
      </c>
      <c r="B90" s="43" t="s">
        <v>208</v>
      </c>
      <c r="C90" s="44" t="s">
        <v>201</v>
      </c>
      <c r="D90" s="30"/>
      <c r="E90" s="15"/>
      <c r="F90" s="137">
        <v>1</v>
      </c>
      <c r="G90" s="15">
        <v>520.51</v>
      </c>
      <c r="H90" s="68">
        <f t="shared" si="6"/>
        <v>0.52051000000000003</v>
      </c>
      <c r="I90" s="10">
        <f>G90</f>
        <v>520.51</v>
      </c>
    </row>
    <row r="91" spans="1:9">
      <c r="A91" s="22"/>
      <c r="B91" s="35" t="s">
        <v>53</v>
      </c>
      <c r="C91" s="31"/>
      <c r="D91" s="38"/>
      <c r="E91" s="31">
        <v>1</v>
      </c>
      <c r="F91" s="31"/>
      <c r="G91" s="31"/>
      <c r="H91" s="31"/>
      <c r="I91" s="25">
        <f>SUM(I88:I90)</f>
        <v>17197.989999999998</v>
      </c>
    </row>
    <row r="92" spans="1:9" ht="15.75" customHeight="1">
      <c r="A92" s="22"/>
      <c r="B92" s="37" t="s">
        <v>81</v>
      </c>
      <c r="C92" s="12"/>
      <c r="D92" s="12"/>
      <c r="E92" s="32"/>
      <c r="F92" s="32"/>
      <c r="G92" s="33"/>
      <c r="H92" s="33"/>
      <c r="I92" s="15">
        <v>0</v>
      </c>
    </row>
    <row r="93" spans="1:9" ht="15.75" customHeight="1">
      <c r="A93" s="39"/>
      <c r="B93" s="36" t="s">
        <v>270</v>
      </c>
      <c r="C93" s="26"/>
      <c r="D93" s="26"/>
      <c r="E93" s="26"/>
      <c r="F93" s="26"/>
      <c r="G93" s="26"/>
      <c r="H93" s="26"/>
      <c r="I93" s="34">
        <f>I86+I91</f>
        <v>51390.102598666665</v>
      </c>
    </row>
    <row r="94" spans="1:9" ht="15.75" customHeight="1">
      <c r="A94" s="193" t="s">
        <v>286</v>
      </c>
      <c r="B94" s="193"/>
      <c r="C94" s="193"/>
      <c r="D94" s="193"/>
      <c r="E94" s="193"/>
      <c r="F94" s="193"/>
      <c r="G94" s="193"/>
      <c r="H94" s="193"/>
      <c r="I94" s="193"/>
    </row>
    <row r="95" spans="1:9" ht="15.75" customHeight="1">
      <c r="A95" s="53"/>
      <c r="B95" s="199" t="s">
        <v>287</v>
      </c>
      <c r="C95" s="199"/>
      <c r="D95" s="199"/>
      <c r="E95" s="199"/>
      <c r="F95" s="199"/>
      <c r="G95" s="199"/>
      <c r="H95" s="64"/>
      <c r="I95" s="2"/>
    </row>
    <row r="96" spans="1:9" ht="15.75" customHeight="1">
      <c r="A96" s="55"/>
      <c r="B96" s="162" t="s">
        <v>6</v>
      </c>
      <c r="C96" s="162"/>
      <c r="D96" s="162"/>
      <c r="E96" s="162"/>
      <c r="F96" s="162"/>
      <c r="G96" s="162"/>
      <c r="H96" s="17"/>
      <c r="I96" s="4"/>
    </row>
    <row r="97" spans="1:9">
      <c r="A97" s="7"/>
      <c r="B97" s="7"/>
      <c r="C97" s="7"/>
      <c r="D97" s="7"/>
      <c r="E97" s="7"/>
      <c r="F97" s="7"/>
      <c r="G97" s="7"/>
      <c r="H97" s="7"/>
      <c r="I97" s="7"/>
    </row>
    <row r="98" spans="1:9" ht="15.75" customHeight="1">
      <c r="A98" s="168" t="s">
        <v>7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68" t="s">
        <v>8</v>
      </c>
      <c r="B99" s="168"/>
      <c r="C99" s="168"/>
      <c r="D99" s="168"/>
      <c r="E99" s="168"/>
      <c r="F99" s="168"/>
      <c r="G99" s="168"/>
      <c r="H99" s="168"/>
      <c r="I99" s="168"/>
    </row>
    <row r="100" spans="1:9" ht="15.75">
      <c r="A100" s="164" t="s">
        <v>63</v>
      </c>
      <c r="B100" s="164"/>
      <c r="C100" s="164"/>
      <c r="D100" s="164"/>
      <c r="E100" s="164"/>
      <c r="F100" s="164"/>
      <c r="G100" s="164"/>
      <c r="H100" s="164"/>
      <c r="I100" s="164"/>
    </row>
    <row r="101" spans="1:9" ht="15.75">
      <c r="A101" s="8"/>
    </row>
    <row r="102" spans="1:9" ht="15.75">
      <c r="A102" s="170" t="s">
        <v>9</v>
      </c>
      <c r="B102" s="170"/>
      <c r="C102" s="170"/>
      <c r="D102" s="170"/>
      <c r="E102" s="170"/>
      <c r="F102" s="170"/>
      <c r="G102" s="170"/>
      <c r="H102" s="170"/>
      <c r="I102" s="170"/>
    </row>
    <row r="103" spans="1:9" ht="15.75">
      <c r="A103" s="3"/>
    </row>
    <row r="104" spans="1:9" ht="15.75" customHeight="1">
      <c r="B104" s="58" t="s">
        <v>10</v>
      </c>
      <c r="C104" s="197" t="s">
        <v>147</v>
      </c>
      <c r="D104" s="197"/>
      <c r="E104" s="197"/>
      <c r="F104" s="62"/>
      <c r="I104" s="59"/>
    </row>
    <row r="105" spans="1:9" ht="15.75" customHeight="1">
      <c r="A105" s="55"/>
      <c r="C105" s="162" t="s">
        <v>11</v>
      </c>
      <c r="D105" s="162"/>
      <c r="E105" s="162"/>
      <c r="F105" s="17"/>
      <c r="I105" s="57" t="s">
        <v>12</v>
      </c>
    </row>
    <row r="106" spans="1:9" ht="15.75" customHeight="1">
      <c r="A106" s="18"/>
      <c r="C106" s="9"/>
      <c r="D106" s="9"/>
      <c r="G106" s="9"/>
      <c r="H106" s="9"/>
    </row>
    <row r="107" spans="1:9" ht="15.75" customHeight="1">
      <c r="B107" s="58" t="s">
        <v>13</v>
      </c>
      <c r="C107" s="177"/>
      <c r="D107" s="177"/>
      <c r="E107" s="177"/>
      <c r="F107" s="63"/>
      <c r="I107" s="59"/>
    </row>
    <row r="108" spans="1:9">
      <c r="A108" s="55"/>
      <c r="C108" s="198" t="s">
        <v>11</v>
      </c>
      <c r="D108" s="198"/>
      <c r="E108" s="198"/>
      <c r="F108" s="55"/>
      <c r="I108" s="57" t="s">
        <v>12</v>
      </c>
    </row>
    <row r="109" spans="1:9" ht="15.75">
      <c r="A109" s="3" t="s">
        <v>14</v>
      </c>
    </row>
    <row r="110" spans="1:9">
      <c r="A110" s="165" t="s">
        <v>15</v>
      </c>
      <c r="B110" s="165"/>
      <c r="C110" s="165"/>
      <c r="D110" s="165"/>
      <c r="E110" s="165"/>
      <c r="F110" s="165"/>
      <c r="G110" s="165"/>
      <c r="H110" s="165"/>
      <c r="I110" s="165"/>
    </row>
    <row r="111" spans="1:9" ht="45" customHeight="1">
      <c r="A111" s="159" t="s">
        <v>16</v>
      </c>
      <c r="B111" s="159"/>
      <c r="C111" s="159"/>
      <c r="D111" s="159"/>
      <c r="E111" s="159"/>
      <c r="F111" s="159"/>
      <c r="G111" s="159"/>
      <c r="H111" s="159"/>
      <c r="I111" s="159"/>
    </row>
    <row r="112" spans="1:9" ht="30" customHeight="1">
      <c r="A112" s="159" t="s">
        <v>17</v>
      </c>
      <c r="B112" s="159"/>
      <c r="C112" s="159"/>
      <c r="D112" s="159"/>
      <c r="E112" s="159"/>
      <c r="F112" s="159"/>
      <c r="G112" s="159"/>
      <c r="H112" s="159"/>
      <c r="I112" s="159"/>
    </row>
    <row r="113" spans="1:9" ht="30" customHeight="1">
      <c r="A113" s="159" t="s">
        <v>21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15" customHeight="1">
      <c r="A114" s="159" t="s">
        <v>20</v>
      </c>
      <c r="B114" s="159"/>
      <c r="C114" s="159"/>
      <c r="D114" s="159"/>
      <c r="E114" s="159"/>
      <c r="F114" s="159"/>
      <c r="G114" s="159"/>
      <c r="H114" s="159"/>
      <c r="I114" s="159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8:I28"/>
    <mergeCell ref="A44:I44"/>
    <mergeCell ref="A56:I56"/>
    <mergeCell ref="A83:I83"/>
    <mergeCell ref="A94:I94"/>
    <mergeCell ref="B95:G95"/>
    <mergeCell ref="B96:G96"/>
    <mergeCell ref="A98:I98"/>
    <mergeCell ref="A99:I99"/>
    <mergeCell ref="A100:I100"/>
    <mergeCell ref="A87:I87"/>
    <mergeCell ref="A112:I112"/>
    <mergeCell ref="A113:I113"/>
    <mergeCell ref="A114:I114"/>
    <mergeCell ref="C104:E104"/>
    <mergeCell ref="C105:E105"/>
    <mergeCell ref="C107:E107"/>
    <mergeCell ref="C108:E108"/>
    <mergeCell ref="A110:I110"/>
    <mergeCell ref="A111:I111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1"/>
  <sheetViews>
    <sheetView topLeftCell="A90" workbookViewId="0">
      <selection activeCell="A97" sqref="A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182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288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56"/>
      <c r="C6" s="56"/>
      <c r="D6" s="56"/>
      <c r="E6" s="56"/>
      <c r="F6" s="56"/>
      <c r="G6" s="56"/>
      <c r="H6" s="56"/>
      <c r="I6" s="23">
        <v>42978</v>
      </c>
    </row>
    <row r="7" spans="1:9" ht="15.75">
      <c r="B7" s="58"/>
      <c r="C7" s="58"/>
      <c r="D7" s="58"/>
      <c r="E7" s="2"/>
      <c r="F7" s="2"/>
      <c r="G7" s="2"/>
      <c r="H7" s="2"/>
    </row>
    <row r="8" spans="1:9" ht="78.75" customHeight="1">
      <c r="A8" s="180" t="s">
        <v>148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31.5" customHeight="1">
      <c r="A16" s="22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</row>
    <row r="17" spans="1:9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</row>
    <row r="18" spans="1:9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</row>
    <row r="19" spans="1:9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v>0</v>
      </c>
    </row>
    <row r="20" spans="1:9" ht="15.75" customHeight="1">
      <c r="A20" s="22">
        <v>4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</row>
    <row r="21" spans="1:9" ht="15.75" hidden="1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f>F21/6*G21</f>
        <v>6.2378100000000014</v>
      </c>
    </row>
    <row r="22" spans="1:9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v>0</v>
      </c>
    </row>
    <row r="23" spans="1:9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v>0</v>
      </c>
    </row>
    <row r="24" spans="1:9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v>0</v>
      </c>
    </row>
    <row r="25" spans="1:9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v>0</v>
      </c>
    </row>
    <row r="26" spans="1:9" ht="15.75" customHeight="1">
      <c r="A26" s="22">
        <v>5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>SUM(F26*G26/1000)</f>
        <v>5.737070000000001</v>
      </c>
      <c r="I26" s="10">
        <f>F26/12*G26</f>
        <v>478.08916666666664</v>
      </c>
    </row>
    <row r="27" spans="1:9" ht="15.75" customHeight="1">
      <c r="A27" s="22">
        <v>6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>SUM(F27*G27/1000)</f>
        <v>163.78560000000002</v>
      </c>
      <c r="I27" s="10">
        <f>F27/12*G27</f>
        <v>13648.8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31.5" customHeight="1">
      <c r="A30" s="22">
        <v>7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1">SUM(F30*G30/1000)</f>
        <v>1.080971892</v>
      </c>
      <c r="I30" s="10">
        <f>F30/6*G30</f>
        <v>180.16198199999997</v>
      </c>
    </row>
    <row r="31" spans="1:9" ht="31.5" customHeight="1">
      <c r="A31" s="22">
        <v>8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1"/>
        <v>1.0523934719999999</v>
      </c>
      <c r="I31" s="10">
        <f t="shared" ref="I31:I33" si="2">F31/6*G31</f>
        <v>175.398912</v>
      </c>
    </row>
    <row r="32" spans="1:9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1"/>
        <v>1.1979879792000001</v>
      </c>
      <c r="I32" s="10">
        <f>F32*G32</f>
        <v>1197.9879792000002</v>
      </c>
    </row>
    <row r="33" spans="1:9" ht="15.75" customHeight="1">
      <c r="A33" s="22">
        <v>9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157</v>
      </c>
      <c r="E34" s="71"/>
      <c r="F34" s="72">
        <v>3</v>
      </c>
      <c r="G34" s="72">
        <v>204.32</v>
      </c>
      <c r="H34" s="73">
        <f t="shared" si="1"/>
        <v>0.61296000000000006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157</v>
      </c>
      <c r="E35" s="71"/>
      <c r="F35" s="72">
        <v>2</v>
      </c>
      <c r="G35" s="72">
        <v>1214.73</v>
      </c>
      <c r="H35" s="73">
        <f t="shared" si="1"/>
        <v>2.4294600000000002</v>
      </c>
      <c r="I35" s="10">
        <v>0</v>
      </c>
    </row>
    <row r="36" spans="1:9" ht="15.75" hidden="1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hidden="1" customHeight="1">
      <c r="A37" s="22">
        <v>8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</row>
    <row r="38" spans="1:9" ht="15.75" hidden="1" customHeight="1">
      <c r="A38" s="22">
        <v>9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3">SUM(F38*G38/1000)</f>
        <v>2.9313559799999998</v>
      </c>
      <c r="I38" s="10">
        <f>F38/6*G38</f>
        <v>488.55932999999993</v>
      </c>
    </row>
    <row r="39" spans="1:9" ht="15.75" hidden="1" customHeight="1">
      <c r="A39" s="22">
        <v>10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3"/>
        <v>2.8361217999999999</v>
      </c>
      <c r="I39" s="10">
        <f>F39/6*G39</f>
        <v>472.68696666666665</v>
      </c>
    </row>
    <row r="40" spans="1:9" ht="15.75" hidden="1" customHeight="1">
      <c r="A40" s="22"/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3"/>
        <v>23.452000000000002</v>
      </c>
      <c r="I40" s="10">
        <v>0</v>
      </c>
    </row>
    <row r="41" spans="1:9" ht="47.25" hidden="1" customHeight="1">
      <c r="A41" s="22">
        <v>11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3"/>
        <v>9.4386193649999992</v>
      </c>
      <c r="I41" s="10">
        <f>F41/6*G41</f>
        <v>1573.1032275</v>
      </c>
    </row>
    <row r="42" spans="1:9" ht="15.75" hidden="1" customHeight="1">
      <c r="A42" s="22">
        <v>12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3"/>
        <v>0.89646442199999987</v>
      </c>
      <c r="I42" s="10">
        <f>F42/6*G42</f>
        <v>149.41073699999998</v>
      </c>
    </row>
    <row r="43" spans="1:9" ht="15.75" hidden="1" customHeight="1">
      <c r="A43" s="22">
        <v>13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3"/>
        <v>0.76775400000000005</v>
      </c>
      <c r="I43" s="10">
        <f>F43/6*G43</f>
        <v>127.95899999999999</v>
      </c>
    </row>
    <row r="44" spans="1:9" ht="15.75" hidden="1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hidden="1" customHeight="1">
      <c r="A45" s="22"/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4">SUM(F45*G45/1000)</f>
        <v>1.9206154680000005</v>
      </c>
      <c r="I45" s="10">
        <v>0</v>
      </c>
    </row>
    <row r="46" spans="1:9" ht="15.75" hidden="1" customHeight="1">
      <c r="A46" s="22"/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4"/>
        <v>0.13132552</v>
      </c>
      <c r="I46" s="10">
        <v>0</v>
      </c>
    </row>
    <row r="47" spans="1:9" ht="15.75" hidden="1" customHeight="1">
      <c r="A47" s="22"/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4"/>
        <v>1.9367726630000004</v>
      </c>
      <c r="I47" s="10">
        <v>0</v>
      </c>
    </row>
    <row r="48" spans="1:9" ht="15.75" hidden="1" customHeight="1">
      <c r="A48" s="22"/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4"/>
        <v>2.1010746879999997</v>
      </c>
      <c r="I48" s="10">
        <v>0</v>
      </c>
    </row>
    <row r="49" spans="1:9" ht="15.75" hidden="1" customHeight="1">
      <c r="A49" s="22"/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4"/>
        <v>0.13363571200000002</v>
      </c>
      <c r="I49" s="10">
        <v>0</v>
      </c>
    </row>
    <row r="50" spans="1:9" ht="15.75" hidden="1" customHeight="1">
      <c r="A50" s="22">
        <v>14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4"/>
        <v>5.7761391999999994</v>
      </c>
      <c r="I50" s="10">
        <f>F50/5*G50</f>
        <v>1155.22784</v>
      </c>
    </row>
    <row r="51" spans="1:9" ht="31.5" hidden="1" customHeight="1">
      <c r="A51" s="22"/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4"/>
        <v>2.31045568</v>
      </c>
      <c r="I51" s="10">
        <v>0</v>
      </c>
    </row>
    <row r="52" spans="1:9" ht="31.5" hidden="1" customHeight="1">
      <c r="A52" s="22"/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4"/>
        <v>1.167556</v>
      </c>
      <c r="I52" s="10">
        <v>0</v>
      </c>
    </row>
    <row r="53" spans="1:9" ht="15.75" hidden="1" customHeight="1">
      <c r="A53" s="22"/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4"/>
        <v>0.1208424</v>
      </c>
      <c r="I53" s="10">
        <v>0</v>
      </c>
    </row>
    <row r="54" spans="1:9" ht="15.75" hidden="1" customHeight="1">
      <c r="A54" s="22">
        <v>10</v>
      </c>
      <c r="B54" s="69" t="s">
        <v>108</v>
      </c>
      <c r="C54" s="70" t="s">
        <v>102</v>
      </c>
      <c r="D54" s="69" t="s">
        <v>74</v>
      </c>
      <c r="E54" s="71">
        <v>62</v>
      </c>
      <c r="F54" s="72">
        <f>SUM(E54*4)</f>
        <v>248</v>
      </c>
      <c r="G54" s="10">
        <v>150.86000000000001</v>
      </c>
      <c r="H54" s="73">
        <f t="shared" si="4"/>
        <v>37.413280000000007</v>
      </c>
      <c r="I54" s="10">
        <f>E54*G54</f>
        <v>9353.3200000000015</v>
      </c>
    </row>
    <row r="55" spans="1:9" ht="15.75" hidden="1" customHeight="1">
      <c r="A55" s="22">
        <v>11</v>
      </c>
      <c r="B55" s="69" t="s">
        <v>42</v>
      </c>
      <c r="C55" s="70" t="s">
        <v>102</v>
      </c>
      <c r="D55" s="69" t="s">
        <v>74</v>
      </c>
      <c r="E55" s="71">
        <v>124</v>
      </c>
      <c r="F55" s="72">
        <f>SUM(E55)*3</f>
        <v>372</v>
      </c>
      <c r="G55" s="10">
        <v>70.209999999999994</v>
      </c>
      <c r="H55" s="73">
        <f t="shared" si="4"/>
        <v>26.118119999999998</v>
      </c>
      <c r="I55" s="10">
        <f>E55*G55</f>
        <v>8706.0399999999991</v>
      </c>
    </row>
    <row r="56" spans="1:9" ht="15.75" customHeight="1">
      <c r="A56" s="190" t="s">
        <v>153</v>
      </c>
      <c r="B56" s="191"/>
      <c r="C56" s="191"/>
      <c r="D56" s="191"/>
      <c r="E56" s="191"/>
      <c r="F56" s="191"/>
      <c r="G56" s="191"/>
      <c r="H56" s="191"/>
      <c r="I56" s="192"/>
    </row>
    <row r="57" spans="1:9" ht="15.75" hidden="1" customHeight="1">
      <c r="A57" s="22"/>
      <c r="B57" s="92" t="s">
        <v>44</v>
      </c>
      <c r="C57" s="70"/>
      <c r="D57" s="69"/>
      <c r="E57" s="71"/>
      <c r="F57" s="72"/>
      <c r="G57" s="72"/>
      <c r="H57" s="73"/>
      <c r="I57" s="10"/>
    </row>
    <row r="58" spans="1:9" ht="31.5" hidden="1" customHeight="1">
      <c r="A58" s="22">
        <v>17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</row>
    <row r="59" spans="1:9" ht="31.5" hidden="1" customHeight="1">
      <c r="A59" s="22">
        <v>18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</row>
    <row r="60" spans="1:9" ht="31.5" hidden="1" customHeight="1">
      <c r="A60" s="22">
        <v>19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</row>
    <row r="61" spans="1:9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"/>
    </row>
    <row r="62" spans="1:9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</row>
    <row r="63" spans="1:9" ht="15.75" hidden="1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80" si="5">SUM(F64*G64/1000)</f>
        <v>2.3774000000000002</v>
      </c>
      <c r="I64" s="10">
        <v>0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5"/>
        <v>0.24453000000000003</v>
      </c>
      <c r="I65" s="10">
        <v>0</v>
      </c>
    </row>
    <row r="66" spans="1:9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5"/>
        <v>30.192552699999997</v>
      </c>
      <c r="I66" s="10">
        <v>0</v>
      </c>
    </row>
    <row r="67" spans="1:9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5"/>
        <v>2.3512089300000003</v>
      </c>
      <c r="I67" s="10">
        <v>0</v>
      </c>
    </row>
    <row r="68" spans="1:9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5"/>
        <v>48.436315200000003</v>
      </c>
      <c r="I68" s="10">
        <v>0</v>
      </c>
    </row>
    <row r="69" spans="1:9" ht="15.75" hidden="1" customHeight="1">
      <c r="A69" s="22"/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5"/>
        <v>0.49497199999999997</v>
      </c>
      <c r="I69" s="10">
        <v>0</v>
      </c>
    </row>
    <row r="70" spans="1:9" ht="15.75" hidden="1" customHeight="1">
      <c r="A70" s="22"/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5"/>
        <v>0.46179599999999998</v>
      </c>
      <c r="I70" s="10">
        <v>0</v>
      </c>
    </row>
    <row r="71" spans="1:9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5"/>
        <v>0.2666</v>
      </c>
      <c r="I71" s="10">
        <v>0</v>
      </c>
    </row>
    <row r="72" spans="1:9" ht="15.75" customHeight="1">
      <c r="A72" s="22"/>
      <c r="B72" s="54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si="5"/>
        <v>1.6776199999999999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5"/>
        <v>1</v>
      </c>
      <c r="I74" s="10">
        <v>0</v>
      </c>
    </row>
    <row r="75" spans="1:9" ht="15.75" hidden="1" customHeight="1">
      <c r="A75" s="22"/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5"/>
        <v>0.10724600000000001</v>
      </c>
      <c r="I75" s="10">
        <v>0</v>
      </c>
    </row>
    <row r="76" spans="1:9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5"/>
        <v>0.91185000000000005</v>
      </c>
      <c r="I76" s="10">
        <v>0</v>
      </c>
    </row>
    <row r="77" spans="1:9" ht="15.75" customHeight="1">
      <c r="A77" s="22">
        <v>10</v>
      </c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5"/>
        <v>0.38324999999999998</v>
      </c>
      <c r="I77" s="10">
        <f>G77</f>
        <v>383.25</v>
      </c>
    </row>
    <row r="78" spans="1:9" ht="15.75" hidden="1" customHeight="1">
      <c r="A78" s="22"/>
      <c r="B78" s="11" t="s">
        <v>160</v>
      </c>
      <c r="C78" s="13" t="s">
        <v>161</v>
      </c>
      <c r="D78" s="11"/>
      <c r="E78" s="16"/>
      <c r="F78" s="10"/>
      <c r="G78" s="10">
        <v>31.54</v>
      </c>
      <c r="H78" s="68">
        <f t="shared" si="5"/>
        <v>0</v>
      </c>
      <c r="I78" s="10"/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si="5"/>
        <v>0.294985</v>
      </c>
      <c r="I80" s="10">
        <v>0</v>
      </c>
    </row>
    <row r="81" spans="1:9" ht="15.75" hidden="1" customHeight="1">
      <c r="A81" s="22"/>
      <c r="B81" s="54" t="s">
        <v>98</v>
      </c>
      <c r="C81" s="89"/>
      <c r="D81" s="24"/>
      <c r="E81" s="25"/>
      <c r="F81" s="75"/>
      <c r="G81" s="75"/>
      <c r="H81" s="90">
        <f>SUM(H58:H80)</f>
        <v>112.00861796600002</v>
      </c>
      <c r="I81" s="75"/>
    </row>
    <row r="82" spans="1:9" ht="15.75" hidden="1" customHeight="1">
      <c r="A82" s="22"/>
      <c r="B82" s="69" t="s">
        <v>106</v>
      </c>
      <c r="C82" s="13"/>
      <c r="D82" s="11"/>
      <c r="E82" s="61"/>
      <c r="F82" s="10">
        <v>1</v>
      </c>
      <c r="G82" s="10">
        <v>18972</v>
      </c>
      <c r="H82" s="68">
        <f>G82*F82/1000</f>
        <v>18.972000000000001</v>
      </c>
      <c r="I82" s="10">
        <v>0</v>
      </c>
    </row>
    <row r="83" spans="1:9" ht="15.75" customHeight="1">
      <c r="A83" s="190" t="s">
        <v>154</v>
      </c>
      <c r="B83" s="191"/>
      <c r="C83" s="191"/>
      <c r="D83" s="191"/>
      <c r="E83" s="191"/>
      <c r="F83" s="191"/>
      <c r="G83" s="191"/>
      <c r="H83" s="191"/>
      <c r="I83" s="192"/>
    </row>
    <row r="84" spans="1:9" ht="15.75" customHeight="1">
      <c r="A84" s="22">
        <v>11</v>
      </c>
      <c r="B84" s="69" t="s">
        <v>107</v>
      </c>
      <c r="C84" s="13" t="s">
        <v>56</v>
      </c>
      <c r="D84" s="40" t="s">
        <v>57</v>
      </c>
      <c r="E84" s="10">
        <v>2820</v>
      </c>
      <c r="F84" s="10">
        <f>SUM(E84*12)</f>
        <v>33840</v>
      </c>
      <c r="G84" s="10">
        <v>2.54</v>
      </c>
      <c r="H84" s="68">
        <f>SUM(F84*G84/1000)</f>
        <v>85.953600000000009</v>
      </c>
      <c r="I84" s="10">
        <f>F84/12*G84</f>
        <v>7162.8</v>
      </c>
    </row>
    <row r="85" spans="1:9" ht="31.5" customHeight="1">
      <c r="A85" s="22">
        <v>12</v>
      </c>
      <c r="B85" s="11" t="s">
        <v>80</v>
      </c>
      <c r="C85" s="13"/>
      <c r="D85" s="40" t="s">
        <v>57</v>
      </c>
      <c r="E85" s="71">
        <f>E84</f>
        <v>2820</v>
      </c>
      <c r="F85" s="10">
        <f>E85*12</f>
        <v>33840</v>
      </c>
      <c r="G85" s="10">
        <v>2.0499999999999998</v>
      </c>
      <c r="H85" s="68">
        <f>F85*G85/1000</f>
        <v>69.372</v>
      </c>
      <c r="I85" s="10">
        <f>F85/12*G85</f>
        <v>5780.9999999999991</v>
      </c>
    </row>
    <row r="86" spans="1:9" ht="15.75" customHeight="1">
      <c r="A86" s="22"/>
      <c r="B86" s="29" t="s">
        <v>84</v>
      </c>
      <c r="C86" s="89"/>
      <c r="D86" s="88"/>
      <c r="E86" s="75"/>
      <c r="F86" s="75"/>
      <c r="G86" s="75"/>
      <c r="H86" s="90">
        <f>SUM(H85)</f>
        <v>69.372</v>
      </c>
      <c r="I86" s="75">
        <f>I16+I17+I18+I20+I26+I27+I30+I31+I33+I77+I84+I85</f>
        <v>34569.124788666668</v>
      </c>
    </row>
    <row r="87" spans="1:9" ht="15.75" customHeight="1">
      <c r="A87" s="194" t="s">
        <v>62</v>
      </c>
      <c r="B87" s="195"/>
      <c r="C87" s="195"/>
      <c r="D87" s="195"/>
      <c r="E87" s="195"/>
      <c r="F87" s="195"/>
      <c r="G87" s="195"/>
      <c r="H87" s="195"/>
      <c r="I87" s="196"/>
    </row>
    <row r="88" spans="1:9" ht="31.5" customHeight="1">
      <c r="A88" s="22">
        <v>13</v>
      </c>
      <c r="B88" s="43" t="s">
        <v>83</v>
      </c>
      <c r="C88" s="22" t="s">
        <v>30</v>
      </c>
      <c r="D88" s="30"/>
      <c r="E88" s="15"/>
      <c r="F88" s="137">
        <v>2</v>
      </c>
      <c r="G88" s="15">
        <v>83.36</v>
      </c>
      <c r="H88" s="138">
        <f t="shared" ref="H88:H96" si="6">G88*F88/1000</f>
        <v>0.16672000000000001</v>
      </c>
      <c r="I88" s="10">
        <f>G88</f>
        <v>83.36</v>
      </c>
    </row>
    <row r="89" spans="1:9" ht="15.75" customHeight="1">
      <c r="A89" s="22">
        <v>14</v>
      </c>
      <c r="B89" s="123" t="s">
        <v>142</v>
      </c>
      <c r="C89" s="22" t="s">
        <v>30</v>
      </c>
      <c r="D89" s="30"/>
      <c r="E89" s="15"/>
      <c r="F89" s="137">
        <v>11.5</v>
      </c>
      <c r="G89" s="15">
        <v>1582</v>
      </c>
      <c r="H89" s="138">
        <f t="shared" si="6"/>
        <v>18.193000000000001</v>
      </c>
      <c r="I89" s="10">
        <f>G89*5</f>
        <v>7910</v>
      </c>
    </row>
    <row r="90" spans="1:9" ht="15.75" customHeight="1">
      <c r="A90" s="22">
        <v>15</v>
      </c>
      <c r="B90" s="41" t="s">
        <v>307</v>
      </c>
      <c r="C90" s="42" t="s">
        <v>308</v>
      </c>
      <c r="D90" s="30"/>
      <c r="E90" s="15"/>
      <c r="F90" s="137"/>
      <c r="G90" s="15">
        <v>2474</v>
      </c>
      <c r="H90" s="138"/>
      <c r="I90" s="10">
        <f>G90*120.3</f>
        <v>297622.2</v>
      </c>
    </row>
    <row r="91" spans="1:9" ht="15.75" customHeight="1">
      <c r="A91" s="22">
        <v>16</v>
      </c>
      <c r="B91" s="144" t="s">
        <v>309</v>
      </c>
      <c r="C91" s="145" t="s">
        <v>28</v>
      </c>
      <c r="D91" s="30"/>
      <c r="E91" s="15"/>
      <c r="F91" s="137"/>
      <c r="G91" s="15">
        <v>219.88</v>
      </c>
      <c r="H91" s="138"/>
      <c r="I91" s="10">
        <f>G91*0.03</f>
        <v>6.5964</v>
      </c>
    </row>
    <row r="92" spans="1:9" ht="15.75" customHeight="1">
      <c r="A92" s="22">
        <v>17</v>
      </c>
      <c r="B92" s="144" t="s">
        <v>310</v>
      </c>
      <c r="C92" s="145" t="s">
        <v>56</v>
      </c>
      <c r="D92" s="30"/>
      <c r="E92" s="15"/>
      <c r="F92" s="137"/>
      <c r="G92" s="15">
        <v>470.85</v>
      </c>
      <c r="H92" s="138"/>
      <c r="I92" s="10">
        <f>G92*2</f>
        <v>941.7</v>
      </c>
    </row>
    <row r="93" spans="1:9" ht="15.75" customHeight="1">
      <c r="A93" s="22">
        <v>18</v>
      </c>
      <c r="B93" s="43" t="s">
        <v>170</v>
      </c>
      <c r="C93" s="44" t="s">
        <v>171</v>
      </c>
      <c r="D93" s="30"/>
      <c r="E93" s="15"/>
      <c r="F93" s="137">
        <v>2</v>
      </c>
      <c r="G93" s="15">
        <v>206.54</v>
      </c>
      <c r="H93" s="68">
        <f t="shared" si="6"/>
        <v>0.41308</v>
      </c>
      <c r="I93" s="10">
        <f>G93*2</f>
        <v>413.08</v>
      </c>
    </row>
    <row r="94" spans="1:9" ht="31.5" customHeight="1">
      <c r="A94" s="22">
        <v>19</v>
      </c>
      <c r="B94" s="43" t="s">
        <v>167</v>
      </c>
      <c r="C94" s="44" t="s">
        <v>85</v>
      </c>
      <c r="D94" s="141"/>
      <c r="E94" s="27"/>
      <c r="F94" s="27">
        <v>1</v>
      </c>
      <c r="G94" s="27">
        <v>1146</v>
      </c>
      <c r="H94" s="68">
        <f t="shared" si="6"/>
        <v>1.1459999999999999</v>
      </c>
      <c r="I94" s="10">
        <f>G94</f>
        <v>1146</v>
      </c>
    </row>
    <row r="95" spans="1:9" ht="31.5" customHeight="1">
      <c r="A95" s="22">
        <v>20</v>
      </c>
      <c r="B95" s="144" t="s">
        <v>209</v>
      </c>
      <c r="C95" s="145" t="s">
        <v>28</v>
      </c>
      <c r="D95" s="141"/>
      <c r="E95" s="27"/>
      <c r="F95" s="146">
        <v>1E-3</v>
      </c>
      <c r="G95" s="27">
        <v>1591.6</v>
      </c>
      <c r="H95" s="68">
        <f t="shared" si="6"/>
        <v>1.5915999999999999E-3</v>
      </c>
      <c r="I95" s="10">
        <f>G95*0.001</f>
        <v>1.5915999999999999</v>
      </c>
    </row>
    <row r="96" spans="1:9" ht="15.75" customHeight="1">
      <c r="A96" s="22">
        <v>21</v>
      </c>
      <c r="B96" s="66" t="s">
        <v>168</v>
      </c>
      <c r="C96" s="22" t="s">
        <v>102</v>
      </c>
      <c r="D96" s="141"/>
      <c r="E96" s="27"/>
      <c r="F96" s="27">
        <v>2</v>
      </c>
      <c r="G96" s="27">
        <v>185.08</v>
      </c>
      <c r="H96" s="68">
        <f t="shared" si="6"/>
        <v>0.37016000000000004</v>
      </c>
      <c r="I96" s="10">
        <f>G96</f>
        <v>185.08</v>
      </c>
    </row>
    <row r="97" spans="1:9" ht="15.75" customHeight="1">
      <c r="A97" s="22">
        <v>22</v>
      </c>
      <c r="B97" s="67" t="s">
        <v>206</v>
      </c>
      <c r="C97" s="91" t="s">
        <v>207</v>
      </c>
      <c r="D97" s="141"/>
      <c r="E97" s="27"/>
      <c r="F97" s="27"/>
      <c r="G97" s="158">
        <v>19499</v>
      </c>
      <c r="H97" s="68"/>
      <c r="I97" s="10">
        <f>G97*1</f>
        <v>19499</v>
      </c>
    </row>
    <row r="98" spans="1:9">
      <c r="A98" s="22"/>
      <c r="B98" s="35" t="s">
        <v>53</v>
      </c>
      <c r="C98" s="31"/>
      <c r="D98" s="38"/>
      <c r="E98" s="31">
        <v>1</v>
      </c>
      <c r="F98" s="31"/>
      <c r="G98" s="31"/>
      <c r="H98" s="31"/>
      <c r="I98" s="25">
        <f>SUM(I88:I97)</f>
        <v>327808.60800000001</v>
      </c>
    </row>
    <row r="99" spans="1:9" ht="15.75" customHeight="1">
      <c r="A99" s="22"/>
      <c r="B99" s="37" t="s">
        <v>81</v>
      </c>
      <c r="C99" s="12"/>
      <c r="D99" s="12"/>
      <c r="E99" s="32"/>
      <c r="F99" s="32"/>
      <c r="G99" s="33"/>
      <c r="H99" s="33"/>
      <c r="I99" s="15">
        <v>0</v>
      </c>
    </row>
    <row r="100" spans="1:9" ht="15.75" customHeight="1">
      <c r="A100" s="39"/>
      <c r="B100" s="36" t="s">
        <v>270</v>
      </c>
      <c r="C100" s="26"/>
      <c r="D100" s="26"/>
      <c r="E100" s="26"/>
      <c r="F100" s="26"/>
      <c r="G100" s="26"/>
      <c r="H100" s="26"/>
      <c r="I100" s="34">
        <f>I86+I98</f>
        <v>362377.73278866668</v>
      </c>
    </row>
    <row r="101" spans="1:9" ht="15.75" customHeight="1">
      <c r="A101" s="193" t="s">
        <v>311</v>
      </c>
      <c r="B101" s="193"/>
      <c r="C101" s="193"/>
      <c r="D101" s="193"/>
      <c r="E101" s="193"/>
      <c r="F101" s="193"/>
      <c r="G101" s="193"/>
      <c r="H101" s="193"/>
      <c r="I101" s="193"/>
    </row>
    <row r="102" spans="1:9" ht="15.75" customHeight="1">
      <c r="A102" s="53"/>
      <c r="B102" s="199" t="s">
        <v>312</v>
      </c>
      <c r="C102" s="199"/>
      <c r="D102" s="199"/>
      <c r="E102" s="199"/>
      <c r="F102" s="199"/>
      <c r="G102" s="199"/>
      <c r="H102" s="64"/>
      <c r="I102" s="2"/>
    </row>
    <row r="103" spans="1:9" ht="15.75" customHeight="1">
      <c r="A103" s="55"/>
      <c r="B103" s="162" t="s">
        <v>6</v>
      </c>
      <c r="C103" s="162"/>
      <c r="D103" s="162"/>
      <c r="E103" s="162"/>
      <c r="F103" s="162"/>
      <c r="G103" s="162"/>
      <c r="H103" s="17"/>
      <c r="I103" s="4"/>
    </row>
    <row r="104" spans="1:9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 customHeight="1">
      <c r="A105" s="168" t="s">
        <v>7</v>
      </c>
      <c r="B105" s="168"/>
      <c r="C105" s="168"/>
      <c r="D105" s="168"/>
      <c r="E105" s="168"/>
      <c r="F105" s="168"/>
      <c r="G105" s="168"/>
      <c r="H105" s="168"/>
      <c r="I105" s="168"/>
    </row>
    <row r="106" spans="1:9" ht="15.75">
      <c r="A106" s="168" t="s">
        <v>8</v>
      </c>
      <c r="B106" s="168"/>
      <c r="C106" s="168"/>
      <c r="D106" s="168"/>
      <c r="E106" s="168"/>
      <c r="F106" s="168"/>
      <c r="G106" s="168"/>
      <c r="H106" s="168"/>
      <c r="I106" s="168"/>
    </row>
    <row r="107" spans="1:9" ht="15.75">
      <c r="A107" s="164" t="s">
        <v>63</v>
      </c>
      <c r="B107" s="164"/>
      <c r="C107" s="164"/>
      <c r="D107" s="164"/>
      <c r="E107" s="164"/>
      <c r="F107" s="164"/>
      <c r="G107" s="164"/>
      <c r="H107" s="164"/>
      <c r="I107" s="164"/>
    </row>
    <row r="108" spans="1:9" ht="15.75">
      <c r="A108" s="8"/>
    </row>
    <row r="109" spans="1:9" ht="15.75">
      <c r="A109" s="170" t="s">
        <v>9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15.75">
      <c r="A110" s="3"/>
    </row>
    <row r="111" spans="1:9" ht="15.75" customHeight="1">
      <c r="B111" s="58" t="s">
        <v>10</v>
      </c>
      <c r="C111" s="197" t="s">
        <v>147</v>
      </c>
      <c r="D111" s="197"/>
      <c r="E111" s="197"/>
      <c r="F111" s="62"/>
      <c r="I111" s="59"/>
    </row>
    <row r="112" spans="1:9" ht="15.75" customHeight="1">
      <c r="A112" s="55"/>
      <c r="C112" s="162" t="s">
        <v>11</v>
      </c>
      <c r="D112" s="162"/>
      <c r="E112" s="162"/>
      <c r="F112" s="17"/>
      <c r="I112" s="57" t="s">
        <v>12</v>
      </c>
    </row>
    <row r="113" spans="1:9" ht="15.75" customHeight="1">
      <c r="A113" s="18"/>
      <c r="C113" s="9"/>
      <c r="D113" s="9"/>
      <c r="G113" s="9"/>
      <c r="H113" s="9"/>
    </row>
    <row r="114" spans="1:9" ht="15.75" customHeight="1">
      <c r="B114" s="58" t="s">
        <v>13</v>
      </c>
      <c r="C114" s="177"/>
      <c r="D114" s="177"/>
      <c r="E114" s="177"/>
      <c r="F114" s="63"/>
      <c r="I114" s="59"/>
    </row>
    <row r="115" spans="1:9">
      <c r="A115" s="55"/>
      <c r="C115" s="198" t="s">
        <v>11</v>
      </c>
      <c r="D115" s="198"/>
      <c r="E115" s="198"/>
      <c r="F115" s="55"/>
      <c r="I115" s="57" t="s">
        <v>12</v>
      </c>
    </row>
    <row r="116" spans="1:9" ht="15.75">
      <c r="A116" s="3" t="s">
        <v>14</v>
      </c>
    </row>
    <row r="117" spans="1:9">
      <c r="A117" s="165" t="s">
        <v>15</v>
      </c>
      <c r="B117" s="165"/>
      <c r="C117" s="165"/>
      <c r="D117" s="165"/>
      <c r="E117" s="165"/>
      <c r="F117" s="165"/>
      <c r="G117" s="165"/>
      <c r="H117" s="165"/>
      <c r="I117" s="165"/>
    </row>
    <row r="118" spans="1:9" ht="45" customHeight="1">
      <c r="A118" s="159" t="s">
        <v>16</v>
      </c>
      <c r="B118" s="159"/>
      <c r="C118" s="159"/>
      <c r="D118" s="159"/>
      <c r="E118" s="159"/>
      <c r="F118" s="159"/>
      <c r="G118" s="159"/>
      <c r="H118" s="159"/>
      <c r="I118" s="159"/>
    </row>
    <row r="119" spans="1:9" ht="30" customHeight="1">
      <c r="A119" s="159" t="s">
        <v>17</v>
      </c>
      <c r="B119" s="159"/>
      <c r="C119" s="159"/>
      <c r="D119" s="159"/>
      <c r="E119" s="159"/>
      <c r="F119" s="159"/>
      <c r="G119" s="159"/>
      <c r="H119" s="159"/>
      <c r="I119" s="159"/>
    </row>
    <row r="120" spans="1:9" ht="30" customHeight="1">
      <c r="A120" s="159" t="s">
        <v>21</v>
      </c>
      <c r="B120" s="159"/>
      <c r="C120" s="159"/>
      <c r="D120" s="159"/>
      <c r="E120" s="159"/>
      <c r="F120" s="159"/>
      <c r="G120" s="159"/>
      <c r="H120" s="159"/>
      <c r="I120" s="159"/>
    </row>
    <row r="121" spans="1:9" ht="15" customHeight="1">
      <c r="A121" s="159" t="s">
        <v>20</v>
      </c>
      <c r="B121" s="159"/>
      <c r="C121" s="159"/>
      <c r="D121" s="159"/>
      <c r="E121" s="159"/>
      <c r="F121" s="159"/>
      <c r="G121" s="159"/>
      <c r="H121" s="159"/>
      <c r="I121" s="159"/>
    </row>
  </sheetData>
  <mergeCells count="28">
    <mergeCell ref="A14:I14"/>
    <mergeCell ref="A3:I3"/>
    <mergeCell ref="A4:I4"/>
    <mergeCell ref="A5:I5"/>
    <mergeCell ref="A8:I8"/>
    <mergeCell ref="A10:I10"/>
    <mergeCell ref="A109:I109"/>
    <mergeCell ref="A15:I15"/>
    <mergeCell ref="A28:I28"/>
    <mergeCell ref="A44:I44"/>
    <mergeCell ref="A56:I56"/>
    <mergeCell ref="A83:I83"/>
    <mergeCell ref="A101:I101"/>
    <mergeCell ref="B102:G102"/>
    <mergeCell ref="B103:G103"/>
    <mergeCell ref="A105:I105"/>
    <mergeCell ref="A106:I106"/>
    <mergeCell ref="A107:I107"/>
    <mergeCell ref="A87:I87"/>
    <mergeCell ref="A119:I119"/>
    <mergeCell ref="A120:I120"/>
    <mergeCell ref="A121:I121"/>
    <mergeCell ref="C111:E111"/>
    <mergeCell ref="C112:E112"/>
    <mergeCell ref="C114:E114"/>
    <mergeCell ref="C115:E115"/>
    <mergeCell ref="A117:I117"/>
    <mergeCell ref="A118:I118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19"/>
  <sheetViews>
    <sheetView topLeftCell="A83" workbookViewId="0">
      <selection activeCell="B100" sqref="B100: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183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289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56"/>
      <c r="C6" s="56"/>
      <c r="D6" s="56"/>
      <c r="E6" s="56"/>
      <c r="F6" s="56"/>
      <c r="G6" s="56"/>
      <c r="H6" s="56"/>
      <c r="I6" s="23">
        <v>43008</v>
      </c>
    </row>
    <row r="7" spans="1:9" ht="15.75">
      <c r="B7" s="58"/>
      <c r="C7" s="58"/>
      <c r="D7" s="58"/>
      <c r="E7" s="2"/>
      <c r="F7" s="2"/>
      <c r="G7" s="2"/>
      <c r="H7" s="2"/>
    </row>
    <row r="8" spans="1:9" ht="78.75" customHeight="1">
      <c r="A8" s="180" t="s">
        <v>148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31.5" customHeight="1">
      <c r="A16" s="22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</row>
    <row r="17" spans="1:9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</row>
    <row r="18" spans="1:9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</row>
    <row r="19" spans="1:9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v>0</v>
      </c>
    </row>
    <row r="20" spans="1:9" ht="15.75" customHeight="1">
      <c r="A20" s="22">
        <v>4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</row>
    <row r="21" spans="1:9" ht="15.75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f>F21/6*G21</f>
        <v>6.2378100000000014</v>
      </c>
    </row>
    <row r="22" spans="1:9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v>0</v>
      </c>
    </row>
    <row r="23" spans="1:9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v>0</v>
      </c>
    </row>
    <row r="24" spans="1:9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v>0</v>
      </c>
    </row>
    <row r="25" spans="1:9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v>0</v>
      </c>
    </row>
    <row r="26" spans="1:9" ht="15.75" customHeight="1">
      <c r="A26" s="22">
        <v>6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>SUM(F26*G26/1000)</f>
        <v>5.737070000000001</v>
      </c>
      <c r="I26" s="10">
        <f>F26/12*G26</f>
        <v>478.08916666666664</v>
      </c>
    </row>
    <row r="27" spans="1:9" ht="15.75" customHeight="1">
      <c r="A27" s="22">
        <v>7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>SUM(F27*G27/1000)</f>
        <v>163.78560000000002</v>
      </c>
      <c r="I27" s="10">
        <f>F27/12*G27</f>
        <v>13648.8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31.5" customHeight="1">
      <c r="A30" s="22">
        <v>8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1">SUM(F30*G30/1000)</f>
        <v>1.080971892</v>
      </c>
      <c r="I30" s="10">
        <f>F30/6*G30</f>
        <v>180.16198199999997</v>
      </c>
    </row>
    <row r="31" spans="1:9" ht="31.5" customHeight="1">
      <c r="A31" s="22">
        <v>9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1"/>
        <v>1.0523934719999999</v>
      </c>
      <c r="I31" s="10">
        <f t="shared" ref="I31:I33" si="2">F31/6*G31</f>
        <v>175.398912</v>
      </c>
    </row>
    <row r="32" spans="1:9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1"/>
        <v>1.1979879792000001</v>
      </c>
      <c r="I32" s="10">
        <f>F32*G32</f>
        <v>1197.9879792000002</v>
      </c>
    </row>
    <row r="33" spans="1:9" ht="15.75" customHeight="1">
      <c r="A33" s="22">
        <v>10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157</v>
      </c>
      <c r="E34" s="71"/>
      <c r="F34" s="72">
        <v>3</v>
      </c>
      <c r="G34" s="72">
        <v>204.32</v>
      </c>
      <c r="H34" s="73">
        <f t="shared" si="1"/>
        <v>0.61296000000000006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157</v>
      </c>
      <c r="E35" s="71"/>
      <c r="F35" s="72">
        <v>2</v>
      </c>
      <c r="G35" s="72">
        <v>1214.73</v>
      </c>
      <c r="H35" s="73">
        <f t="shared" si="1"/>
        <v>2.4294600000000002</v>
      </c>
      <c r="I35" s="10">
        <v>0</v>
      </c>
    </row>
    <row r="36" spans="1:9" ht="15.75" hidden="1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hidden="1" customHeight="1">
      <c r="A37" s="22">
        <v>8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</row>
    <row r="38" spans="1:9" ht="15.75" hidden="1" customHeight="1">
      <c r="A38" s="22">
        <v>9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3">SUM(F38*G38/1000)</f>
        <v>2.9313559799999998</v>
      </c>
      <c r="I38" s="10">
        <f>F38/6*G38</f>
        <v>488.55932999999993</v>
      </c>
    </row>
    <row r="39" spans="1:9" ht="15.75" hidden="1" customHeight="1">
      <c r="A39" s="22">
        <v>10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3"/>
        <v>2.8361217999999999</v>
      </c>
      <c r="I39" s="10">
        <f>F39/6*G39</f>
        <v>472.68696666666665</v>
      </c>
    </row>
    <row r="40" spans="1:9" ht="15.75" hidden="1" customHeight="1">
      <c r="A40" s="22"/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3"/>
        <v>23.452000000000002</v>
      </c>
      <c r="I40" s="10">
        <v>0</v>
      </c>
    </row>
    <row r="41" spans="1:9" ht="47.25" hidden="1" customHeight="1">
      <c r="A41" s="22">
        <v>11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3"/>
        <v>9.4386193649999992</v>
      </c>
      <c r="I41" s="10">
        <f>F41/6*G41</f>
        <v>1573.1032275</v>
      </c>
    </row>
    <row r="42" spans="1:9" ht="15.75" hidden="1" customHeight="1">
      <c r="A42" s="22">
        <v>12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3"/>
        <v>0.89646442199999987</v>
      </c>
      <c r="I42" s="10">
        <f>F42/6*G42</f>
        <v>149.41073699999998</v>
      </c>
    </row>
    <row r="43" spans="1:9" ht="15.75" hidden="1" customHeight="1">
      <c r="A43" s="22">
        <v>13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3"/>
        <v>0.76775400000000005</v>
      </c>
      <c r="I43" s="10">
        <f>F43/6*G43</f>
        <v>127.95899999999999</v>
      </c>
    </row>
    <row r="44" spans="1:9" ht="15.75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customHeight="1">
      <c r="A45" s="22">
        <v>11</v>
      </c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4">SUM(F45*G45/1000)</f>
        <v>1.9206154680000005</v>
      </c>
      <c r="I45" s="10">
        <f t="shared" ref="I45:I48" si="5">F45/2*G45</f>
        <v>960.30773400000021</v>
      </c>
    </row>
    <row r="46" spans="1:9" ht="15.75" customHeight="1">
      <c r="A46" s="22">
        <v>12</v>
      </c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4"/>
        <v>0.13132552</v>
      </c>
      <c r="I46" s="10">
        <f t="shared" si="5"/>
        <v>65.662760000000006</v>
      </c>
    </row>
    <row r="47" spans="1:9" ht="15.75" customHeight="1">
      <c r="A47" s="22">
        <v>13</v>
      </c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4"/>
        <v>1.9367726630000004</v>
      </c>
      <c r="I47" s="10">
        <f t="shared" si="5"/>
        <v>968.38633150000021</v>
      </c>
    </row>
    <row r="48" spans="1:9" ht="15.75" customHeight="1">
      <c r="A48" s="22">
        <v>14</v>
      </c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4"/>
        <v>2.1010746879999997</v>
      </c>
      <c r="I48" s="10">
        <f t="shared" si="5"/>
        <v>1050.5373439999998</v>
      </c>
    </row>
    <row r="49" spans="1:9" ht="15.75" customHeight="1">
      <c r="A49" s="22">
        <v>15</v>
      </c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4"/>
        <v>0.13363571200000002</v>
      </c>
      <c r="I49" s="10">
        <f>F49/2*G49</f>
        <v>66.817856000000006</v>
      </c>
    </row>
    <row r="50" spans="1:9" ht="15.75" customHeight="1">
      <c r="A50" s="22">
        <v>16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4"/>
        <v>5.7761391999999994</v>
      </c>
      <c r="I50" s="10">
        <f>F50/5*G50</f>
        <v>1155.22784</v>
      </c>
    </row>
    <row r="51" spans="1:9" ht="31.5" hidden="1" customHeight="1">
      <c r="A51" s="22"/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4"/>
        <v>2.31045568</v>
      </c>
      <c r="I51" s="10">
        <v>0</v>
      </c>
    </row>
    <row r="52" spans="1:9" ht="31.5" hidden="1" customHeight="1">
      <c r="A52" s="22"/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4"/>
        <v>1.167556</v>
      </c>
      <c r="I52" s="10">
        <v>0</v>
      </c>
    </row>
    <row r="53" spans="1:9" ht="15.75" hidden="1" customHeight="1">
      <c r="A53" s="22"/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4"/>
        <v>0.1208424</v>
      </c>
      <c r="I53" s="10">
        <v>0</v>
      </c>
    </row>
    <row r="54" spans="1:9" ht="15.75" customHeight="1">
      <c r="A54" s="22">
        <v>17</v>
      </c>
      <c r="B54" s="69" t="s">
        <v>108</v>
      </c>
      <c r="C54" s="70" t="s">
        <v>102</v>
      </c>
      <c r="D54" s="69" t="s">
        <v>74</v>
      </c>
      <c r="E54" s="71">
        <v>62</v>
      </c>
      <c r="F54" s="72">
        <f>SUM(E54*4)</f>
        <v>248</v>
      </c>
      <c r="G54" s="10">
        <v>150.86000000000001</v>
      </c>
      <c r="H54" s="73">
        <f t="shared" si="4"/>
        <v>37.413280000000007</v>
      </c>
      <c r="I54" s="10">
        <f>E54*G54</f>
        <v>9353.3200000000015</v>
      </c>
    </row>
    <row r="55" spans="1:9" ht="15.75" customHeight="1">
      <c r="A55" s="94">
        <v>18</v>
      </c>
      <c r="B55" s="81" t="s">
        <v>42</v>
      </c>
      <c r="C55" s="80" t="s">
        <v>102</v>
      </c>
      <c r="D55" s="81" t="s">
        <v>74</v>
      </c>
      <c r="E55" s="82">
        <v>124</v>
      </c>
      <c r="F55" s="83">
        <f>SUM(E55)*3</f>
        <v>372</v>
      </c>
      <c r="G55" s="95">
        <v>70.209999999999994</v>
      </c>
      <c r="H55" s="84">
        <f t="shared" si="4"/>
        <v>26.118119999999998</v>
      </c>
      <c r="I55" s="95">
        <f>E55*G55</f>
        <v>8706.0399999999991</v>
      </c>
    </row>
    <row r="56" spans="1:9" ht="15.75" customHeight="1">
      <c r="A56" s="172" t="s">
        <v>151</v>
      </c>
      <c r="B56" s="175"/>
      <c r="C56" s="175"/>
      <c r="D56" s="175"/>
      <c r="E56" s="175"/>
      <c r="F56" s="175"/>
      <c r="G56" s="175"/>
      <c r="H56" s="175"/>
      <c r="I56" s="176"/>
    </row>
    <row r="57" spans="1:9" ht="15.75" hidden="1" customHeight="1">
      <c r="A57" s="96"/>
      <c r="B57" s="97" t="s">
        <v>44</v>
      </c>
      <c r="C57" s="98"/>
      <c r="D57" s="99"/>
      <c r="E57" s="100"/>
      <c r="F57" s="101"/>
      <c r="G57" s="101"/>
      <c r="H57" s="102"/>
      <c r="I57" s="103"/>
    </row>
    <row r="58" spans="1:9" ht="31.5" hidden="1" customHeight="1">
      <c r="A58" s="22">
        <v>17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</row>
    <row r="59" spans="1:9" ht="31.5" hidden="1" customHeight="1">
      <c r="A59" s="22">
        <v>18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</row>
    <row r="60" spans="1:9" ht="31.5" hidden="1" customHeight="1">
      <c r="A60" s="22">
        <v>19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</row>
    <row r="61" spans="1:9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"/>
    </row>
    <row r="62" spans="1:9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</row>
    <row r="63" spans="1:9" ht="15.75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80" si="6">SUM(F64*G64/1000)</f>
        <v>2.3774000000000002</v>
      </c>
      <c r="I64" s="10">
        <v>0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6"/>
        <v>0.24453000000000003</v>
      </c>
      <c r="I65" s="10">
        <v>0</v>
      </c>
    </row>
    <row r="66" spans="1:9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6"/>
        <v>30.192552699999997</v>
      </c>
      <c r="I66" s="10">
        <v>0</v>
      </c>
    </row>
    <row r="67" spans="1:9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6"/>
        <v>2.3512089300000003</v>
      </c>
      <c r="I67" s="10">
        <v>0</v>
      </c>
    </row>
    <row r="68" spans="1:9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6"/>
        <v>48.436315200000003</v>
      </c>
      <c r="I68" s="10">
        <v>0</v>
      </c>
    </row>
    <row r="69" spans="1:9" ht="15.75" hidden="1" customHeight="1">
      <c r="A69" s="22"/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6"/>
        <v>0.49497199999999997</v>
      </c>
      <c r="I69" s="10">
        <v>0</v>
      </c>
    </row>
    <row r="70" spans="1:9" ht="15.75" hidden="1" customHeight="1">
      <c r="A70" s="22"/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6"/>
        <v>0.46179599999999998</v>
      </c>
      <c r="I70" s="10">
        <v>0</v>
      </c>
    </row>
    <row r="71" spans="1:9" ht="15.75" customHeight="1">
      <c r="A71" s="22">
        <v>19</v>
      </c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6"/>
        <v>0.2666</v>
      </c>
      <c r="I71" s="10">
        <f>F71*G71</f>
        <v>266.60000000000002</v>
      </c>
    </row>
    <row r="72" spans="1:9" ht="15.75" hidden="1" customHeight="1">
      <c r="A72" s="22"/>
      <c r="B72" s="54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si="6"/>
        <v>1.6776199999999999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6"/>
        <v>1</v>
      </c>
      <c r="I74" s="10">
        <v>0</v>
      </c>
    </row>
    <row r="75" spans="1:9" ht="15.75" hidden="1" customHeight="1">
      <c r="A75" s="22"/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6"/>
        <v>0.10724600000000001</v>
      </c>
      <c r="I75" s="10">
        <v>0</v>
      </c>
    </row>
    <row r="76" spans="1:9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6"/>
        <v>0.91185000000000005</v>
      </c>
      <c r="I76" s="10">
        <v>0</v>
      </c>
    </row>
    <row r="77" spans="1:9" ht="15.75" hidden="1" customHeight="1">
      <c r="A77" s="22"/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6"/>
        <v>0.38324999999999998</v>
      </c>
      <c r="I77" s="10">
        <v>0</v>
      </c>
    </row>
    <row r="78" spans="1:9" ht="15.75" hidden="1" customHeight="1">
      <c r="A78" s="22"/>
      <c r="B78" s="11" t="s">
        <v>160</v>
      </c>
      <c r="C78" s="13" t="s">
        <v>161</v>
      </c>
      <c r="D78" s="11"/>
      <c r="E78" s="16"/>
      <c r="F78" s="10"/>
      <c r="G78" s="10">
        <v>31.54</v>
      </c>
      <c r="H78" s="68">
        <f t="shared" si="6"/>
        <v>0</v>
      </c>
      <c r="I78" s="10"/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si="6"/>
        <v>0.294985</v>
      </c>
      <c r="I80" s="10">
        <v>0</v>
      </c>
    </row>
    <row r="81" spans="1:9" ht="15.75" hidden="1" customHeight="1">
      <c r="A81" s="22"/>
      <c r="B81" s="54" t="s">
        <v>98</v>
      </c>
      <c r="C81" s="89"/>
      <c r="D81" s="24"/>
      <c r="E81" s="25"/>
      <c r="F81" s="75"/>
      <c r="G81" s="75"/>
      <c r="H81" s="90">
        <f>SUM(H58:H80)</f>
        <v>112.00861796600002</v>
      </c>
      <c r="I81" s="75"/>
    </row>
    <row r="82" spans="1:9" ht="15.75" hidden="1" customHeight="1">
      <c r="A82" s="22"/>
      <c r="B82" s="69" t="s">
        <v>106</v>
      </c>
      <c r="C82" s="13"/>
      <c r="D82" s="11"/>
      <c r="E82" s="61"/>
      <c r="F82" s="10">
        <v>1</v>
      </c>
      <c r="G82" s="10">
        <v>18972</v>
      </c>
      <c r="H82" s="68">
        <f>G82*F82/1000</f>
        <v>18.972000000000001</v>
      </c>
      <c r="I82" s="10">
        <v>0</v>
      </c>
    </row>
    <row r="83" spans="1:9" ht="15.75" customHeight="1">
      <c r="A83" s="190" t="s">
        <v>152</v>
      </c>
      <c r="B83" s="191"/>
      <c r="C83" s="191"/>
      <c r="D83" s="191"/>
      <c r="E83" s="191"/>
      <c r="F83" s="191"/>
      <c r="G83" s="191"/>
      <c r="H83" s="191"/>
      <c r="I83" s="192"/>
    </row>
    <row r="84" spans="1:9" ht="15.75" customHeight="1">
      <c r="A84" s="22">
        <v>20</v>
      </c>
      <c r="B84" s="69" t="s">
        <v>107</v>
      </c>
      <c r="C84" s="13" t="s">
        <v>56</v>
      </c>
      <c r="D84" s="40" t="s">
        <v>57</v>
      </c>
      <c r="E84" s="10">
        <v>2820</v>
      </c>
      <c r="F84" s="10">
        <f>SUM(E84*12)</f>
        <v>33840</v>
      </c>
      <c r="G84" s="10">
        <v>2.54</v>
      </c>
      <c r="H84" s="68">
        <f>SUM(F84*G84/1000)</f>
        <v>85.953600000000009</v>
      </c>
      <c r="I84" s="10">
        <f>F84/12*G84</f>
        <v>7162.8</v>
      </c>
    </row>
    <row r="85" spans="1:9" ht="31.5" customHeight="1">
      <c r="A85" s="22">
        <v>21</v>
      </c>
      <c r="B85" s="11" t="s">
        <v>80</v>
      </c>
      <c r="C85" s="13"/>
      <c r="D85" s="40" t="s">
        <v>57</v>
      </c>
      <c r="E85" s="71">
        <f>E84</f>
        <v>2820</v>
      </c>
      <c r="F85" s="10">
        <f>E85*12</f>
        <v>33840</v>
      </c>
      <c r="G85" s="10">
        <v>2.0499999999999998</v>
      </c>
      <c r="H85" s="68">
        <f>F85*G85/1000</f>
        <v>69.372</v>
      </c>
      <c r="I85" s="10">
        <f>F85/12*G85</f>
        <v>5780.9999999999991</v>
      </c>
    </row>
    <row r="86" spans="1:9" ht="15.75" customHeight="1">
      <c r="A86" s="22"/>
      <c r="B86" s="29" t="s">
        <v>84</v>
      </c>
      <c r="C86" s="89"/>
      <c r="D86" s="88"/>
      <c r="E86" s="75"/>
      <c r="F86" s="75"/>
      <c r="G86" s="75"/>
      <c r="H86" s="90">
        <f>SUM(H85)</f>
        <v>69.372</v>
      </c>
      <c r="I86" s="75">
        <f>I16+I17+I18+I20+I21+I26+I27+I30+I31+I33+I45+I46+I47+I48+I49+I50+I54+I55+I71+I84+I85</f>
        <v>56785.012464166677</v>
      </c>
    </row>
    <row r="87" spans="1:9" ht="15.75" customHeight="1">
      <c r="A87" s="194" t="s">
        <v>62</v>
      </c>
      <c r="B87" s="195"/>
      <c r="C87" s="195"/>
      <c r="D87" s="195"/>
      <c r="E87" s="195"/>
      <c r="F87" s="195"/>
      <c r="G87" s="195"/>
      <c r="H87" s="195"/>
      <c r="I87" s="196"/>
    </row>
    <row r="88" spans="1:9" ht="15.75" customHeight="1">
      <c r="A88" s="22">
        <v>22</v>
      </c>
      <c r="B88" s="41" t="s">
        <v>195</v>
      </c>
      <c r="C88" s="42" t="s">
        <v>110</v>
      </c>
      <c r="D88" s="30"/>
      <c r="E88" s="15"/>
      <c r="F88" s="137">
        <f>(3+3+3+3+3+3+3+3+15+20+15+20+10+10+20+15+10+20+3)/3</f>
        <v>60.666666666666664</v>
      </c>
      <c r="G88" s="15">
        <v>1120.8900000000001</v>
      </c>
      <c r="H88" s="138">
        <f t="shared" ref="H88:H89" si="7">G88*F88/1000</f>
        <v>68.000660000000011</v>
      </c>
      <c r="I88" s="10">
        <f>G88</f>
        <v>1120.8900000000001</v>
      </c>
    </row>
    <row r="89" spans="1:9" ht="15.75" customHeight="1">
      <c r="A89" s="22">
        <v>23</v>
      </c>
      <c r="B89" s="123" t="s">
        <v>142</v>
      </c>
      <c r="C89" s="22" t="s">
        <v>30</v>
      </c>
      <c r="D89" s="30"/>
      <c r="E89" s="15"/>
      <c r="F89" s="137">
        <v>11.5</v>
      </c>
      <c r="G89" s="15">
        <v>1582</v>
      </c>
      <c r="H89" s="138">
        <f t="shared" si="7"/>
        <v>18.193000000000001</v>
      </c>
      <c r="I89" s="10">
        <f>G89*1.5</f>
        <v>2373</v>
      </c>
    </row>
    <row r="90" spans="1:9" ht="15.75" customHeight="1">
      <c r="A90" s="22">
        <v>24</v>
      </c>
      <c r="B90" s="43" t="s">
        <v>86</v>
      </c>
      <c r="C90" s="44" t="s">
        <v>102</v>
      </c>
      <c r="D90" s="30"/>
      <c r="E90" s="15"/>
      <c r="F90" s="137">
        <v>7</v>
      </c>
      <c r="G90" s="15">
        <v>189.88</v>
      </c>
      <c r="H90" s="138">
        <f>G90*F90/1000</f>
        <v>1.3291599999999999</v>
      </c>
      <c r="I90" s="10">
        <f>G90*5</f>
        <v>949.4</v>
      </c>
    </row>
    <row r="91" spans="1:9" ht="31.5" customHeight="1">
      <c r="A91" s="22">
        <v>25</v>
      </c>
      <c r="B91" s="43" t="s">
        <v>141</v>
      </c>
      <c r="C91" s="44" t="s">
        <v>38</v>
      </c>
      <c r="D91" s="141"/>
      <c r="E91" s="27"/>
      <c r="F91" s="27">
        <v>0.02</v>
      </c>
      <c r="G91" s="27">
        <v>3581.13</v>
      </c>
      <c r="H91" s="140">
        <f>G91*F91/1000</f>
        <v>7.1622600000000008E-2</v>
      </c>
      <c r="I91" s="10">
        <f>G91*0.01</f>
        <v>35.811300000000003</v>
      </c>
    </row>
    <row r="92" spans="1:9" ht="31.5" customHeight="1">
      <c r="A92" s="22">
        <v>26</v>
      </c>
      <c r="B92" s="157" t="s">
        <v>313</v>
      </c>
      <c r="C92" s="30" t="s">
        <v>120</v>
      </c>
      <c r="D92" s="141"/>
      <c r="E92" s="27"/>
      <c r="F92" s="27"/>
      <c r="G92" s="27">
        <v>42994.68</v>
      </c>
      <c r="H92" s="140"/>
      <c r="I92" s="10">
        <f>G92*0.05</f>
        <v>2149.7339999999999</v>
      </c>
    </row>
    <row r="93" spans="1:9" ht="31.5" customHeight="1">
      <c r="A93" s="22">
        <v>27</v>
      </c>
      <c r="B93" s="144" t="s">
        <v>314</v>
      </c>
      <c r="C93" s="145" t="s">
        <v>169</v>
      </c>
      <c r="D93" s="141"/>
      <c r="E93" s="27"/>
      <c r="F93" s="27"/>
      <c r="G93" s="27">
        <v>7987.62</v>
      </c>
      <c r="H93" s="140"/>
      <c r="I93" s="10">
        <f>G93*0.05</f>
        <v>399.38100000000003</v>
      </c>
    </row>
    <row r="94" spans="1:9" ht="15.75" customHeight="1">
      <c r="A94" s="22">
        <v>28</v>
      </c>
      <c r="B94" s="66" t="s">
        <v>168</v>
      </c>
      <c r="C94" s="22" t="s">
        <v>102</v>
      </c>
      <c r="D94" s="141"/>
      <c r="E94" s="27"/>
      <c r="F94" s="27">
        <v>2</v>
      </c>
      <c r="G94" s="27">
        <v>185.08</v>
      </c>
      <c r="H94" s="68">
        <f t="shared" ref="H94:H95" si="8">G94*F94/1000</f>
        <v>0.37016000000000004</v>
      </c>
      <c r="I94" s="10">
        <f t="shared" ref="I94" si="9">G94</f>
        <v>185.08</v>
      </c>
    </row>
    <row r="95" spans="1:9" ht="31.5" customHeight="1">
      <c r="A95" s="22">
        <v>29</v>
      </c>
      <c r="B95" s="144" t="s">
        <v>210</v>
      </c>
      <c r="C95" s="145" t="s">
        <v>169</v>
      </c>
      <c r="D95" s="28"/>
      <c r="E95" s="15"/>
      <c r="F95" s="27">
        <f>(3)/10</f>
        <v>0.3</v>
      </c>
      <c r="G95" s="27">
        <v>5945.91</v>
      </c>
      <c r="H95" s="68">
        <f t="shared" si="8"/>
        <v>1.7837729999999998</v>
      </c>
      <c r="I95" s="10">
        <f>G95*(3/10)</f>
        <v>1783.7729999999999</v>
      </c>
    </row>
    <row r="96" spans="1:9">
      <c r="A96" s="22"/>
      <c r="B96" s="35" t="s">
        <v>53</v>
      </c>
      <c r="C96" s="31"/>
      <c r="D96" s="38"/>
      <c r="E96" s="31">
        <v>1</v>
      </c>
      <c r="F96" s="31"/>
      <c r="G96" s="31"/>
      <c r="H96" s="31"/>
      <c r="I96" s="25">
        <f>SUM(I88:I95)</f>
        <v>8997.069300000001</v>
      </c>
    </row>
    <row r="97" spans="1:9" ht="15.75" customHeight="1">
      <c r="A97" s="22"/>
      <c r="B97" s="37" t="s">
        <v>81</v>
      </c>
      <c r="C97" s="12"/>
      <c r="D97" s="12"/>
      <c r="E97" s="32"/>
      <c r="F97" s="32"/>
      <c r="G97" s="33"/>
      <c r="H97" s="33"/>
      <c r="I97" s="15">
        <v>0</v>
      </c>
    </row>
    <row r="98" spans="1:9" ht="15.75" customHeight="1">
      <c r="A98" s="39"/>
      <c r="B98" s="36" t="s">
        <v>270</v>
      </c>
      <c r="C98" s="26"/>
      <c r="D98" s="26"/>
      <c r="E98" s="26"/>
      <c r="F98" s="26"/>
      <c r="G98" s="26"/>
      <c r="H98" s="26"/>
      <c r="I98" s="34">
        <f>I86+I96</f>
        <v>65782.08176416668</v>
      </c>
    </row>
    <row r="99" spans="1:9" ht="15.75" customHeight="1">
      <c r="A99" s="193" t="s">
        <v>315</v>
      </c>
      <c r="B99" s="193"/>
      <c r="C99" s="193"/>
      <c r="D99" s="193"/>
      <c r="E99" s="193"/>
      <c r="F99" s="193"/>
      <c r="G99" s="193"/>
      <c r="H99" s="193"/>
      <c r="I99" s="193"/>
    </row>
    <row r="100" spans="1:9" ht="15.75" customHeight="1">
      <c r="A100" s="53"/>
      <c r="B100" s="199" t="s">
        <v>316</v>
      </c>
      <c r="C100" s="199"/>
      <c r="D100" s="199"/>
      <c r="E100" s="199"/>
      <c r="F100" s="199"/>
      <c r="G100" s="199"/>
      <c r="H100" s="64"/>
      <c r="I100" s="2"/>
    </row>
    <row r="101" spans="1:9" ht="15.75" customHeight="1">
      <c r="A101" s="55"/>
      <c r="B101" s="162" t="s">
        <v>6</v>
      </c>
      <c r="C101" s="162"/>
      <c r="D101" s="162"/>
      <c r="E101" s="162"/>
      <c r="F101" s="162"/>
      <c r="G101" s="162"/>
      <c r="H101" s="17"/>
      <c r="I101" s="4"/>
    </row>
    <row r="102" spans="1:9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 customHeight="1">
      <c r="A103" s="168" t="s">
        <v>7</v>
      </c>
      <c r="B103" s="168"/>
      <c r="C103" s="168"/>
      <c r="D103" s="168"/>
      <c r="E103" s="168"/>
      <c r="F103" s="168"/>
      <c r="G103" s="168"/>
      <c r="H103" s="168"/>
      <c r="I103" s="168"/>
    </row>
    <row r="104" spans="1:9" ht="15.75">
      <c r="A104" s="168" t="s">
        <v>8</v>
      </c>
      <c r="B104" s="168"/>
      <c r="C104" s="168"/>
      <c r="D104" s="168"/>
      <c r="E104" s="168"/>
      <c r="F104" s="168"/>
      <c r="G104" s="168"/>
      <c r="H104" s="168"/>
      <c r="I104" s="168"/>
    </row>
    <row r="105" spans="1:9" ht="15.75">
      <c r="A105" s="164" t="s">
        <v>63</v>
      </c>
      <c r="B105" s="164"/>
      <c r="C105" s="164"/>
      <c r="D105" s="164"/>
      <c r="E105" s="164"/>
      <c r="F105" s="164"/>
      <c r="G105" s="164"/>
      <c r="H105" s="164"/>
      <c r="I105" s="164"/>
    </row>
    <row r="106" spans="1:9" ht="15.75">
      <c r="A106" s="8"/>
    </row>
    <row r="107" spans="1:9" ht="15.75">
      <c r="A107" s="170" t="s">
        <v>9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ht="15.75">
      <c r="A108" s="3"/>
    </row>
    <row r="109" spans="1:9" ht="15.75" customHeight="1">
      <c r="B109" s="58" t="s">
        <v>10</v>
      </c>
      <c r="C109" s="197" t="s">
        <v>147</v>
      </c>
      <c r="D109" s="197"/>
      <c r="E109" s="197"/>
      <c r="F109" s="62"/>
      <c r="I109" s="59"/>
    </row>
    <row r="110" spans="1:9" ht="15.75" customHeight="1">
      <c r="A110" s="55"/>
      <c r="C110" s="162" t="s">
        <v>11</v>
      </c>
      <c r="D110" s="162"/>
      <c r="E110" s="162"/>
      <c r="F110" s="17"/>
      <c r="I110" s="57" t="s">
        <v>12</v>
      </c>
    </row>
    <row r="111" spans="1:9" ht="15.75" customHeight="1">
      <c r="A111" s="18"/>
      <c r="C111" s="9"/>
      <c r="D111" s="9"/>
      <c r="G111" s="9"/>
      <c r="H111" s="9"/>
    </row>
    <row r="112" spans="1:9" ht="15.75" customHeight="1">
      <c r="B112" s="58" t="s">
        <v>13</v>
      </c>
      <c r="C112" s="177"/>
      <c r="D112" s="177"/>
      <c r="E112" s="177"/>
      <c r="F112" s="63"/>
      <c r="I112" s="59"/>
    </row>
    <row r="113" spans="1:9">
      <c r="A113" s="55"/>
      <c r="C113" s="198" t="s">
        <v>11</v>
      </c>
      <c r="D113" s="198"/>
      <c r="E113" s="198"/>
      <c r="F113" s="55"/>
      <c r="I113" s="57" t="s">
        <v>12</v>
      </c>
    </row>
    <row r="114" spans="1:9" ht="15.75">
      <c r="A114" s="3" t="s">
        <v>14</v>
      </c>
    </row>
    <row r="115" spans="1:9">
      <c r="A115" s="165" t="s">
        <v>15</v>
      </c>
      <c r="B115" s="165"/>
      <c r="C115" s="165"/>
      <c r="D115" s="165"/>
      <c r="E115" s="165"/>
      <c r="F115" s="165"/>
      <c r="G115" s="165"/>
      <c r="H115" s="165"/>
      <c r="I115" s="165"/>
    </row>
    <row r="116" spans="1:9" ht="45" customHeight="1">
      <c r="A116" s="159" t="s">
        <v>16</v>
      </c>
      <c r="B116" s="159"/>
      <c r="C116" s="159"/>
      <c r="D116" s="159"/>
      <c r="E116" s="159"/>
      <c r="F116" s="159"/>
      <c r="G116" s="159"/>
      <c r="H116" s="159"/>
      <c r="I116" s="159"/>
    </row>
    <row r="117" spans="1:9" ht="30" customHeight="1">
      <c r="A117" s="159" t="s">
        <v>17</v>
      </c>
      <c r="B117" s="159"/>
      <c r="C117" s="159"/>
      <c r="D117" s="159"/>
      <c r="E117" s="159"/>
      <c r="F117" s="159"/>
      <c r="G117" s="159"/>
      <c r="H117" s="159"/>
      <c r="I117" s="159"/>
    </row>
    <row r="118" spans="1:9" ht="30" customHeight="1">
      <c r="A118" s="159" t="s">
        <v>21</v>
      </c>
      <c r="B118" s="159"/>
      <c r="C118" s="159"/>
      <c r="D118" s="159"/>
      <c r="E118" s="159"/>
      <c r="F118" s="159"/>
      <c r="G118" s="159"/>
      <c r="H118" s="159"/>
      <c r="I118" s="159"/>
    </row>
    <row r="119" spans="1:9" ht="15" customHeight="1">
      <c r="A119" s="159" t="s">
        <v>20</v>
      </c>
      <c r="B119" s="159"/>
      <c r="C119" s="159"/>
      <c r="D119" s="159"/>
      <c r="E119" s="159"/>
      <c r="F119" s="159"/>
      <c r="G119" s="159"/>
      <c r="H119" s="159"/>
      <c r="I119" s="159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8:I28"/>
    <mergeCell ref="A44:I44"/>
    <mergeCell ref="A56:I56"/>
    <mergeCell ref="A83:I83"/>
    <mergeCell ref="A99:I99"/>
    <mergeCell ref="B100:G100"/>
    <mergeCell ref="B101:G101"/>
    <mergeCell ref="A103:I103"/>
    <mergeCell ref="A104:I104"/>
    <mergeCell ref="A105:I105"/>
    <mergeCell ref="A87:I87"/>
    <mergeCell ref="A117:I117"/>
    <mergeCell ref="A118:I118"/>
    <mergeCell ref="A119:I119"/>
    <mergeCell ref="C109:E109"/>
    <mergeCell ref="C110:E110"/>
    <mergeCell ref="C112:E112"/>
    <mergeCell ref="C113:E113"/>
    <mergeCell ref="A115:I115"/>
    <mergeCell ref="A116:I116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36"/>
  <sheetViews>
    <sheetView topLeftCell="A104" workbookViewId="0">
      <selection activeCell="B117" sqref="B117:G11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184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290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56"/>
      <c r="C6" s="56"/>
      <c r="D6" s="56"/>
      <c r="E6" s="56"/>
      <c r="F6" s="56"/>
      <c r="G6" s="56"/>
      <c r="H6" s="56"/>
      <c r="I6" s="23">
        <v>43039</v>
      </c>
    </row>
    <row r="7" spans="1:9" ht="15.75">
      <c r="B7" s="58"/>
      <c r="C7" s="58"/>
      <c r="D7" s="58"/>
      <c r="E7" s="2"/>
      <c r="F7" s="2"/>
      <c r="G7" s="2"/>
      <c r="H7" s="2"/>
    </row>
    <row r="8" spans="1:9" ht="78.75" customHeight="1">
      <c r="A8" s="180" t="s">
        <v>291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5.75" customHeight="1">
      <c r="A16" s="22">
        <v>1</v>
      </c>
      <c r="B16" s="69" t="s">
        <v>114</v>
      </c>
      <c r="C16" s="70" t="s">
        <v>92</v>
      </c>
      <c r="D16" s="69" t="s">
        <v>233</v>
      </c>
      <c r="E16" s="71">
        <v>43.36</v>
      </c>
      <c r="F16" s="72">
        <f>SUM(E16*156/100)</f>
        <v>67.641599999999997</v>
      </c>
      <c r="G16" s="72">
        <v>230</v>
      </c>
      <c r="H16" s="73">
        <f t="shared" ref="H16:H25" si="0">SUM(F16*G16/1000)</f>
        <v>15.557568</v>
      </c>
      <c r="I16" s="10">
        <f>F16/12*G16</f>
        <v>1296.4639999999999</v>
      </c>
    </row>
    <row r="17" spans="1:9" ht="15.75" customHeight="1">
      <c r="A17" s="22">
        <v>2</v>
      </c>
      <c r="B17" s="69" t="s">
        <v>116</v>
      </c>
      <c r="C17" s="70" t="s">
        <v>92</v>
      </c>
      <c r="D17" s="69" t="s">
        <v>234</v>
      </c>
      <c r="E17" s="71">
        <v>173.44</v>
      </c>
      <c r="F17" s="72">
        <f>SUM(E17*104/100)</f>
        <v>180.37759999999997</v>
      </c>
      <c r="G17" s="72">
        <v>230</v>
      </c>
      <c r="H17" s="73">
        <f t="shared" si="0"/>
        <v>41.486847999999988</v>
      </c>
      <c r="I17" s="10">
        <f>F17/12*G17</f>
        <v>3457.237333333333</v>
      </c>
    </row>
    <row r="18" spans="1:9" ht="15.75" customHeight="1">
      <c r="A18" s="22">
        <v>3</v>
      </c>
      <c r="B18" s="69" t="s">
        <v>118</v>
      </c>
      <c r="C18" s="70" t="s">
        <v>92</v>
      </c>
      <c r="D18" s="69" t="s">
        <v>235</v>
      </c>
      <c r="E18" s="71">
        <f>SUM(E16+E17)</f>
        <v>216.8</v>
      </c>
      <c r="F18" s="72">
        <f>SUM(E18*24/100)</f>
        <v>52.032000000000011</v>
      </c>
      <c r="G18" s="72">
        <v>661.67</v>
      </c>
      <c r="H18" s="73">
        <f t="shared" si="0"/>
        <v>34.428013440000001</v>
      </c>
      <c r="I18" s="10">
        <f>F18/12*G18</f>
        <v>2869.0011200000008</v>
      </c>
    </row>
    <row r="19" spans="1:9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223.17</v>
      </c>
      <c r="H19" s="73">
        <f t="shared" si="0"/>
        <v>0.89267999999999992</v>
      </c>
      <c r="I19" s="10">
        <v>0</v>
      </c>
    </row>
    <row r="20" spans="1:9" ht="15.75" hidden="1" customHeight="1">
      <c r="A20" s="22">
        <v>4</v>
      </c>
      <c r="B20" s="69" t="s">
        <v>122</v>
      </c>
      <c r="C20" s="70" t="s">
        <v>92</v>
      </c>
      <c r="D20" s="69" t="s">
        <v>43</v>
      </c>
      <c r="E20" s="71">
        <v>10.5</v>
      </c>
      <c r="F20" s="72">
        <f>SUM(E20*2/100)</f>
        <v>0.21</v>
      </c>
      <c r="G20" s="72">
        <v>285.76</v>
      </c>
      <c r="H20" s="73">
        <f t="shared" si="0"/>
        <v>6.0009599999999996E-2</v>
      </c>
      <c r="I20" s="10">
        <v>0</v>
      </c>
    </row>
    <row r="21" spans="1:9" ht="15.75" hidden="1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283.44</v>
      </c>
      <c r="H21" s="73">
        <f t="shared" si="0"/>
        <v>4.5917280000000012E-2</v>
      </c>
      <c r="I21" s="10">
        <v>0</v>
      </c>
    </row>
    <row r="22" spans="1:9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353.14</v>
      </c>
      <c r="H22" s="73">
        <f t="shared" si="0"/>
        <v>1.2607097999999999</v>
      </c>
      <c r="I22" s="10">
        <v>0</v>
      </c>
    </row>
    <row r="23" spans="1:9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58.08</v>
      </c>
      <c r="H23" s="73">
        <f t="shared" si="0"/>
        <v>2.2442112E-2</v>
      </c>
      <c r="I23" s="10">
        <v>0</v>
      </c>
    </row>
    <row r="24" spans="1:9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511.12</v>
      </c>
      <c r="H24" s="73">
        <f t="shared" si="0"/>
        <v>7.6667999999999986E-2</v>
      </c>
      <c r="I24" s="10">
        <v>0</v>
      </c>
    </row>
    <row r="25" spans="1:9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683.05</v>
      </c>
      <c r="H25" s="73">
        <f t="shared" si="0"/>
        <v>4.3578589999999993E-2</v>
      </c>
      <c r="I25" s="10">
        <v>0</v>
      </c>
    </row>
    <row r="26" spans="1:9" ht="15.75" customHeight="1">
      <c r="A26" s="22">
        <v>4</v>
      </c>
      <c r="B26" s="69" t="s">
        <v>66</v>
      </c>
      <c r="C26" s="70" t="s">
        <v>32</v>
      </c>
      <c r="D26" s="69" t="s">
        <v>236</v>
      </c>
      <c r="E26" s="71">
        <v>0.1</v>
      </c>
      <c r="F26" s="72">
        <f>SUM(E26*182)</f>
        <v>18.2</v>
      </c>
      <c r="G26" s="72">
        <v>264.85000000000002</v>
      </c>
      <c r="H26" s="73">
        <f t="shared" ref="H26:H27" si="1">SUM(F26*G26/1000)</f>
        <v>4.8202700000000007</v>
      </c>
      <c r="I26" s="10">
        <f>F26/12*G26</f>
        <v>401.68916666666667</v>
      </c>
    </row>
    <row r="27" spans="1:9" ht="15.75" customHeight="1">
      <c r="A27" s="22">
        <v>5</v>
      </c>
      <c r="B27" s="77" t="s">
        <v>23</v>
      </c>
      <c r="C27" s="70" t="s">
        <v>24</v>
      </c>
      <c r="D27" s="77" t="s">
        <v>158</v>
      </c>
      <c r="E27" s="71">
        <v>2579.4</v>
      </c>
      <c r="F27" s="72">
        <f>SUM(E27*12)</f>
        <v>30952.800000000003</v>
      </c>
      <c r="G27" s="72">
        <v>3.34</v>
      </c>
      <c r="H27" s="73">
        <f t="shared" si="1"/>
        <v>103.382352</v>
      </c>
      <c r="I27" s="10">
        <f>F27/12*G27</f>
        <v>8615.1959999999999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15.75" customHeight="1">
      <c r="A30" s="22">
        <v>6</v>
      </c>
      <c r="B30" s="69" t="s">
        <v>100</v>
      </c>
      <c r="C30" s="70" t="s">
        <v>94</v>
      </c>
      <c r="D30" s="69" t="s">
        <v>237</v>
      </c>
      <c r="E30" s="72">
        <v>124.74</v>
      </c>
      <c r="F30" s="72">
        <f>SUM(E30*52/1000)</f>
        <v>6.4864799999999994</v>
      </c>
      <c r="G30" s="72">
        <v>204.44</v>
      </c>
      <c r="H30" s="73">
        <f t="shared" ref="H30:H35" si="2">SUM(F30*G30/1000)</f>
        <v>1.3260959712</v>
      </c>
      <c r="I30" s="10">
        <f>F30/6*G30</f>
        <v>221.01599519999996</v>
      </c>
    </row>
    <row r="31" spans="1:9" ht="31.5" customHeight="1">
      <c r="A31" s="22">
        <v>7</v>
      </c>
      <c r="B31" s="69" t="s">
        <v>173</v>
      </c>
      <c r="C31" s="70" t="s">
        <v>94</v>
      </c>
      <c r="D31" s="69" t="s">
        <v>238</v>
      </c>
      <c r="E31" s="72">
        <v>31.4</v>
      </c>
      <c r="F31" s="72">
        <f>SUM(E31*52/1000)</f>
        <v>1.6328</v>
      </c>
      <c r="G31" s="72">
        <v>339.21</v>
      </c>
      <c r="H31" s="73">
        <f t="shared" si="2"/>
        <v>0.55386208799999992</v>
      </c>
      <c r="I31" s="10">
        <f t="shared" ref="I31:I33" si="3">F31/6*G31</f>
        <v>92.310347999999991</v>
      </c>
    </row>
    <row r="32" spans="1:9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124.7</v>
      </c>
      <c r="F32" s="72">
        <f>SUM(E32/1000)</f>
        <v>0.12470000000000001</v>
      </c>
      <c r="G32" s="72">
        <v>3961.23</v>
      </c>
      <c r="H32" s="73">
        <f t="shared" si="2"/>
        <v>0.49396538100000004</v>
      </c>
      <c r="I32" s="10">
        <f t="shared" si="3"/>
        <v>82.327563500000011</v>
      </c>
    </row>
    <row r="33" spans="1:9" ht="15.75" customHeight="1">
      <c r="A33" s="22">
        <v>8</v>
      </c>
      <c r="B33" s="69" t="s">
        <v>99</v>
      </c>
      <c r="C33" s="70" t="s">
        <v>30</v>
      </c>
      <c r="D33" s="69" t="s">
        <v>65</v>
      </c>
      <c r="E33" s="76">
        <f>1/3</f>
        <v>0.33333333333333331</v>
      </c>
      <c r="F33" s="72">
        <f>155/3</f>
        <v>51.666666666666664</v>
      </c>
      <c r="G33" s="72">
        <v>74.349999999999994</v>
      </c>
      <c r="H33" s="73">
        <f t="shared" si="2"/>
        <v>3.841416666666666</v>
      </c>
      <c r="I33" s="10">
        <f t="shared" si="3"/>
        <v>640.23611111111109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69</v>
      </c>
      <c r="E34" s="71"/>
      <c r="F34" s="72">
        <v>2</v>
      </c>
      <c r="G34" s="72">
        <v>250.92</v>
      </c>
      <c r="H34" s="73">
        <f t="shared" si="2"/>
        <v>0.50183999999999995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69</v>
      </c>
      <c r="E35" s="71"/>
      <c r="F35" s="72">
        <v>1</v>
      </c>
      <c r="G35" s="72">
        <v>1490.31</v>
      </c>
      <c r="H35" s="73">
        <f t="shared" si="2"/>
        <v>1.49031</v>
      </c>
      <c r="I35" s="10">
        <v>0</v>
      </c>
    </row>
    <row r="36" spans="1:9" ht="15.75" hidden="1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hidden="1" customHeight="1">
      <c r="A37" s="22">
        <v>8</v>
      </c>
      <c r="B37" s="69" t="s">
        <v>25</v>
      </c>
      <c r="C37" s="70" t="s">
        <v>31</v>
      </c>
      <c r="D37" s="69"/>
      <c r="E37" s="71"/>
      <c r="F37" s="72">
        <v>6</v>
      </c>
      <c r="G37" s="72">
        <v>2003</v>
      </c>
      <c r="H37" s="73">
        <f>SUM(F37*G37/1000)</f>
        <v>12.018000000000001</v>
      </c>
      <c r="I37" s="10">
        <v>0</v>
      </c>
    </row>
    <row r="38" spans="1:9" ht="15.75" hidden="1" customHeight="1">
      <c r="A38" s="22">
        <v>9</v>
      </c>
      <c r="B38" s="69" t="s">
        <v>70</v>
      </c>
      <c r="C38" s="70" t="s">
        <v>28</v>
      </c>
      <c r="D38" s="69" t="s">
        <v>111</v>
      </c>
      <c r="E38" s="72">
        <v>26.07</v>
      </c>
      <c r="F38" s="72">
        <f>SUM(E38*30/1000)</f>
        <v>0.78210000000000002</v>
      </c>
      <c r="G38" s="72">
        <v>2757.78</v>
      </c>
      <c r="H38" s="73">
        <f t="shared" ref="H38:H43" si="4">SUM(F38*G38/1000)</f>
        <v>2.1568597380000001</v>
      </c>
      <c r="I38" s="10">
        <v>0</v>
      </c>
    </row>
    <row r="39" spans="1:9" ht="15.75" hidden="1" customHeight="1">
      <c r="A39" s="22">
        <v>10</v>
      </c>
      <c r="B39" s="69" t="s">
        <v>71</v>
      </c>
      <c r="C39" s="70" t="s">
        <v>28</v>
      </c>
      <c r="D39" s="69" t="s">
        <v>93</v>
      </c>
      <c r="E39" s="72">
        <v>31.4</v>
      </c>
      <c r="F39" s="72">
        <f>SUM(E39*155/1000)</f>
        <v>4.867</v>
      </c>
      <c r="G39" s="72">
        <v>460.02</v>
      </c>
      <c r="H39" s="73">
        <f t="shared" si="4"/>
        <v>2.23891734</v>
      </c>
      <c r="I39" s="10">
        <v>0</v>
      </c>
    </row>
    <row r="40" spans="1:9" ht="15.75" hidden="1" customHeight="1">
      <c r="A40" s="22"/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314</v>
      </c>
      <c r="H40" s="73">
        <f t="shared" si="4"/>
        <v>34.54</v>
      </c>
      <c r="I40" s="10">
        <v>0</v>
      </c>
    </row>
    <row r="41" spans="1:9" ht="47.25" hidden="1" customHeight="1">
      <c r="A41" s="22">
        <v>11</v>
      </c>
      <c r="B41" s="69" t="s">
        <v>87</v>
      </c>
      <c r="C41" s="70" t="s">
        <v>94</v>
      </c>
      <c r="D41" s="69" t="s">
        <v>111</v>
      </c>
      <c r="E41" s="72">
        <v>26.07</v>
      </c>
      <c r="F41" s="72">
        <f>SUM(E41*30/1000)</f>
        <v>0.78210000000000002</v>
      </c>
      <c r="G41" s="72">
        <v>7611.16</v>
      </c>
      <c r="H41" s="73">
        <f t="shared" si="4"/>
        <v>5.9526882360000002</v>
      </c>
      <c r="I41" s="10">
        <v>0</v>
      </c>
    </row>
    <row r="42" spans="1:9" ht="15.75" hidden="1" customHeight="1">
      <c r="A42" s="22">
        <v>12</v>
      </c>
      <c r="B42" s="69" t="s">
        <v>95</v>
      </c>
      <c r="C42" s="70" t="s">
        <v>94</v>
      </c>
      <c r="D42" s="69" t="s">
        <v>239</v>
      </c>
      <c r="E42" s="72">
        <v>26.07</v>
      </c>
      <c r="F42" s="72">
        <f>SUM(E42*24/1000)</f>
        <v>0.62568000000000001</v>
      </c>
      <c r="G42" s="72">
        <v>562.25</v>
      </c>
      <c r="H42" s="73">
        <f t="shared" si="4"/>
        <v>0.35178858000000002</v>
      </c>
      <c r="I42" s="10">
        <v>0</v>
      </c>
    </row>
    <row r="43" spans="1:9" ht="15.75" hidden="1" customHeight="1">
      <c r="A43" s="22">
        <v>13</v>
      </c>
      <c r="B43" s="69" t="s">
        <v>73</v>
      </c>
      <c r="C43" s="70" t="s">
        <v>32</v>
      </c>
      <c r="D43" s="69"/>
      <c r="E43" s="71"/>
      <c r="F43" s="72">
        <v>0.3</v>
      </c>
      <c r="G43" s="72">
        <v>974.83</v>
      </c>
      <c r="H43" s="73">
        <f t="shared" si="4"/>
        <v>0.29244900000000001</v>
      </c>
      <c r="I43" s="10">
        <v>0</v>
      </c>
    </row>
    <row r="44" spans="1:9" ht="15.75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hidden="1" customHeight="1">
      <c r="A45" s="22"/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1172.4100000000001</v>
      </c>
      <c r="H45" s="73">
        <f t="shared" ref="H45:H55" si="5">SUM(F45*G45/1000)</f>
        <v>2.6013433080000006</v>
      </c>
      <c r="I45" s="10">
        <v>0</v>
      </c>
    </row>
    <row r="46" spans="1:9" ht="15.75" hidden="1" customHeight="1">
      <c r="A46" s="22"/>
      <c r="B46" s="69" t="s">
        <v>35</v>
      </c>
      <c r="C46" s="70" t="s">
        <v>94</v>
      </c>
      <c r="D46" s="69" t="s">
        <v>43</v>
      </c>
      <c r="E46" s="71">
        <v>66</v>
      </c>
      <c r="F46" s="72">
        <f>SUM(E46*2/1000)</f>
        <v>0.13200000000000001</v>
      </c>
      <c r="G46" s="10">
        <v>4419.05</v>
      </c>
      <c r="H46" s="73">
        <f t="shared" si="5"/>
        <v>0.58331460000000002</v>
      </c>
      <c r="I46" s="10">
        <v>0</v>
      </c>
    </row>
    <row r="47" spans="1:9" ht="15.75" hidden="1" customHeight="1">
      <c r="A47" s="22"/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1803.69</v>
      </c>
      <c r="H47" s="73">
        <f t="shared" si="5"/>
        <v>5.6393269695000008</v>
      </c>
      <c r="I47" s="10">
        <v>0</v>
      </c>
    </row>
    <row r="48" spans="1:9" ht="15.75" hidden="1" customHeight="1">
      <c r="A48" s="22"/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1243.43</v>
      </c>
      <c r="H48" s="73">
        <f t="shared" si="5"/>
        <v>4.0277184559999997</v>
      </c>
      <c r="I48" s="10">
        <v>0</v>
      </c>
    </row>
    <row r="49" spans="1:9" ht="15.75" hidden="1" customHeight="1">
      <c r="A49" s="22"/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1352.76</v>
      </c>
      <c r="H49" s="73">
        <f t="shared" si="5"/>
        <v>2.3224183680000001</v>
      </c>
      <c r="I49" s="10">
        <v>0</v>
      </c>
    </row>
    <row r="50" spans="1:9" ht="15.75" hidden="1" customHeight="1">
      <c r="A50" s="22">
        <v>14</v>
      </c>
      <c r="B50" s="69" t="s">
        <v>58</v>
      </c>
      <c r="C50" s="70" t="s">
        <v>94</v>
      </c>
      <c r="D50" s="69" t="s">
        <v>174</v>
      </c>
      <c r="E50" s="71">
        <v>2579.4</v>
      </c>
      <c r="F50" s="72">
        <f>SUM(E50*5/1000)</f>
        <v>12.897</v>
      </c>
      <c r="G50" s="10">
        <v>1803.69</v>
      </c>
      <c r="H50" s="73">
        <f t="shared" si="5"/>
        <v>23.262189930000002</v>
      </c>
      <c r="I50" s="10">
        <v>0</v>
      </c>
    </row>
    <row r="51" spans="1:9" ht="31.5" customHeight="1">
      <c r="A51" s="22">
        <v>9</v>
      </c>
      <c r="B51" s="69" t="s">
        <v>96</v>
      </c>
      <c r="C51" s="70" t="s">
        <v>94</v>
      </c>
      <c r="D51" s="69" t="s">
        <v>43</v>
      </c>
      <c r="E51" s="71">
        <v>2579.4</v>
      </c>
      <c r="F51" s="72">
        <f>SUM(E51*2/1000)</f>
        <v>5.1588000000000003</v>
      </c>
      <c r="G51" s="10">
        <v>1591.6</v>
      </c>
      <c r="H51" s="73">
        <f t="shared" si="5"/>
        <v>8.2107460800000016</v>
      </c>
      <c r="I51" s="10">
        <f>F51/2*G51</f>
        <v>4105.3730400000004</v>
      </c>
    </row>
    <row r="52" spans="1:9" ht="31.5" customHeight="1">
      <c r="A52" s="22">
        <v>10</v>
      </c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4058.32</v>
      </c>
      <c r="H52" s="73">
        <f t="shared" si="5"/>
        <v>1.6233280000000001</v>
      </c>
      <c r="I52" s="10">
        <f t="shared" ref="I52:I53" si="6">F52/2*G52</f>
        <v>811.6640000000001</v>
      </c>
    </row>
    <row r="53" spans="1:9" ht="15.75" customHeight="1">
      <c r="A53" s="22">
        <v>11</v>
      </c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7412.92</v>
      </c>
      <c r="H53" s="73">
        <f t="shared" si="5"/>
        <v>0.14825839999999998</v>
      </c>
      <c r="I53" s="10">
        <f t="shared" si="6"/>
        <v>74.129199999999997</v>
      </c>
    </row>
    <row r="54" spans="1:9" ht="15.75" hidden="1" customHeight="1">
      <c r="A54" s="22">
        <v>15</v>
      </c>
      <c r="B54" s="69" t="s">
        <v>108</v>
      </c>
      <c r="C54" s="70" t="s">
        <v>102</v>
      </c>
      <c r="D54" s="69" t="s">
        <v>74</v>
      </c>
      <c r="E54" s="71">
        <v>62</v>
      </c>
      <c r="F54" s="72">
        <f>SUM(E54*3)</f>
        <v>186</v>
      </c>
      <c r="G54" s="10">
        <v>185.08</v>
      </c>
      <c r="H54" s="73">
        <f t="shared" si="5"/>
        <v>34.424880000000002</v>
      </c>
      <c r="I54" s="10">
        <v>0</v>
      </c>
    </row>
    <row r="55" spans="1:9" ht="15.75" hidden="1" customHeight="1">
      <c r="A55" s="94">
        <v>16</v>
      </c>
      <c r="B55" s="81" t="s">
        <v>42</v>
      </c>
      <c r="C55" s="80" t="s">
        <v>102</v>
      </c>
      <c r="D55" s="81" t="s">
        <v>74</v>
      </c>
      <c r="E55" s="82">
        <v>124</v>
      </c>
      <c r="F55" s="83">
        <f>SUM(E55)*3</f>
        <v>372</v>
      </c>
      <c r="G55" s="95">
        <v>86.15</v>
      </c>
      <c r="H55" s="84">
        <f t="shared" si="5"/>
        <v>32.047800000000002</v>
      </c>
      <c r="I55" s="95">
        <v>0</v>
      </c>
    </row>
    <row r="56" spans="1:9" ht="15.75" customHeight="1">
      <c r="A56" s="172" t="s">
        <v>151</v>
      </c>
      <c r="B56" s="175"/>
      <c r="C56" s="175"/>
      <c r="D56" s="175"/>
      <c r="E56" s="175"/>
      <c r="F56" s="175"/>
      <c r="G56" s="175"/>
      <c r="H56" s="175"/>
      <c r="I56" s="176"/>
    </row>
    <row r="57" spans="1:9" ht="15.75" hidden="1" customHeight="1">
      <c r="A57" s="96"/>
      <c r="B57" s="97" t="s">
        <v>44</v>
      </c>
      <c r="C57" s="98"/>
      <c r="D57" s="99"/>
      <c r="E57" s="100"/>
      <c r="F57" s="101"/>
      <c r="G57" s="101"/>
      <c r="H57" s="102"/>
      <c r="I57" s="103"/>
    </row>
    <row r="58" spans="1:9" ht="31.5" hidden="1" customHeight="1">
      <c r="A58" s="22">
        <v>17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2029.3</v>
      </c>
      <c r="H58" s="73">
        <f>SUM(F58*G58/1000)</f>
        <v>15.455960519999998</v>
      </c>
      <c r="I58" s="10">
        <v>0</v>
      </c>
    </row>
    <row r="59" spans="1:9" ht="31.5" hidden="1" customHeight="1">
      <c r="A59" s="22">
        <v>18</v>
      </c>
      <c r="B59" s="69" t="s">
        <v>82</v>
      </c>
      <c r="C59" s="70" t="s">
        <v>92</v>
      </c>
      <c r="D59" s="69" t="s">
        <v>29</v>
      </c>
      <c r="E59" s="16">
        <v>19.899999999999999</v>
      </c>
      <c r="F59" s="72">
        <f>SUM(E59*6/100)</f>
        <v>1.194</v>
      </c>
      <c r="G59" s="72">
        <v>2029.3</v>
      </c>
      <c r="H59" s="73">
        <f t="shared" ref="H59:H60" si="7">SUM(F59*G59/1000)</f>
        <v>2.4229841999999997</v>
      </c>
      <c r="I59" s="10">
        <v>0</v>
      </c>
    </row>
    <row r="60" spans="1:9" ht="31.5" hidden="1" customHeight="1">
      <c r="A60" s="22">
        <v>19</v>
      </c>
      <c r="B60" s="81" t="s">
        <v>142</v>
      </c>
      <c r="C60" s="80" t="s">
        <v>143</v>
      </c>
      <c r="D60" s="81" t="s">
        <v>69</v>
      </c>
      <c r="E60" s="130"/>
      <c r="F60" s="83">
        <v>3</v>
      </c>
      <c r="G60" s="72">
        <v>1582.05</v>
      </c>
      <c r="H60" s="73">
        <f t="shared" si="7"/>
        <v>4.7461499999999992</v>
      </c>
      <c r="I60" s="10">
        <v>0</v>
      </c>
    </row>
    <row r="61" spans="1:9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3"/>
    </row>
    <row r="62" spans="1:9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450</v>
      </c>
      <c r="F62" s="72">
        <f>SUM(E62/100)</f>
        <v>4.5</v>
      </c>
      <c r="G62" s="10">
        <v>1040.8399999999999</v>
      </c>
      <c r="H62" s="85">
        <v>7.6349999999999998</v>
      </c>
      <c r="I62" s="10">
        <v>0</v>
      </c>
    </row>
    <row r="63" spans="1:9" ht="15.75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customHeight="1">
      <c r="A64" s="22">
        <v>12</v>
      </c>
      <c r="B64" s="11" t="s">
        <v>48</v>
      </c>
      <c r="C64" s="13" t="s">
        <v>102</v>
      </c>
      <c r="D64" s="11" t="s">
        <v>69</v>
      </c>
      <c r="E64" s="16">
        <v>5</v>
      </c>
      <c r="F64" s="72">
        <f>E64</f>
        <v>5</v>
      </c>
      <c r="G64" s="10">
        <v>291.68</v>
      </c>
      <c r="H64" s="68">
        <f t="shared" ref="H64:H71" si="8">SUM(F64*G64/1000)</f>
        <v>1.4584000000000001</v>
      </c>
      <c r="I64" s="10">
        <f>G64*5</f>
        <v>1458.4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2</v>
      </c>
      <c r="F65" s="72">
        <f>E65</f>
        <v>2</v>
      </c>
      <c r="G65" s="10">
        <v>100.01</v>
      </c>
      <c r="H65" s="68">
        <f t="shared" si="8"/>
        <v>0.20002</v>
      </c>
      <c r="I65" s="10">
        <v>0</v>
      </c>
    </row>
    <row r="66" spans="1:9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278.24</v>
      </c>
      <c r="H66" s="68">
        <f t="shared" si="8"/>
        <v>37.042091200000002</v>
      </c>
      <c r="I66" s="10">
        <v>0</v>
      </c>
    </row>
    <row r="67" spans="1:9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216.68</v>
      </c>
      <c r="H67" s="68">
        <f t="shared" si="8"/>
        <v>2.88466084</v>
      </c>
      <c r="I67" s="10">
        <v>0</v>
      </c>
    </row>
    <row r="68" spans="1:9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2720.94</v>
      </c>
      <c r="H68" s="68">
        <f t="shared" si="8"/>
        <v>59.425329599999998</v>
      </c>
      <c r="I68" s="10">
        <v>0</v>
      </c>
    </row>
    <row r="69" spans="1:9" ht="15.75" hidden="1" customHeight="1">
      <c r="A69" s="22"/>
      <c r="B69" s="87" t="s">
        <v>105</v>
      </c>
      <c r="C69" s="13" t="s">
        <v>32</v>
      </c>
      <c r="D69" s="11"/>
      <c r="E69" s="71">
        <v>12.2</v>
      </c>
      <c r="F69" s="10">
        <f>SUM(E69)</f>
        <v>12.2</v>
      </c>
      <c r="G69" s="10">
        <v>42.61</v>
      </c>
      <c r="H69" s="68">
        <f t="shared" si="8"/>
        <v>0.51984200000000003</v>
      </c>
      <c r="I69" s="10">
        <v>0</v>
      </c>
    </row>
    <row r="70" spans="1:9" ht="15.75" hidden="1" customHeight="1">
      <c r="A70" s="22"/>
      <c r="B70" s="87" t="s">
        <v>159</v>
      </c>
      <c r="C70" s="13" t="s">
        <v>32</v>
      </c>
      <c r="D70" s="11"/>
      <c r="E70" s="71">
        <v>12.2</v>
      </c>
      <c r="F70" s="10">
        <f>SUM(E70)</f>
        <v>12.2</v>
      </c>
      <c r="G70" s="10">
        <v>46.04</v>
      </c>
      <c r="H70" s="68">
        <f t="shared" si="8"/>
        <v>0.56168799999999997</v>
      </c>
      <c r="I70" s="10">
        <v>0</v>
      </c>
    </row>
    <row r="71" spans="1:9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3</v>
      </c>
      <c r="F71" s="72">
        <v>3</v>
      </c>
      <c r="G71" s="10">
        <v>65.42</v>
      </c>
      <c r="H71" s="68">
        <f t="shared" si="8"/>
        <v>0.19625999999999999</v>
      </c>
      <c r="I71" s="10">
        <v>0</v>
      </c>
    </row>
    <row r="72" spans="1:9" ht="15.75" customHeight="1">
      <c r="A72" s="22"/>
      <c r="B72" s="135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1</v>
      </c>
      <c r="F73" s="10">
        <v>1</v>
      </c>
      <c r="G73" s="10">
        <v>1029.1199999999999</v>
      </c>
      <c r="H73" s="68">
        <f t="shared" ref="H73:H76" si="9">SUM(F73*G73/1000)</f>
        <v>1.0291199999999998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735</v>
      </c>
      <c r="H74" s="68">
        <f t="shared" si="9"/>
        <v>0.73499999999999999</v>
      </c>
      <c r="I74" s="10">
        <v>0</v>
      </c>
    </row>
    <row r="75" spans="1:9" ht="15.75" hidden="1" customHeight="1">
      <c r="A75" s="22"/>
      <c r="B75" s="11" t="s">
        <v>76</v>
      </c>
      <c r="C75" s="13" t="s">
        <v>77</v>
      </c>
      <c r="D75" s="11" t="s">
        <v>69</v>
      </c>
      <c r="E75" s="16">
        <v>3</v>
      </c>
      <c r="F75" s="10">
        <v>0.2</v>
      </c>
      <c r="G75" s="10">
        <v>657.87</v>
      </c>
      <c r="H75" s="68">
        <f t="shared" si="9"/>
        <v>0.13157400000000002</v>
      </c>
      <c r="I75" s="10">
        <v>0</v>
      </c>
    </row>
    <row r="76" spans="1:9" ht="15.75" hidden="1" customHeight="1">
      <c r="A76" s="22"/>
      <c r="B76" s="11" t="s">
        <v>139</v>
      </c>
      <c r="C76" s="13" t="s">
        <v>102</v>
      </c>
      <c r="D76" s="11" t="s">
        <v>69</v>
      </c>
      <c r="E76" s="16">
        <v>1</v>
      </c>
      <c r="F76" s="72">
        <f>SUM(E76)</f>
        <v>1</v>
      </c>
      <c r="G76" s="10">
        <v>1118.72</v>
      </c>
      <c r="H76" s="68">
        <f t="shared" si="9"/>
        <v>1.1187199999999999</v>
      </c>
      <c r="I76" s="10">
        <v>0</v>
      </c>
    </row>
    <row r="77" spans="1:9" ht="15.75" hidden="1" customHeight="1">
      <c r="A77" s="22"/>
      <c r="B77" s="43" t="s">
        <v>240</v>
      </c>
      <c r="C77" s="44" t="s">
        <v>102</v>
      </c>
      <c r="D77" s="11" t="s">
        <v>69</v>
      </c>
      <c r="E77" s="16">
        <v>1</v>
      </c>
      <c r="F77" s="60">
        <v>1</v>
      </c>
      <c r="G77" s="10">
        <v>1605.83</v>
      </c>
      <c r="H77" s="68">
        <f>SUM(F77*G77/1000)</f>
        <v>1.6058299999999999</v>
      </c>
      <c r="I77" s="10">
        <v>0</v>
      </c>
    </row>
    <row r="78" spans="1:9" ht="15.75" customHeight="1">
      <c r="A78" s="22">
        <v>13</v>
      </c>
      <c r="B78" s="43" t="s">
        <v>241</v>
      </c>
      <c r="C78" s="44" t="s">
        <v>102</v>
      </c>
      <c r="D78" s="11" t="s">
        <v>29</v>
      </c>
      <c r="E78" s="16">
        <v>1</v>
      </c>
      <c r="F78" s="72">
        <v>12</v>
      </c>
      <c r="G78" s="10">
        <v>53.42</v>
      </c>
      <c r="H78" s="68">
        <f t="shared" ref="H78" si="10">SUM(F78*G78/1000)</f>
        <v>0.64103999999999994</v>
      </c>
      <c r="I78" s="10">
        <f>G78</f>
        <v>53.42</v>
      </c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ref="H80" si="11">SUM(F80*G80/1000)</f>
        <v>0.294985</v>
      </c>
      <c r="I80" s="10">
        <v>0</v>
      </c>
    </row>
    <row r="81" spans="1:9" ht="15.75" customHeight="1">
      <c r="A81" s="22"/>
      <c r="B81" s="131" t="s">
        <v>242</v>
      </c>
      <c r="C81" s="44"/>
      <c r="D81" s="11"/>
      <c r="E81" s="16"/>
      <c r="F81" s="60"/>
      <c r="G81" s="10"/>
      <c r="H81" s="68"/>
      <c r="I81" s="10"/>
    </row>
    <row r="82" spans="1:9" ht="15.75" customHeight="1">
      <c r="A82" s="22">
        <v>14</v>
      </c>
      <c r="B82" s="11" t="s">
        <v>243</v>
      </c>
      <c r="C82" s="22" t="s">
        <v>244</v>
      </c>
      <c r="D82" s="11" t="s">
        <v>69</v>
      </c>
      <c r="E82" s="16">
        <v>2579.4</v>
      </c>
      <c r="F82" s="10">
        <f>SUM(E82*12)</f>
        <v>30952.800000000003</v>
      </c>
      <c r="G82" s="10">
        <v>2.2799999999999998</v>
      </c>
      <c r="H82" s="68">
        <f t="shared" ref="H82" si="12">SUM(F82*G82/1000)</f>
        <v>70.572384</v>
      </c>
      <c r="I82" s="10">
        <f>F82/12*G82</f>
        <v>5881.0320000000002</v>
      </c>
    </row>
    <row r="83" spans="1:9" ht="15.75" hidden="1" customHeight="1">
      <c r="A83" s="22"/>
      <c r="B83" s="135" t="s">
        <v>98</v>
      </c>
      <c r="C83" s="89"/>
      <c r="D83" s="24"/>
      <c r="E83" s="25"/>
      <c r="F83" s="75"/>
      <c r="G83" s="75"/>
      <c r="H83" s="90">
        <f>SUM(H58:H80)</f>
        <v>138.10465536000004</v>
      </c>
      <c r="I83" s="75"/>
    </row>
    <row r="84" spans="1:9" ht="15.75" hidden="1" customHeight="1">
      <c r="A84" s="22"/>
      <c r="B84" s="11" t="s">
        <v>245</v>
      </c>
      <c r="C84" s="13"/>
      <c r="D84" s="11"/>
      <c r="E84" s="11"/>
      <c r="F84" s="10">
        <v>1</v>
      </c>
      <c r="G84" s="10">
        <v>20408</v>
      </c>
      <c r="H84" s="68">
        <f>G84*F84/1000</f>
        <v>20.408000000000001</v>
      </c>
      <c r="I84" s="10">
        <v>0</v>
      </c>
    </row>
    <row r="85" spans="1:9" ht="15.75" hidden="1" customHeight="1">
      <c r="A85" s="22"/>
      <c r="B85" s="11" t="s">
        <v>246</v>
      </c>
      <c r="C85" s="13"/>
      <c r="D85" s="11"/>
      <c r="E85" s="11"/>
      <c r="F85" s="10">
        <v>62</v>
      </c>
      <c r="G85" s="10">
        <v>700</v>
      </c>
      <c r="H85" s="68">
        <f t="shared" ref="H85" si="13">G85*F85/1000</f>
        <v>43.4</v>
      </c>
      <c r="I85" s="10">
        <v>0</v>
      </c>
    </row>
    <row r="86" spans="1:9" ht="15.75" customHeight="1">
      <c r="A86" s="190" t="s">
        <v>152</v>
      </c>
      <c r="B86" s="191"/>
      <c r="C86" s="191"/>
      <c r="D86" s="191"/>
      <c r="E86" s="191"/>
      <c r="F86" s="191"/>
      <c r="G86" s="191"/>
      <c r="H86" s="191"/>
      <c r="I86" s="192"/>
    </row>
    <row r="87" spans="1:9" ht="15.75" customHeight="1">
      <c r="A87" s="22">
        <v>15</v>
      </c>
      <c r="B87" s="69" t="s">
        <v>107</v>
      </c>
      <c r="C87" s="13" t="s">
        <v>56</v>
      </c>
      <c r="D87" s="40" t="s">
        <v>57</v>
      </c>
      <c r="E87" s="10">
        <v>2579.4</v>
      </c>
      <c r="F87" s="10">
        <f>SUM(E87*12)</f>
        <v>30952.800000000003</v>
      </c>
      <c r="G87" s="10">
        <v>3.1</v>
      </c>
      <c r="H87" s="68">
        <f t="shared" ref="H87" si="14">G87*F87/1000</f>
        <v>95.953680000000006</v>
      </c>
      <c r="I87" s="10">
        <f>F87/12*G87</f>
        <v>7996.14</v>
      </c>
    </row>
    <row r="88" spans="1:9" ht="31.5" customHeight="1">
      <c r="A88" s="22">
        <v>16</v>
      </c>
      <c r="B88" s="11" t="s">
        <v>80</v>
      </c>
      <c r="C88" s="13"/>
      <c r="D88" s="40" t="s">
        <v>57</v>
      </c>
      <c r="E88" s="71">
        <v>2579.4</v>
      </c>
      <c r="F88" s="10">
        <f>E88*12</f>
        <v>30952.800000000003</v>
      </c>
      <c r="G88" s="10">
        <v>3.5</v>
      </c>
      <c r="H88" s="68">
        <f>F88*G88/1000</f>
        <v>108.33480000000002</v>
      </c>
      <c r="I88" s="10">
        <f>F88/12*G88</f>
        <v>9027.9</v>
      </c>
    </row>
    <row r="89" spans="1:9" ht="15.75" customHeight="1">
      <c r="A89" s="22"/>
      <c r="B89" s="29" t="s">
        <v>84</v>
      </c>
      <c r="C89" s="89"/>
      <c r="D89" s="88"/>
      <c r="E89" s="75"/>
      <c r="F89" s="75"/>
      <c r="G89" s="75"/>
      <c r="H89" s="90">
        <f>SUM(H88)</f>
        <v>108.33480000000002</v>
      </c>
      <c r="I89" s="75">
        <f>I16+I17+I18+I26+I27+I30+I31+I33+I51+I52+I53+I64+I78+I82+I87+I88</f>
        <v>47001.208314311109</v>
      </c>
    </row>
    <row r="90" spans="1:9" ht="15.75" customHeight="1">
      <c r="A90" s="200" t="s">
        <v>62</v>
      </c>
      <c r="B90" s="201"/>
      <c r="C90" s="201"/>
      <c r="D90" s="201"/>
      <c r="E90" s="201"/>
      <c r="F90" s="201"/>
      <c r="G90" s="201"/>
      <c r="H90" s="201"/>
      <c r="I90" s="202"/>
    </row>
    <row r="91" spans="1:9" ht="31.5" customHeight="1">
      <c r="A91" s="22">
        <v>17</v>
      </c>
      <c r="B91" s="43" t="s">
        <v>247</v>
      </c>
      <c r="C91" s="44" t="s">
        <v>201</v>
      </c>
      <c r="D91" s="37"/>
      <c r="E91" s="10"/>
      <c r="F91" s="10">
        <v>1</v>
      </c>
      <c r="G91" s="10">
        <v>1046.06</v>
      </c>
      <c r="H91" s="68">
        <f t="shared" ref="H91:H102" si="15">G91*F91/1000</f>
        <v>1.04606</v>
      </c>
      <c r="I91" s="10">
        <f>G91</f>
        <v>1046.06</v>
      </c>
    </row>
    <row r="92" spans="1:9" ht="31.5" customHeight="1">
      <c r="A92" s="22">
        <v>18</v>
      </c>
      <c r="B92" s="43" t="s">
        <v>248</v>
      </c>
      <c r="C92" s="44" t="s">
        <v>201</v>
      </c>
      <c r="D92" s="37"/>
      <c r="E92" s="10"/>
      <c r="F92" s="10">
        <v>1</v>
      </c>
      <c r="G92" s="10">
        <v>832.06</v>
      </c>
      <c r="H92" s="68">
        <f t="shared" si="15"/>
        <v>0.83205999999999991</v>
      </c>
      <c r="I92" s="10">
        <f t="shared" ref="I92:I112" si="16">G92</f>
        <v>832.06</v>
      </c>
    </row>
    <row r="93" spans="1:9" ht="15.75" customHeight="1">
      <c r="A93" s="22">
        <v>19</v>
      </c>
      <c r="B93" s="43" t="s">
        <v>249</v>
      </c>
      <c r="C93" s="44" t="s">
        <v>102</v>
      </c>
      <c r="D93" s="11"/>
      <c r="E93" s="16"/>
      <c r="F93" s="10">
        <v>2</v>
      </c>
      <c r="G93" s="10">
        <v>140</v>
      </c>
      <c r="H93" s="68">
        <f t="shared" si="15"/>
        <v>0.28000000000000003</v>
      </c>
      <c r="I93" s="10">
        <f>G93*2</f>
        <v>280</v>
      </c>
    </row>
    <row r="94" spans="1:9" ht="15.75" customHeight="1">
      <c r="A94" s="22">
        <v>20</v>
      </c>
      <c r="B94" s="43" t="s">
        <v>250</v>
      </c>
      <c r="C94" s="44" t="s">
        <v>102</v>
      </c>
      <c r="D94" s="11"/>
      <c r="E94" s="16"/>
      <c r="F94" s="10">
        <v>2</v>
      </c>
      <c r="G94" s="10">
        <v>70</v>
      </c>
      <c r="H94" s="68">
        <f t="shared" si="15"/>
        <v>0.14000000000000001</v>
      </c>
      <c r="I94" s="10">
        <f>G94*2</f>
        <v>140</v>
      </c>
    </row>
    <row r="95" spans="1:9" ht="15.75" customHeight="1">
      <c r="A95" s="22">
        <v>21</v>
      </c>
      <c r="B95" s="43" t="s">
        <v>251</v>
      </c>
      <c r="C95" s="44" t="s">
        <v>102</v>
      </c>
      <c r="D95" s="37"/>
      <c r="E95" s="10"/>
      <c r="F95" s="10">
        <v>3</v>
      </c>
      <c r="G95" s="10">
        <v>112</v>
      </c>
      <c r="H95" s="68">
        <f t="shared" si="15"/>
        <v>0.33600000000000002</v>
      </c>
      <c r="I95" s="10">
        <f>G95*3</f>
        <v>336</v>
      </c>
    </row>
    <row r="96" spans="1:9" ht="15.75" customHeight="1">
      <c r="A96" s="22">
        <v>22</v>
      </c>
      <c r="B96" s="43" t="s">
        <v>260</v>
      </c>
      <c r="C96" s="44" t="s">
        <v>102</v>
      </c>
      <c r="D96" s="37"/>
      <c r="E96" s="10"/>
      <c r="F96" s="10">
        <v>1</v>
      </c>
      <c r="G96" s="10">
        <v>82</v>
      </c>
      <c r="H96" s="68">
        <f t="shared" si="15"/>
        <v>8.2000000000000003E-2</v>
      </c>
      <c r="I96" s="10">
        <f t="shared" si="16"/>
        <v>82</v>
      </c>
    </row>
    <row r="97" spans="1:9" ht="15.75" customHeight="1">
      <c r="A97" s="22">
        <v>23</v>
      </c>
      <c r="B97" s="133" t="s">
        <v>252</v>
      </c>
      <c r="C97" s="44" t="s">
        <v>102</v>
      </c>
      <c r="D97" s="11"/>
      <c r="E97" s="16"/>
      <c r="F97" s="10">
        <v>2</v>
      </c>
      <c r="G97" s="10">
        <v>108</v>
      </c>
      <c r="H97" s="10">
        <f t="shared" si="15"/>
        <v>0.216</v>
      </c>
      <c r="I97" s="10">
        <f>G97*2</f>
        <v>216</v>
      </c>
    </row>
    <row r="98" spans="1:9" ht="15.75" customHeight="1">
      <c r="A98" s="22">
        <v>24</v>
      </c>
      <c r="B98" s="43" t="s">
        <v>253</v>
      </c>
      <c r="C98" s="44" t="s">
        <v>102</v>
      </c>
      <c r="D98" s="11"/>
      <c r="E98" s="16"/>
      <c r="F98" s="10">
        <v>1</v>
      </c>
      <c r="G98" s="10">
        <v>20</v>
      </c>
      <c r="H98" s="68">
        <f t="shared" si="15"/>
        <v>0.02</v>
      </c>
      <c r="I98" s="10">
        <f t="shared" si="16"/>
        <v>20</v>
      </c>
    </row>
    <row r="99" spans="1:9" ht="31.5" customHeight="1">
      <c r="A99" s="22">
        <v>25</v>
      </c>
      <c r="B99" s="43" t="s">
        <v>254</v>
      </c>
      <c r="C99" s="44" t="s">
        <v>85</v>
      </c>
      <c r="D99" s="37"/>
      <c r="E99" s="10"/>
      <c r="F99" s="10">
        <v>1</v>
      </c>
      <c r="G99" s="10">
        <v>1206</v>
      </c>
      <c r="H99" s="68">
        <f t="shared" si="15"/>
        <v>1.206</v>
      </c>
      <c r="I99" s="10">
        <f t="shared" si="16"/>
        <v>1206</v>
      </c>
    </row>
    <row r="100" spans="1:9" ht="15.75" customHeight="1">
      <c r="A100" s="22">
        <v>26</v>
      </c>
      <c r="B100" s="43" t="s">
        <v>255</v>
      </c>
      <c r="C100" s="44" t="s">
        <v>201</v>
      </c>
      <c r="D100" s="37"/>
      <c r="E100" s="10"/>
      <c r="F100" s="10">
        <v>1</v>
      </c>
      <c r="G100" s="10">
        <v>954.24</v>
      </c>
      <c r="H100" s="68">
        <f t="shared" si="15"/>
        <v>0.95423999999999998</v>
      </c>
      <c r="I100" s="10">
        <f t="shared" si="16"/>
        <v>954.24</v>
      </c>
    </row>
    <row r="101" spans="1:9" ht="15.75" customHeight="1">
      <c r="A101" s="22">
        <v>27</v>
      </c>
      <c r="B101" s="43" t="s">
        <v>256</v>
      </c>
      <c r="C101" s="44" t="s">
        <v>257</v>
      </c>
      <c r="D101" s="11"/>
      <c r="E101" s="16"/>
      <c r="F101" s="10">
        <v>1</v>
      </c>
      <c r="G101" s="10">
        <v>3300.56</v>
      </c>
      <c r="H101" s="68">
        <f t="shared" si="15"/>
        <v>3.3005599999999999</v>
      </c>
      <c r="I101" s="10">
        <f t="shared" si="16"/>
        <v>3300.56</v>
      </c>
    </row>
    <row r="102" spans="1:9" ht="15.75" customHeight="1">
      <c r="A102" s="22">
        <v>28</v>
      </c>
      <c r="B102" s="43" t="s">
        <v>258</v>
      </c>
      <c r="C102" s="44" t="s">
        <v>102</v>
      </c>
      <c r="D102" s="11"/>
      <c r="E102" s="16"/>
      <c r="F102" s="10">
        <v>1</v>
      </c>
      <c r="G102" s="10">
        <v>2347.02</v>
      </c>
      <c r="H102" s="68">
        <f t="shared" si="15"/>
        <v>2.3470200000000001</v>
      </c>
      <c r="I102" s="10">
        <f t="shared" si="16"/>
        <v>2347.02</v>
      </c>
    </row>
    <row r="103" spans="1:9" ht="15.75" customHeight="1">
      <c r="A103" s="22">
        <v>29</v>
      </c>
      <c r="B103" s="43" t="s">
        <v>86</v>
      </c>
      <c r="C103" s="44" t="s">
        <v>102</v>
      </c>
      <c r="D103" s="22"/>
      <c r="E103" s="16"/>
      <c r="F103" s="16">
        <v>2</v>
      </c>
      <c r="G103" s="16">
        <v>189.88</v>
      </c>
      <c r="H103" s="65">
        <f>G103*F103/1000</f>
        <v>0.37975999999999999</v>
      </c>
      <c r="I103" s="10">
        <f>G103*2</f>
        <v>379.76</v>
      </c>
    </row>
    <row r="104" spans="1:9" ht="15.75" customHeight="1">
      <c r="A104" s="22">
        <v>30</v>
      </c>
      <c r="B104" s="43" t="s">
        <v>165</v>
      </c>
      <c r="C104" s="44" t="s">
        <v>166</v>
      </c>
      <c r="D104" s="22"/>
      <c r="E104" s="16"/>
      <c r="F104" s="16">
        <v>0.01</v>
      </c>
      <c r="G104" s="16">
        <v>7412.92</v>
      </c>
      <c r="H104" s="65">
        <f>G104*F104/1000</f>
        <v>7.4129199999999992E-2</v>
      </c>
      <c r="I104" s="10">
        <f>G104*0.01</f>
        <v>74.129199999999997</v>
      </c>
    </row>
    <row r="105" spans="1:9" ht="31.5" customHeight="1">
      <c r="A105" s="22">
        <v>31</v>
      </c>
      <c r="B105" s="43" t="s">
        <v>261</v>
      </c>
      <c r="C105" s="44" t="s">
        <v>203</v>
      </c>
      <c r="D105" s="22"/>
      <c r="E105" s="16"/>
      <c r="F105" s="16">
        <v>5</v>
      </c>
      <c r="G105" s="16">
        <v>143.97999999999999</v>
      </c>
      <c r="H105" s="65">
        <f>G105*F105/1000</f>
        <v>0.71989999999999998</v>
      </c>
      <c r="I105" s="10">
        <f>G105*5</f>
        <v>719.9</v>
      </c>
    </row>
    <row r="106" spans="1:9" ht="31.5" customHeight="1">
      <c r="A106" s="22">
        <v>32</v>
      </c>
      <c r="B106" s="43" t="s">
        <v>141</v>
      </c>
      <c r="C106" s="44" t="s">
        <v>38</v>
      </c>
      <c r="D106" s="141"/>
      <c r="E106" s="27"/>
      <c r="F106" s="27">
        <v>0.02</v>
      </c>
      <c r="G106" s="27">
        <v>3581.13</v>
      </c>
      <c r="H106" s="140">
        <f t="shared" ref="H106:H107" si="17">G106*F106/1000</f>
        <v>7.1622600000000008E-2</v>
      </c>
      <c r="I106" s="10">
        <f>G106*0.02</f>
        <v>71.622600000000006</v>
      </c>
    </row>
    <row r="107" spans="1:9" ht="15.75" customHeight="1">
      <c r="A107" s="22">
        <v>33</v>
      </c>
      <c r="B107" s="144" t="s">
        <v>292</v>
      </c>
      <c r="C107" s="145" t="s">
        <v>102</v>
      </c>
      <c r="D107" s="141"/>
      <c r="E107" s="27"/>
      <c r="F107" s="27">
        <v>2</v>
      </c>
      <c r="G107" s="27">
        <v>130.96</v>
      </c>
      <c r="H107" s="140">
        <f t="shared" si="17"/>
        <v>0.26192000000000004</v>
      </c>
      <c r="I107" s="10">
        <f>G107*2</f>
        <v>261.92</v>
      </c>
    </row>
    <row r="108" spans="1:9" ht="33" customHeight="1">
      <c r="A108" s="22">
        <v>34</v>
      </c>
      <c r="B108" s="157" t="s">
        <v>313</v>
      </c>
      <c r="C108" s="30" t="s">
        <v>120</v>
      </c>
      <c r="D108" s="141"/>
      <c r="E108" s="27"/>
      <c r="F108" s="27"/>
      <c r="G108" s="27">
        <v>42994.68</v>
      </c>
      <c r="H108" s="140"/>
      <c r="I108" s="10">
        <f>G108*0.153</f>
        <v>6578.1860399999996</v>
      </c>
    </row>
    <row r="109" spans="1:9" ht="29.25" customHeight="1">
      <c r="A109" s="22">
        <v>35</v>
      </c>
      <c r="B109" s="144" t="s">
        <v>314</v>
      </c>
      <c r="C109" s="145" t="s">
        <v>169</v>
      </c>
      <c r="D109" s="141"/>
      <c r="E109" s="27"/>
      <c r="F109" s="27"/>
      <c r="G109" s="27">
        <v>7987.62</v>
      </c>
      <c r="H109" s="140"/>
      <c r="I109" s="10">
        <f>G109*0.3</f>
        <v>2396.2860000000001</v>
      </c>
    </row>
    <row r="110" spans="1:9" ht="15.75" customHeight="1">
      <c r="A110" s="22">
        <v>36</v>
      </c>
      <c r="B110" s="144" t="s">
        <v>310</v>
      </c>
      <c r="C110" s="145" t="s">
        <v>56</v>
      </c>
      <c r="D110" s="141"/>
      <c r="E110" s="27"/>
      <c r="F110" s="27"/>
      <c r="G110" s="15">
        <v>470.85</v>
      </c>
      <c r="H110" s="140"/>
      <c r="I110" s="10">
        <f>G110*1.5</f>
        <v>706.27500000000009</v>
      </c>
    </row>
    <row r="111" spans="1:9" ht="15.75" customHeight="1">
      <c r="A111" s="22">
        <v>37</v>
      </c>
      <c r="B111" s="45" t="s">
        <v>317</v>
      </c>
      <c r="C111" s="46" t="s">
        <v>77</v>
      </c>
      <c r="D111" s="141"/>
      <c r="E111" s="27"/>
      <c r="F111" s="27"/>
      <c r="G111" s="27">
        <v>4165.3999999999996</v>
      </c>
      <c r="H111" s="140"/>
      <c r="I111" s="10">
        <f>G111*0.6</f>
        <v>2499.2399999999998</v>
      </c>
    </row>
    <row r="112" spans="1:9" ht="15.75" customHeight="1">
      <c r="A112" s="22">
        <v>38</v>
      </c>
      <c r="B112" s="67" t="s">
        <v>259</v>
      </c>
      <c r="C112" s="91" t="s">
        <v>102</v>
      </c>
      <c r="D112" s="37"/>
      <c r="E112" s="10"/>
      <c r="F112" s="10">
        <v>1</v>
      </c>
      <c r="G112" s="10">
        <v>170.63</v>
      </c>
      <c r="H112" s="68">
        <f>G112*F112/1000</f>
        <v>0.17063</v>
      </c>
      <c r="I112" s="10">
        <f>G112*3</f>
        <v>511.89</v>
      </c>
    </row>
    <row r="113" spans="1:9">
      <c r="A113" s="22"/>
      <c r="B113" s="35" t="s">
        <v>53</v>
      </c>
      <c r="C113" s="31"/>
      <c r="D113" s="38"/>
      <c r="E113" s="31">
        <v>1</v>
      </c>
      <c r="F113" s="31"/>
      <c r="G113" s="31"/>
      <c r="H113" s="31"/>
      <c r="I113" s="25">
        <f>SUM(I91:I112)</f>
        <v>24959.148840000002</v>
      </c>
    </row>
    <row r="114" spans="1:9" ht="15.75" customHeight="1">
      <c r="A114" s="22"/>
      <c r="B114" s="37" t="s">
        <v>81</v>
      </c>
      <c r="C114" s="12"/>
      <c r="D114" s="12"/>
      <c r="E114" s="32"/>
      <c r="F114" s="32"/>
      <c r="G114" s="33"/>
      <c r="H114" s="33"/>
      <c r="I114" s="15">
        <v>0</v>
      </c>
    </row>
    <row r="115" spans="1:9" ht="15.75" customHeight="1">
      <c r="A115" s="39"/>
      <c r="B115" s="36" t="s">
        <v>293</v>
      </c>
      <c r="C115" s="26"/>
      <c r="D115" s="26"/>
      <c r="E115" s="26"/>
      <c r="F115" s="26"/>
      <c r="G115" s="26"/>
      <c r="H115" s="26"/>
      <c r="I115" s="34">
        <f>I89+I113</f>
        <v>71960.357154311117</v>
      </c>
    </row>
    <row r="116" spans="1:9" ht="15.75" customHeight="1">
      <c r="A116" s="193" t="s">
        <v>318</v>
      </c>
      <c r="B116" s="193"/>
      <c r="C116" s="193"/>
      <c r="D116" s="193"/>
      <c r="E116" s="193"/>
      <c r="F116" s="193"/>
      <c r="G116" s="193"/>
      <c r="H116" s="193"/>
      <c r="I116" s="193"/>
    </row>
    <row r="117" spans="1:9" ht="15.75" customHeight="1">
      <c r="A117" s="53"/>
      <c r="B117" s="199" t="s">
        <v>319</v>
      </c>
      <c r="C117" s="199"/>
      <c r="D117" s="199"/>
      <c r="E117" s="199"/>
      <c r="F117" s="199"/>
      <c r="G117" s="199"/>
      <c r="H117" s="64"/>
      <c r="I117" s="2"/>
    </row>
    <row r="118" spans="1:9" ht="15.75" customHeight="1">
      <c r="A118" s="55"/>
      <c r="B118" s="162" t="s">
        <v>6</v>
      </c>
      <c r="C118" s="162"/>
      <c r="D118" s="162"/>
      <c r="E118" s="162"/>
      <c r="F118" s="162"/>
      <c r="G118" s="162"/>
      <c r="H118" s="17"/>
      <c r="I118" s="4"/>
    </row>
    <row r="119" spans="1:9" ht="7.5" customHeight="1">
      <c r="A119" s="7"/>
      <c r="B119" s="7"/>
      <c r="C119" s="7"/>
      <c r="D119" s="7"/>
      <c r="E119" s="7"/>
      <c r="F119" s="7"/>
      <c r="G119" s="7"/>
      <c r="H119" s="7"/>
      <c r="I119" s="7"/>
    </row>
    <row r="120" spans="1:9" ht="15.75" customHeight="1">
      <c r="A120" s="168" t="s">
        <v>7</v>
      </c>
      <c r="B120" s="168"/>
      <c r="C120" s="168"/>
      <c r="D120" s="168"/>
      <c r="E120" s="168"/>
      <c r="F120" s="168"/>
      <c r="G120" s="168"/>
      <c r="H120" s="168"/>
      <c r="I120" s="168"/>
    </row>
    <row r="121" spans="1:9" ht="15.75">
      <c r="A121" s="168" t="s">
        <v>8</v>
      </c>
      <c r="B121" s="168"/>
      <c r="C121" s="168"/>
      <c r="D121" s="168"/>
      <c r="E121" s="168"/>
      <c r="F121" s="168"/>
      <c r="G121" s="168"/>
      <c r="H121" s="168"/>
      <c r="I121" s="168"/>
    </row>
    <row r="122" spans="1:9" ht="15.75">
      <c r="A122" s="164" t="s">
        <v>63</v>
      </c>
      <c r="B122" s="164"/>
      <c r="C122" s="164"/>
      <c r="D122" s="164"/>
      <c r="E122" s="164"/>
      <c r="F122" s="164"/>
      <c r="G122" s="164"/>
      <c r="H122" s="164"/>
      <c r="I122" s="164"/>
    </row>
    <row r="123" spans="1:9" ht="8.25" customHeight="1">
      <c r="A123" s="8"/>
    </row>
    <row r="124" spans="1:9" ht="15.75">
      <c r="A124" s="170" t="s">
        <v>9</v>
      </c>
      <c r="B124" s="170"/>
      <c r="C124" s="170"/>
      <c r="D124" s="170"/>
      <c r="E124" s="170"/>
      <c r="F124" s="170"/>
      <c r="G124" s="170"/>
      <c r="H124" s="170"/>
      <c r="I124" s="170"/>
    </row>
    <row r="125" spans="1:9" ht="15.75">
      <c r="A125" s="3"/>
    </row>
    <row r="126" spans="1:9" ht="15.75" customHeight="1">
      <c r="B126" s="58" t="s">
        <v>10</v>
      </c>
      <c r="C126" s="197" t="s">
        <v>147</v>
      </c>
      <c r="D126" s="197"/>
      <c r="E126" s="197"/>
      <c r="F126" s="62"/>
      <c r="I126" s="59"/>
    </row>
    <row r="127" spans="1:9" ht="15.75" customHeight="1">
      <c r="A127" s="55"/>
      <c r="C127" s="162" t="s">
        <v>11</v>
      </c>
      <c r="D127" s="162"/>
      <c r="E127" s="162"/>
      <c r="F127" s="17"/>
      <c r="I127" s="57" t="s">
        <v>12</v>
      </c>
    </row>
    <row r="128" spans="1:9" ht="15.75" customHeight="1">
      <c r="A128" s="18"/>
      <c r="C128" s="9"/>
      <c r="D128" s="9"/>
      <c r="G128" s="9"/>
      <c r="H128" s="9"/>
    </row>
    <row r="129" spans="1:9" ht="15.75" customHeight="1">
      <c r="B129" s="58" t="s">
        <v>13</v>
      </c>
      <c r="C129" s="177"/>
      <c r="D129" s="177"/>
      <c r="E129" s="177"/>
      <c r="F129" s="63"/>
      <c r="I129" s="59"/>
    </row>
    <row r="130" spans="1:9">
      <c r="A130" s="55"/>
      <c r="C130" s="198" t="s">
        <v>11</v>
      </c>
      <c r="D130" s="198"/>
      <c r="E130" s="198"/>
      <c r="F130" s="55"/>
      <c r="I130" s="57" t="s">
        <v>12</v>
      </c>
    </row>
    <row r="131" spans="1:9" ht="15.75">
      <c r="A131" s="3" t="s">
        <v>14</v>
      </c>
    </row>
    <row r="132" spans="1:9">
      <c r="A132" s="165" t="s">
        <v>15</v>
      </c>
      <c r="B132" s="165"/>
      <c r="C132" s="165"/>
      <c r="D132" s="165"/>
      <c r="E132" s="165"/>
      <c r="F132" s="165"/>
      <c r="G132" s="165"/>
      <c r="H132" s="165"/>
      <c r="I132" s="165"/>
    </row>
    <row r="133" spans="1:9" ht="45" customHeight="1">
      <c r="A133" s="159" t="s">
        <v>16</v>
      </c>
      <c r="B133" s="159"/>
      <c r="C133" s="159"/>
      <c r="D133" s="159"/>
      <c r="E133" s="159"/>
      <c r="F133" s="159"/>
      <c r="G133" s="159"/>
      <c r="H133" s="159"/>
      <c r="I133" s="159"/>
    </row>
    <row r="134" spans="1:9" ht="30" customHeight="1">
      <c r="A134" s="159" t="s">
        <v>17</v>
      </c>
      <c r="B134" s="159"/>
      <c r="C134" s="159"/>
      <c r="D134" s="159"/>
      <c r="E134" s="159"/>
      <c r="F134" s="159"/>
      <c r="G134" s="159"/>
      <c r="H134" s="159"/>
      <c r="I134" s="159"/>
    </row>
    <row r="135" spans="1:9" ht="30" customHeight="1">
      <c r="A135" s="159" t="s">
        <v>21</v>
      </c>
      <c r="B135" s="159"/>
      <c r="C135" s="159"/>
      <c r="D135" s="159"/>
      <c r="E135" s="159"/>
      <c r="F135" s="159"/>
      <c r="G135" s="159"/>
      <c r="H135" s="159"/>
      <c r="I135" s="159"/>
    </row>
    <row r="136" spans="1:9" ht="15" customHeight="1">
      <c r="A136" s="159" t="s">
        <v>20</v>
      </c>
      <c r="B136" s="159"/>
      <c r="C136" s="159"/>
      <c r="D136" s="159"/>
      <c r="E136" s="159"/>
      <c r="F136" s="159"/>
      <c r="G136" s="159"/>
      <c r="H136" s="159"/>
      <c r="I136" s="159"/>
    </row>
  </sheetData>
  <mergeCells count="28">
    <mergeCell ref="A14:I14"/>
    <mergeCell ref="A3:I3"/>
    <mergeCell ref="A4:I4"/>
    <mergeCell ref="A5:I5"/>
    <mergeCell ref="A8:I8"/>
    <mergeCell ref="A10:I10"/>
    <mergeCell ref="A124:I124"/>
    <mergeCell ref="A15:I15"/>
    <mergeCell ref="A28:I28"/>
    <mergeCell ref="A44:I44"/>
    <mergeCell ref="A56:I56"/>
    <mergeCell ref="A86:I86"/>
    <mergeCell ref="A116:I116"/>
    <mergeCell ref="B117:G117"/>
    <mergeCell ref="B118:G118"/>
    <mergeCell ref="A120:I120"/>
    <mergeCell ref="A121:I121"/>
    <mergeCell ref="A122:I122"/>
    <mergeCell ref="A90:I90"/>
    <mergeCell ref="A134:I134"/>
    <mergeCell ref="A135:I135"/>
    <mergeCell ref="A136:I136"/>
    <mergeCell ref="C126:E126"/>
    <mergeCell ref="C127:E127"/>
    <mergeCell ref="C129:E129"/>
    <mergeCell ref="C130:E130"/>
    <mergeCell ref="A132:I132"/>
    <mergeCell ref="A133:I133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21"/>
  <sheetViews>
    <sheetView topLeftCell="A64" workbookViewId="0">
      <selection activeCell="B102" sqref="B102:G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91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294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152"/>
      <c r="C6" s="152"/>
      <c r="D6" s="152"/>
      <c r="E6" s="152"/>
      <c r="F6" s="152"/>
      <c r="G6" s="152"/>
      <c r="H6" s="152"/>
      <c r="I6" s="23">
        <v>43069</v>
      </c>
    </row>
    <row r="7" spans="1:9" ht="15.75">
      <c r="B7" s="151"/>
      <c r="C7" s="151"/>
      <c r="D7" s="151"/>
      <c r="E7" s="2"/>
      <c r="F7" s="2"/>
      <c r="G7" s="2"/>
      <c r="H7" s="2"/>
    </row>
    <row r="8" spans="1:9" ht="78.75" customHeight="1">
      <c r="A8" s="180" t="s">
        <v>291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5.75" customHeight="1">
      <c r="A16" s="22">
        <v>1</v>
      </c>
      <c r="B16" s="69" t="s">
        <v>114</v>
      </c>
      <c r="C16" s="70" t="s">
        <v>92</v>
      </c>
      <c r="D16" s="69" t="s">
        <v>233</v>
      </c>
      <c r="E16" s="71">
        <v>43.36</v>
      </c>
      <c r="F16" s="72">
        <f>SUM(E16*156/100)</f>
        <v>67.641599999999997</v>
      </c>
      <c r="G16" s="72">
        <v>230</v>
      </c>
      <c r="H16" s="73">
        <f t="shared" ref="H16:H25" si="0">SUM(F16*G16/1000)</f>
        <v>15.557568</v>
      </c>
      <c r="I16" s="10">
        <f>F16/12*G16</f>
        <v>1296.4639999999999</v>
      </c>
    </row>
    <row r="17" spans="1:9" ht="15.75" customHeight="1">
      <c r="A17" s="22">
        <v>2</v>
      </c>
      <c r="B17" s="69" t="s">
        <v>116</v>
      </c>
      <c r="C17" s="70" t="s">
        <v>92</v>
      </c>
      <c r="D17" s="69" t="s">
        <v>234</v>
      </c>
      <c r="E17" s="71">
        <v>173.44</v>
      </c>
      <c r="F17" s="72">
        <f>SUM(E17*104/100)</f>
        <v>180.37759999999997</v>
      </c>
      <c r="G17" s="72">
        <v>230</v>
      </c>
      <c r="H17" s="73">
        <f t="shared" si="0"/>
        <v>41.486847999999988</v>
      </c>
      <c r="I17" s="10">
        <f>F17/12*G17</f>
        <v>3457.237333333333</v>
      </c>
    </row>
    <row r="18" spans="1:9" ht="15.75" customHeight="1">
      <c r="A18" s="22">
        <v>3</v>
      </c>
      <c r="B18" s="69" t="s">
        <v>118</v>
      </c>
      <c r="C18" s="70" t="s">
        <v>92</v>
      </c>
      <c r="D18" s="69" t="s">
        <v>235</v>
      </c>
      <c r="E18" s="71">
        <f>SUM(E16+E17)</f>
        <v>216.8</v>
      </c>
      <c r="F18" s="72">
        <f>SUM(E18*24/100)</f>
        <v>52.032000000000011</v>
      </c>
      <c r="G18" s="72">
        <v>661.67</v>
      </c>
      <c r="H18" s="73">
        <f t="shared" si="0"/>
        <v>34.428013440000001</v>
      </c>
      <c r="I18" s="10">
        <f>F18/12*G18</f>
        <v>2869.0011200000008</v>
      </c>
    </row>
    <row r="19" spans="1:9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223.17</v>
      </c>
      <c r="H19" s="73">
        <f t="shared" si="0"/>
        <v>0.89267999999999992</v>
      </c>
      <c r="I19" s="10">
        <v>0</v>
      </c>
    </row>
    <row r="20" spans="1:9" ht="15.75" hidden="1" customHeight="1">
      <c r="A20" s="22">
        <v>4</v>
      </c>
      <c r="B20" s="69" t="s">
        <v>122</v>
      </c>
      <c r="C20" s="70" t="s">
        <v>92</v>
      </c>
      <c r="D20" s="69" t="s">
        <v>43</v>
      </c>
      <c r="E20" s="71">
        <v>10.5</v>
      </c>
      <c r="F20" s="72">
        <f>SUM(E20*2/100)</f>
        <v>0.21</v>
      </c>
      <c r="G20" s="72">
        <v>285.76</v>
      </c>
      <c r="H20" s="73">
        <f t="shared" si="0"/>
        <v>6.0009599999999996E-2</v>
      </c>
      <c r="I20" s="10">
        <v>0</v>
      </c>
    </row>
    <row r="21" spans="1:9" ht="15.75" customHeight="1">
      <c r="A21" s="22">
        <v>4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283.44</v>
      </c>
      <c r="H21" s="73">
        <f t="shared" si="0"/>
        <v>4.5917280000000012E-2</v>
      </c>
      <c r="I21" s="10">
        <f>F21/6*G21</f>
        <v>7.6528800000000015</v>
      </c>
    </row>
    <row r="22" spans="1:9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353.14</v>
      </c>
      <c r="H22" s="73">
        <f t="shared" si="0"/>
        <v>1.2607097999999999</v>
      </c>
      <c r="I22" s="10">
        <v>0</v>
      </c>
    </row>
    <row r="23" spans="1:9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58.08</v>
      </c>
      <c r="H23" s="73">
        <f t="shared" si="0"/>
        <v>2.2442112E-2</v>
      </c>
      <c r="I23" s="10">
        <v>0</v>
      </c>
    </row>
    <row r="24" spans="1:9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511.12</v>
      </c>
      <c r="H24" s="73">
        <f t="shared" si="0"/>
        <v>7.6667999999999986E-2</v>
      </c>
      <c r="I24" s="10">
        <v>0</v>
      </c>
    </row>
    <row r="25" spans="1:9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683.05</v>
      </c>
      <c r="H25" s="73">
        <f t="shared" si="0"/>
        <v>4.3578589999999993E-2</v>
      </c>
      <c r="I25" s="10">
        <v>0</v>
      </c>
    </row>
    <row r="26" spans="1:9" ht="15.75" customHeight="1">
      <c r="A26" s="22">
        <v>5</v>
      </c>
      <c r="B26" s="69" t="s">
        <v>66</v>
      </c>
      <c r="C26" s="70" t="s">
        <v>32</v>
      </c>
      <c r="D26" s="69" t="s">
        <v>236</v>
      </c>
      <c r="E26" s="71">
        <v>0.1</v>
      </c>
      <c r="F26" s="72">
        <f>SUM(E26*182)</f>
        <v>18.2</v>
      </c>
      <c r="G26" s="72">
        <v>264.85000000000002</v>
      </c>
      <c r="H26" s="73">
        <f t="shared" ref="H26:H27" si="1">SUM(F26*G26/1000)</f>
        <v>4.8202700000000007</v>
      </c>
      <c r="I26" s="10">
        <f>F26/12*G26</f>
        <v>401.68916666666667</v>
      </c>
    </row>
    <row r="27" spans="1:9" ht="15.75" customHeight="1">
      <c r="A27" s="22">
        <v>6</v>
      </c>
      <c r="B27" s="77" t="s">
        <v>23</v>
      </c>
      <c r="C27" s="70" t="s">
        <v>24</v>
      </c>
      <c r="D27" s="77" t="s">
        <v>158</v>
      </c>
      <c r="E27" s="71">
        <v>2579.4</v>
      </c>
      <c r="F27" s="72">
        <f>SUM(E27*12)</f>
        <v>30952.800000000003</v>
      </c>
      <c r="G27" s="72">
        <v>3.34</v>
      </c>
      <c r="H27" s="73">
        <f t="shared" si="1"/>
        <v>103.382352</v>
      </c>
      <c r="I27" s="10">
        <f>F27/12*G27</f>
        <v>8615.1959999999999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hidden="1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15.75" hidden="1" customHeight="1">
      <c r="A30" s="22">
        <v>6</v>
      </c>
      <c r="B30" s="69" t="s">
        <v>100</v>
      </c>
      <c r="C30" s="70" t="s">
        <v>94</v>
      </c>
      <c r="D30" s="69" t="s">
        <v>237</v>
      </c>
      <c r="E30" s="72">
        <v>124.74</v>
      </c>
      <c r="F30" s="72">
        <f>SUM(E30*52/1000)</f>
        <v>6.4864799999999994</v>
      </c>
      <c r="G30" s="72">
        <v>204.44</v>
      </c>
      <c r="H30" s="73">
        <f t="shared" ref="H30:H35" si="2">SUM(F30*G30/1000)</f>
        <v>1.3260959712</v>
      </c>
      <c r="I30" s="10">
        <f>F30/6*G30</f>
        <v>221.01599519999996</v>
      </c>
    </row>
    <row r="31" spans="1:9" ht="31.5" hidden="1" customHeight="1">
      <c r="A31" s="22">
        <v>7</v>
      </c>
      <c r="B31" s="69" t="s">
        <v>173</v>
      </c>
      <c r="C31" s="70" t="s">
        <v>94</v>
      </c>
      <c r="D31" s="69" t="s">
        <v>238</v>
      </c>
      <c r="E31" s="72">
        <v>31.4</v>
      </c>
      <c r="F31" s="72">
        <f>SUM(E31*52/1000)</f>
        <v>1.6328</v>
      </c>
      <c r="G31" s="72">
        <v>339.21</v>
      </c>
      <c r="H31" s="73">
        <f t="shared" si="2"/>
        <v>0.55386208799999992</v>
      </c>
      <c r="I31" s="10">
        <f t="shared" ref="I31:I33" si="3">F31/6*G31</f>
        <v>92.310347999999991</v>
      </c>
    </row>
    <row r="32" spans="1:9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124.7</v>
      </c>
      <c r="F32" s="72">
        <f>SUM(E32/1000)</f>
        <v>0.12470000000000001</v>
      </c>
      <c r="G32" s="72">
        <v>3961.23</v>
      </c>
      <c r="H32" s="73">
        <f t="shared" si="2"/>
        <v>0.49396538100000004</v>
      </c>
      <c r="I32" s="10">
        <f t="shared" si="3"/>
        <v>82.327563500000011</v>
      </c>
    </row>
    <row r="33" spans="1:9" ht="15.75" hidden="1" customHeight="1">
      <c r="A33" s="22">
        <v>8</v>
      </c>
      <c r="B33" s="69" t="s">
        <v>99</v>
      </c>
      <c r="C33" s="70" t="s">
        <v>30</v>
      </c>
      <c r="D33" s="69" t="s">
        <v>65</v>
      </c>
      <c r="E33" s="76">
        <f>1/3</f>
        <v>0.33333333333333331</v>
      </c>
      <c r="F33" s="72">
        <f>155/3</f>
        <v>51.666666666666664</v>
      </c>
      <c r="G33" s="72">
        <v>74.349999999999994</v>
      </c>
      <c r="H33" s="73">
        <f t="shared" si="2"/>
        <v>3.841416666666666</v>
      </c>
      <c r="I33" s="10">
        <f t="shared" si="3"/>
        <v>640.23611111111109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69</v>
      </c>
      <c r="E34" s="71"/>
      <c r="F34" s="72">
        <v>2</v>
      </c>
      <c r="G34" s="72">
        <v>250.92</v>
      </c>
      <c r="H34" s="73">
        <f t="shared" si="2"/>
        <v>0.50183999999999995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69</v>
      </c>
      <c r="E35" s="71"/>
      <c r="F35" s="72">
        <v>1</v>
      </c>
      <c r="G35" s="72">
        <v>1490.31</v>
      </c>
      <c r="H35" s="73">
        <f t="shared" si="2"/>
        <v>1.49031</v>
      </c>
      <c r="I35" s="10">
        <v>0</v>
      </c>
    </row>
    <row r="36" spans="1:9" ht="15.75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customHeight="1">
      <c r="A37" s="22">
        <v>7</v>
      </c>
      <c r="B37" s="69" t="s">
        <v>25</v>
      </c>
      <c r="C37" s="70" t="s">
        <v>31</v>
      </c>
      <c r="D37" s="69"/>
      <c r="E37" s="71"/>
      <c r="F37" s="72">
        <v>6</v>
      </c>
      <c r="G37" s="72">
        <v>2003</v>
      </c>
      <c r="H37" s="73">
        <f>SUM(F37*G37/1000)</f>
        <v>12.018000000000001</v>
      </c>
      <c r="I37" s="10">
        <f>F37/6*G37</f>
        <v>2003</v>
      </c>
    </row>
    <row r="38" spans="1:9" ht="15.75" customHeight="1">
      <c r="A38" s="22">
        <v>8</v>
      </c>
      <c r="B38" s="69" t="s">
        <v>70</v>
      </c>
      <c r="C38" s="70" t="s">
        <v>28</v>
      </c>
      <c r="D38" s="69" t="s">
        <v>111</v>
      </c>
      <c r="E38" s="72">
        <v>26.07</v>
      </c>
      <c r="F38" s="72">
        <f>SUM(E38*30/1000)</f>
        <v>0.78210000000000002</v>
      </c>
      <c r="G38" s="72">
        <v>2757.78</v>
      </c>
      <c r="H38" s="73">
        <f t="shared" ref="H38:H43" si="4">SUM(F38*G38/1000)</f>
        <v>2.1568597380000001</v>
      </c>
      <c r="I38" s="10">
        <f t="shared" ref="I38:I43" si="5">F38/6*G38</f>
        <v>359.47662300000002</v>
      </c>
    </row>
    <row r="39" spans="1:9" ht="15.75" customHeight="1">
      <c r="A39" s="22">
        <v>9</v>
      </c>
      <c r="B39" s="69" t="s">
        <v>71</v>
      </c>
      <c r="C39" s="70" t="s">
        <v>28</v>
      </c>
      <c r="D39" s="69" t="s">
        <v>93</v>
      </c>
      <c r="E39" s="72">
        <v>31.4</v>
      </c>
      <c r="F39" s="72">
        <f>SUM(E39*155/1000)</f>
        <v>4.867</v>
      </c>
      <c r="G39" s="72">
        <v>460.02</v>
      </c>
      <c r="H39" s="73">
        <f t="shared" si="4"/>
        <v>2.23891734</v>
      </c>
      <c r="I39" s="10">
        <f t="shared" si="5"/>
        <v>373.15289000000001</v>
      </c>
    </row>
    <row r="40" spans="1:9" ht="15.75" hidden="1" customHeight="1">
      <c r="A40" s="22">
        <v>9</v>
      </c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314</v>
      </c>
      <c r="H40" s="73">
        <f t="shared" si="4"/>
        <v>34.54</v>
      </c>
      <c r="I40" s="10">
        <f t="shared" si="5"/>
        <v>5756.6666666666661</v>
      </c>
    </row>
    <row r="41" spans="1:9" ht="47.25" customHeight="1">
      <c r="A41" s="22">
        <v>10</v>
      </c>
      <c r="B41" s="69" t="s">
        <v>87</v>
      </c>
      <c r="C41" s="70" t="s">
        <v>94</v>
      </c>
      <c r="D41" s="69" t="s">
        <v>111</v>
      </c>
      <c r="E41" s="72">
        <v>26.07</v>
      </c>
      <c r="F41" s="72">
        <f>SUM(E41*30/1000)</f>
        <v>0.78210000000000002</v>
      </c>
      <c r="G41" s="72">
        <v>7611.16</v>
      </c>
      <c r="H41" s="73">
        <f t="shared" si="4"/>
        <v>5.9526882360000002</v>
      </c>
      <c r="I41" s="10">
        <f t="shared" si="5"/>
        <v>992.11470599999996</v>
      </c>
    </row>
    <row r="42" spans="1:9" ht="15.75" hidden="1" customHeight="1">
      <c r="A42" s="22">
        <v>11</v>
      </c>
      <c r="B42" s="69" t="s">
        <v>95</v>
      </c>
      <c r="C42" s="70" t="s">
        <v>94</v>
      </c>
      <c r="D42" s="69" t="s">
        <v>239</v>
      </c>
      <c r="E42" s="72">
        <v>26.07</v>
      </c>
      <c r="F42" s="72">
        <f>SUM(E42*24/1000)</f>
        <v>0.62568000000000001</v>
      </c>
      <c r="G42" s="72">
        <v>562.25</v>
      </c>
      <c r="H42" s="73">
        <f t="shared" si="4"/>
        <v>0.35178858000000002</v>
      </c>
      <c r="I42" s="10">
        <f t="shared" si="5"/>
        <v>58.631430000000002</v>
      </c>
    </row>
    <row r="43" spans="1:9" ht="15.75" customHeight="1">
      <c r="A43" s="22">
        <v>11</v>
      </c>
      <c r="B43" s="69" t="s">
        <v>73</v>
      </c>
      <c r="C43" s="70" t="s">
        <v>32</v>
      </c>
      <c r="D43" s="69"/>
      <c r="E43" s="71"/>
      <c r="F43" s="72">
        <v>0.3</v>
      </c>
      <c r="G43" s="72">
        <v>974.83</v>
      </c>
      <c r="H43" s="73">
        <f t="shared" si="4"/>
        <v>0.29244900000000001</v>
      </c>
      <c r="I43" s="10">
        <f t="shared" si="5"/>
        <v>48.741499999999995</v>
      </c>
    </row>
    <row r="44" spans="1:9" ht="15.75" hidden="1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hidden="1" customHeight="1">
      <c r="A45" s="22"/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1172.4100000000001</v>
      </c>
      <c r="H45" s="73">
        <f t="shared" ref="H45:H55" si="6">SUM(F45*G45/1000)</f>
        <v>2.6013433080000006</v>
      </c>
      <c r="I45" s="10">
        <v>0</v>
      </c>
    </row>
    <row r="46" spans="1:9" ht="15.75" hidden="1" customHeight="1">
      <c r="A46" s="22"/>
      <c r="B46" s="69" t="s">
        <v>35</v>
      </c>
      <c r="C46" s="70" t="s">
        <v>94</v>
      </c>
      <c r="D46" s="69" t="s">
        <v>43</v>
      </c>
      <c r="E46" s="71">
        <v>66</v>
      </c>
      <c r="F46" s="72">
        <f>SUM(E46*2/1000)</f>
        <v>0.13200000000000001</v>
      </c>
      <c r="G46" s="10">
        <v>4419.05</v>
      </c>
      <c r="H46" s="73">
        <f t="shared" si="6"/>
        <v>0.58331460000000002</v>
      </c>
      <c r="I46" s="10">
        <v>0</v>
      </c>
    </row>
    <row r="47" spans="1:9" ht="15.75" hidden="1" customHeight="1">
      <c r="A47" s="22"/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1803.69</v>
      </c>
      <c r="H47" s="73">
        <f t="shared" si="6"/>
        <v>5.6393269695000008</v>
      </c>
      <c r="I47" s="10">
        <v>0</v>
      </c>
    </row>
    <row r="48" spans="1:9" ht="15.75" hidden="1" customHeight="1">
      <c r="A48" s="22"/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1243.43</v>
      </c>
      <c r="H48" s="73">
        <f t="shared" si="6"/>
        <v>4.0277184559999997</v>
      </c>
      <c r="I48" s="10">
        <v>0</v>
      </c>
    </row>
    <row r="49" spans="1:9" ht="15.75" hidden="1" customHeight="1">
      <c r="A49" s="22"/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1352.76</v>
      </c>
      <c r="H49" s="73">
        <f t="shared" si="6"/>
        <v>2.3224183680000001</v>
      </c>
      <c r="I49" s="10">
        <v>0</v>
      </c>
    </row>
    <row r="50" spans="1:9" ht="15.75" hidden="1" customHeight="1">
      <c r="A50" s="22">
        <v>14</v>
      </c>
      <c r="B50" s="69" t="s">
        <v>58</v>
      </c>
      <c r="C50" s="70" t="s">
        <v>94</v>
      </c>
      <c r="D50" s="69" t="s">
        <v>174</v>
      </c>
      <c r="E50" s="71">
        <v>2579.4</v>
      </c>
      <c r="F50" s="72">
        <f>SUM(E50*5/1000)</f>
        <v>12.897</v>
      </c>
      <c r="G50" s="10">
        <v>1803.69</v>
      </c>
      <c r="H50" s="73">
        <f t="shared" si="6"/>
        <v>23.262189930000002</v>
      </c>
      <c r="I50" s="10">
        <v>0</v>
      </c>
    </row>
    <row r="51" spans="1:9" ht="31.5" hidden="1" customHeight="1">
      <c r="A51" s="22">
        <v>9</v>
      </c>
      <c r="B51" s="69" t="s">
        <v>96</v>
      </c>
      <c r="C51" s="70" t="s">
        <v>94</v>
      </c>
      <c r="D51" s="69" t="s">
        <v>43</v>
      </c>
      <c r="E51" s="71">
        <v>2579.4</v>
      </c>
      <c r="F51" s="72">
        <f>SUM(E51*2/1000)</f>
        <v>5.1588000000000003</v>
      </c>
      <c r="G51" s="10">
        <v>1591.6</v>
      </c>
      <c r="H51" s="73">
        <f t="shared" si="6"/>
        <v>8.2107460800000016</v>
      </c>
      <c r="I51" s="10">
        <f>F51/2*G51</f>
        <v>4105.3730400000004</v>
      </c>
    </row>
    <row r="52" spans="1:9" ht="31.5" hidden="1" customHeight="1">
      <c r="A52" s="22">
        <v>10</v>
      </c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4058.32</v>
      </c>
      <c r="H52" s="73">
        <f t="shared" si="6"/>
        <v>1.6233280000000001</v>
      </c>
      <c r="I52" s="10">
        <f t="shared" ref="I52:I53" si="7">F52/2*G52</f>
        <v>811.6640000000001</v>
      </c>
    </row>
    <row r="53" spans="1:9" ht="15.75" hidden="1" customHeight="1">
      <c r="A53" s="22">
        <v>11</v>
      </c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7412.92</v>
      </c>
      <c r="H53" s="73">
        <f t="shared" si="6"/>
        <v>0.14825839999999998</v>
      </c>
      <c r="I53" s="10">
        <f t="shared" si="7"/>
        <v>74.129199999999997</v>
      </c>
    </row>
    <row r="54" spans="1:9" ht="15.75" hidden="1" customHeight="1">
      <c r="A54" s="22">
        <v>15</v>
      </c>
      <c r="B54" s="69" t="s">
        <v>108</v>
      </c>
      <c r="C54" s="70" t="s">
        <v>102</v>
      </c>
      <c r="D54" s="69" t="s">
        <v>74</v>
      </c>
      <c r="E54" s="71">
        <v>62</v>
      </c>
      <c r="F54" s="72">
        <f>SUM(E54*3)</f>
        <v>186</v>
      </c>
      <c r="G54" s="10">
        <v>185.08</v>
      </c>
      <c r="H54" s="73">
        <f t="shared" si="6"/>
        <v>34.424880000000002</v>
      </c>
      <c r="I54" s="10">
        <v>0</v>
      </c>
    </row>
    <row r="55" spans="1:9" ht="15.75" hidden="1" customHeight="1">
      <c r="A55" s="94">
        <v>16</v>
      </c>
      <c r="B55" s="81" t="s">
        <v>42</v>
      </c>
      <c r="C55" s="80" t="s">
        <v>102</v>
      </c>
      <c r="D55" s="81" t="s">
        <v>74</v>
      </c>
      <c r="E55" s="82">
        <v>124</v>
      </c>
      <c r="F55" s="83">
        <f>SUM(E55)*3</f>
        <v>372</v>
      </c>
      <c r="G55" s="95">
        <v>86.15</v>
      </c>
      <c r="H55" s="84">
        <f t="shared" si="6"/>
        <v>32.047800000000002</v>
      </c>
      <c r="I55" s="95">
        <v>0</v>
      </c>
    </row>
    <row r="56" spans="1:9" ht="15.75" customHeight="1">
      <c r="A56" s="172" t="s">
        <v>153</v>
      </c>
      <c r="B56" s="175"/>
      <c r="C56" s="175"/>
      <c r="D56" s="175"/>
      <c r="E56" s="175"/>
      <c r="F56" s="175"/>
      <c r="G56" s="175"/>
      <c r="H56" s="175"/>
      <c r="I56" s="176"/>
    </row>
    <row r="57" spans="1:9" ht="15.75" customHeight="1">
      <c r="A57" s="96"/>
      <c r="B57" s="97" t="s">
        <v>44</v>
      </c>
      <c r="C57" s="98"/>
      <c r="D57" s="99"/>
      <c r="E57" s="100"/>
      <c r="F57" s="101"/>
      <c r="G57" s="101"/>
      <c r="H57" s="102"/>
      <c r="I57" s="103"/>
    </row>
    <row r="58" spans="1:9" ht="31.5" customHeight="1">
      <c r="A58" s="22">
        <v>12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2029.3</v>
      </c>
      <c r="H58" s="73">
        <f>SUM(F58*G58/1000)</f>
        <v>15.455960519999998</v>
      </c>
      <c r="I58" s="10">
        <f t="shared" ref="I58:I59" si="8">F58/6*G58</f>
        <v>2575.9934199999998</v>
      </c>
    </row>
    <row r="59" spans="1:9" ht="31.5" customHeight="1">
      <c r="A59" s="22">
        <v>13</v>
      </c>
      <c r="B59" s="69" t="s">
        <v>82</v>
      </c>
      <c r="C59" s="70" t="s">
        <v>92</v>
      </c>
      <c r="D59" s="69" t="s">
        <v>29</v>
      </c>
      <c r="E59" s="16">
        <v>19.899999999999999</v>
      </c>
      <c r="F59" s="72">
        <f>SUM(E59*6/100)</f>
        <v>1.194</v>
      </c>
      <c r="G59" s="72">
        <v>2029.3</v>
      </c>
      <c r="H59" s="73">
        <f t="shared" ref="H59:H60" si="9">SUM(F59*G59/1000)</f>
        <v>2.4229841999999997</v>
      </c>
      <c r="I59" s="10">
        <f t="shared" si="8"/>
        <v>403.83069999999998</v>
      </c>
    </row>
    <row r="60" spans="1:9" ht="15.75" customHeight="1">
      <c r="A60" s="22">
        <v>14</v>
      </c>
      <c r="B60" s="81" t="s">
        <v>142</v>
      </c>
      <c r="C60" s="80" t="s">
        <v>143</v>
      </c>
      <c r="D60" s="81" t="s">
        <v>69</v>
      </c>
      <c r="E60" s="130"/>
      <c r="F60" s="83">
        <v>3</v>
      </c>
      <c r="G60" s="72">
        <v>1582.05</v>
      </c>
      <c r="H60" s="73">
        <f t="shared" si="9"/>
        <v>4.7461499999999992</v>
      </c>
      <c r="I60" s="10">
        <f>G60*(2+1+1.5+8)</f>
        <v>19775.625</v>
      </c>
    </row>
    <row r="61" spans="1:9" ht="18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3"/>
    </row>
    <row r="62" spans="1:9" ht="19.5" customHeight="1">
      <c r="A62" s="22">
        <v>15</v>
      </c>
      <c r="B62" s="81" t="s">
        <v>46</v>
      </c>
      <c r="C62" s="80" t="s">
        <v>92</v>
      </c>
      <c r="D62" s="81" t="s">
        <v>55</v>
      </c>
      <c r="E62" s="82">
        <v>450</v>
      </c>
      <c r="F62" s="72">
        <f>SUM(E62/100)</f>
        <v>4.5</v>
      </c>
      <c r="G62" s="10">
        <v>1040.8399999999999</v>
      </c>
      <c r="H62" s="85">
        <v>7.6349999999999998</v>
      </c>
      <c r="I62" s="10">
        <f>G62*0.13</f>
        <v>135.3092</v>
      </c>
    </row>
    <row r="63" spans="1:9" ht="15.75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customHeight="1">
      <c r="A64" s="22">
        <v>16</v>
      </c>
      <c r="B64" s="11" t="s">
        <v>48</v>
      </c>
      <c r="C64" s="13" t="s">
        <v>102</v>
      </c>
      <c r="D64" s="11" t="s">
        <v>69</v>
      </c>
      <c r="E64" s="16">
        <v>5</v>
      </c>
      <c r="F64" s="72">
        <f>E64</f>
        <v>5</v>
      </c>
      <c r="G64" s="10">
        <v>291.68</v>
      </c>
      <c r="H64" s="68">
        <f t="shared" ref="H64:H71" si="10">SUM(F64*G64/1000)</f>
        <v>1.4584000000000001</v>
      </c>
      <c r="I64" s="10">
        <f>G64</f>
        <v>291.68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2</v>
      </c>
      <c r="F65" s="72">
        <f>E65</f>
        <v>2</v>
      </c>
      <c r="G65" s="10">
        <v>100.01</v>
      </c>
      <c r="H65" s="68">
        <f t="shared" si="10"/>
        <v>0.20002</v>
      </c>
      <c r="I65" s="10">
        <v>0</v>
      </c>
    </row>
    <row r="66" spans="1:9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278.24</v>
      </c>
      <c r="H66" s="68">
        <f t="shared" si="10"/>
        <v>37.042091200000002</v>
      </c>
      <c r="I66" s="10">
        <v>0</v>
      </c>
    </row>
    <row r="67" spans="1:9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216.68</v>
      </c>
      <c r="H67" s="68">
        <f t="shared" si="10"/>
        <v>2.88466084</v>
      </c>
      <c r="I67" s="10">
        <v>0</v>
      </c>
    </row>
    <row r="68" spans="1:9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2720.94</v>
      </c>
      <c r="H68" s="68">
        <f t="shared" si="10"/>
        <v>59.425329599999998</v>
      </c>
      <c r="I68" s="10">
        <v>0</v>
      </c>
    </row>
    <row r="69" spans="1:9" ht="15.75" hidden="1" customHeight="1">
      <c r="A69" s="22"/>
      <c r="B69" s="87" t="s">
        <v>105</v>
      </c>
      <c r="C69" s="13" t="s">
        <v>32</v>
      </c>
      <c r="D69" s="11"/>
      <c r="E69" s="71">
        <v>12.2</v>
      </c>
      <c r="F69" s="10">
        <f>SUM(E69)</f>
        <v>12.2</v>
      </c>
      <c r="G69" s="10">
        <v>42.61</v>
      </c>
      <c r="H69" s="68">
        <f t="shared" si="10"/>
        <v>0.51984200000000003</v>
      </c>
      <c r="I69" s="10">
        <v>0</v>
      </c>
    </row>
    <row r="70" spans="1:9" ht="15.75" hidden="1" customHeight="1">
      <c r="A70" s="22"/>
      <c r="B70" s="87" t="s">
        <v>159</v>
      </c>
      <c r="C70" s="13" t="s">
        <v>32</v>
      </c>
      <c r="D70" s="11"/>
      <c r="E70" s="71">
        <v>12.2</v>
      </c>
      <c r="F70" s="10">
        <f>SUM(E70)</f>
        <v>12.2</v>
      </c>
      <c r="G70" s="10">
        <v>46.04</v>
      </c>
      <c r="H70" s="68">
        <f t="shared" si="10"/>
        <v>0.56168799999999997</v>
      </c>
      <c r="I70" s="10">
        <v>0</v>
      </c>
    </row>
    <row r="71" spans="1:9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3</v>
      </c>
      <c r="F71" s="72">
        <v>3</v>
      </c>
      <c r="G71" s="10">
        <v>65.42</v>
      </c>
      <c r="H71" s="68">
        <f t="shared" si="10"/>
        <v>0.19625999999999999</v>
      </c>
      <c r="I71" s="10">
        <v>0</v>
      </c>
    </row>
    <row r="72" spans="1:9" ht="15.75" customHeight="1">
      <c r="A72" s="22"/>
      <c r="B72" s="154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1</v>
      </c>
      <c r="F73" s="10">
        <v>1</v>
      </c>
      <c r="G73" s="10">
        <v>1029.1199999999999</v>
      </c>
      <c r="H73" s="68">
        <f t="shared" ref="H73:H76" si="11">SUM(F73*G73/1000)</f>
        <v>1.0291199999999998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735</v>
      </c>
      <c r="H74" s="68">
        <f t="shared" si="11"/>
        <v>0.73499999999999999</v>
      </c>
      <c r="I74" s="10">
        <v>0</v>
      </c>
    </row>
    <row r="75" spans="1:9" ht="15.75" hidden="1" customHeight="1">
      <c r="A75" s="22"/>
      <c r="B75" s="11" t="s">
        <v>76</v>
      </c>
      <c r="C75" s="13" t="s">
        <v>77</v>
      </c>
      <c r="D75" s="11" t="s">
        <v>69</v>
      </c>
      <c r="E75" s="16">
        <v>3</v>
      </c>
      <c r="F75" s="10">
        <v>0.2</v>
      </c>
      <c r="G75" s="10">
        <v>657.87</v>
      </c>
      <c r="H75" s="68">
        <f t="shared" si="11"/>
        <v>0.13157400000000002</v>
      </c>
      <c r="I75" s="10">
        <v>0</v>
      </c>
    </row>
    <row r="76" spans="1:9" ht="15.75" hidden="1" customHeight="1">
      <c r="A76" s="22"/>
      <c r="B76" s="11" t="s">
        <v>139</v>
      </c>
      <c r="C76" s="13" t="s">
        <v>102</v>
      </c>
      <c r="D76" s="11" t="s">
        <v>69</v>
      </c>
      <c r="E76" s="16">
        <v>1</v>
      </c>
      <c r="F76" s="72">
        <f>SUM(E76)</f>
        <v>1</v>
      </c>
      <c r="G76" s="10">
        <v>1118.72</v>
      </c>
      <c r="H76" s="68">
        <f t="shared" si="11"/>
        <v>1.1187199999999999</v>
      </c>
      <c r="I76" s="10">
        <v>0</v>
      </c>
    </row>
    <row r="77" spans="1:9" ht="15.75" hidden="1" customHeight="1">
      <c r="A77" s="22"/>
      <c r="B77" s="43" t="s">
        <v>240</v>
      </c>
      <c r="C77" s="44" t="s">
        <v>102</v>
      </c>
      <c r="D77" s="11" t="s">
        <v>69</v>
      </c>
      <c r="E77" s="16">
        <v>1</v>
      </c>
      <c r="F77" s="60">
        <v>1</v>
      </c>
      <c r="G77" s="10">
        <v>1605.83</v>
      </c>
      <c r="H77" s="68">
        <f>SUM(F77*G77/1000)</f>
        <v>1.6058299999999999</v>
      </c>
      <c r="I77" s="10">
        <v>0</v>
      </c>
    </row>
    <row r="78" spans="1:9" ht="15.75" customHeight="1">
      <c r="A78" s="22">
        <v>17</v>
      </c>
      <c r="B78" s="43" t="s">
        <v>241</v>
      </c>
      <c r="C78" s="44" t="s">
        <v>102</v>
      </c>
      <c r="D78" s="11" t="s">
        <v>29</v>
      </c>
      <c r="E78" s="16">
        <v>1</v>
      </c>
      <c r="F78" s="72">
        <v>12</v>
      </c>
      <c r="G78" s="10">
        <v>53.42</v>
      </c>
      <c r="H78" s="68">
        <f t="shared" ref="H78" si="12">SUM(F78*G78/1000)</f>
        <v>0.64103999999999994</v>
      </c>
      <c r="I78" s="10">
        <f>G78</f>
        <v>53.42</v>
      </c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ref="H80" si="13">SUM(F80*G80/1000)</f>
        <v>0.294985</v>
      </c>
      <c r="I80" s="10">
        <v>0</v>
      </c>
    </row>
    <row r="81" spans="1:9" ht="15.75" customHeight="1">
      <c r="A81" s="22"/>
      <c r="B81" s="131" t="s">
        <v>242</v>
      </c>
      <c r="C81" s="44"/>
      <c r="D81" s="11"/>
      <c r="E81" s="16"/>
      <c r="F81" s="60"/>
      <c r="G81" s="10"/>
      <c r="H81" s="68"/>
      <c r="I81" s="10"/>
    </row>
    <row r="82" spans="1:9" ht="15.75" customHeight="1">
      <c r="A82" s="22">
        <v>18</v>
      </c>
      <c r="B82" s="11" t="s">
        <v>243</v>
      </c>
      <c r="C82" s="22" t="s">
        <v>244</v>
      </c>
      <c r="D82" s="11" t="s">
        <v>69</v>
      </c>
      <c r="E82" s="16">
        <v>2579.4</v>
      </c>
      <c r="F82" s="10">
        <f>SUM(E82*12)</f>
        <v>30952.800000000003</v>
      </c>
      <c r="G82" s="10">
        <v>2.2799999999999998</v>
      </c>
      <c r="H82" s="68">
        <f t="shared" ref="H82" si="14">SUM(F82*G82/1000)</f>
        <v>70.572384</v>
      </c>
      <c r="I82" s="10">
        <f>F82/12*G82</f>
        <v>5881.0320000000002</v>
      </c>
    </row>
    <row r="83" spans="1:9" ht="15.75" hidden="1" customHeight="1">
      <c r="A83" s="22"/>
      <c r="B83" s="154" t="s">
        <v>98</v>
      </c>
      <c r="C83" s="89"/>
      <c r="D83" s="24"/>
      <c r="E83" s="25"/>
      <c r="F83" s="75"/>
      <c r="G83" s="75"/>
      <c r="H83" s="90">
        <f>SUM(H58:H80)</f>
        <v>138.10465536000004</v>
      </c>
      <c r="I83" s="75"/>
    </row>
    <row r="84" spans="1:9" ht="15.75" hidden="1" customHeight="1">
      <c r="A84" s="22"/>
      <c r="B84" s="11" t="s">
        <v>245</v>
      </c>
      <c r="C84" s="13"/>
      <c r="D84" s="11"/>
      <c r="E84" s="11"/>
      <c r="F84" s="10">
        <v>1</v>
      </c>
      <c r="G84" s="10">
        <v>20408</v>
      </c>
      <c r="H84" s="68">
        <f>G84*F84/1000</f>
        <v>20.408000000000001</v>
      </c>
      <c r="I84" s="10">
        <v>0</v>
      </c>
    </row>
    <row r="85" spans="1:9" ht="15.75" hidden="1" customHeight="1">
      <c r="A85" s="22"/>
      <c r="B85" s="11" t="s">
        <v>246</v>
      </c>
      <c r="C85" s="13"/>
      <c r="D85" s="11"/>
      <c r="E85" s="11"/>
      <c r="F85" s="10">
        <v>62</v>
      </c>
      <c r="G85" s="10">
        <v>700</v>
      </c>
      <c r="H85" s="68">
        <f t="shared" ref="H85" si="15">G85*F85/1000</f>
        <v>43.4</v>
      </c>
      <c r="I85" s="10">
        <v>0</v>
      </c>
    </row>
    <row r="86" spans="1:9" ht="15.75" customHeight="1">
      <c r="A86" s="190" t="s">
        <v>154</v>
      </c>
      <c r="B86" s="191"/>
      <c r="C86" s="191"/>
      <c r="D86" s="191"/>
      <c r="E86" s="191"/>
      <c r="F86" s="191"/>
      <c r="G86" s="191"/>
      <c r="H86" s="191"/>
      <c r="I86" s="192"/>
    </row>
    <row r="87" spans="1:9" ht="15.75" customHeight="1">
      <c r="A87" s="22">
        <v>19</v>
      </c>
      <c r="B87" s="69" t="s">
        <v>107</v>
      </c>
      <c r="C87" s="13" t="s">
        <v>56</v>
      </c>
      <c r="D87" s="40" t="s">
        <v>57</v>
      </c>
      <c r="E87" s="10">
        <v>2579.4</v>
      </c>
      <c r="F87" s="10">
        <f>SUM(E87*12)</f>
        <v>30952.800000000003</v>
      </c>
      <c r="G87" s="10">
        <v>3.1</v>
      </c>
      <c r="H87" s="68">
        <f t="shared" ref="H87" si="16">G87*F87/1000</f>
        <v>95.953680000000006</v>
      </c>
      <c r="I87" s="10">
        <f>F87/12*G87</f>
        <v>7996.14</v>
      </c>
    </row>
    <row r="88" spans="1:9" ht="31.5" customHeight="1">
      <c r="A88" s="22">
        <v>20</v>
      </c>
      <c r="B88" s="11" t="s">
        <v>80</v>
      </c>
      <c r="C88" s="13"/>
      <c r="D88" s="40" t="s">
        <v>57</v>
      </c>
      <c r="E88" s="71">
        <v>2579.4</v>
      </c>
      <c r="F88" s="10">
        <f>E88*12</f>
        <v>30952.800000000003</v>
      </c>
      <c r="G88" s="10">
        <v>3.5</v>
      </c>
      <c r="H88" s="68">
        <f>F88*G88/1000</f>
        <v>108.33480000000002</v>
      </c>
      <c r="I88" s="10">
        <f>F88/12*G88</f>
        <v>9027.9</v>
      </c>
    </row>
    <row r="89" spans="1:9" ht="15.75" customHeight="1">
      <c r="A89" s="22"/>
      <c r="B89" s="29" t="s">
        <v>84</v>
      </c>
      <c r="C89" s="89"/>
      <c r="D89" s="88"/>
      <c r="E89" s="75"/>
      <c r="F89" s="75"/>
      <c r="G89" s="75"/>
      <c r="H89" s="90">
        <f>SUM(H88)</f>
        <v>108.33480000000002</v>
      </c>
      <c r="I89" s="75">
        <f>I88+I87+I82+I78+I64+I62+I60+I58+I59+I43+I41+I39+I38+I37+I27+I26+I21+I18+I16+I17</f>
        <v>66564.656538999989</v>
      </c>
    </row>
    <row r="90" spans="1:9" ht="15.75" customHeight="1">
      <c r="A90" s="200" t="s">
        <v>62</v>
      </c>
      <c r="B90" s="201"/>
      <c r="C90" s="201"/>
      <c r="D90" s="201"/>
      <c r="E90" s="201"/>
      <c r="F90" s="201"/>
      <c r="G90" s="201"/>
      <c r="H90" s="201"/>
      <c r="I90" s="202"/>
    </row>
    <row r="91" spans="1:9" ht="15.75" customHeight="1">
      <c r="A91" s="22">
        <v>21</v>
      </c>
      <c r="B91" s="43" t="s">
        <v>295</v>
      </c>
      <c r="C91" s="44" t="s">
        <v>296</v>
      </c>
      <c r="D91" s="141"/>
      <c r="E91" s="27"/>
      <c r="F91" s="27">
        <f>(0.21+0.42)</f>
        <v>0.63</v>
      </c>
      <c r="G91" s="27">
        <v>3300.56</v>
      </c>
      <c r="H91" s="140">
        <f t="shared" ref="H91" si="17">G91*F91/1000</f>
        <v>2.0793528000000001</v>
      </c>
      <c r="I91" s="10">
        <f>G91*0.63</f>
        <v>2079.3528000000001</v>
      </c>
    </row>
    <row r="92" spans="1:9" ht="31.5" customHeight="1">
      <c r="A92" s="22">
        <v>22</v>
      </c>
      <c r="B92" s="43" t="s">
        <v>205</v>
      </c>
      <c r="C92" s="44" t="s">
        <v>201</v>
      </c>
      <c r="D92" s="141"/>
      <c r="E92" s="27"/>
      <c r="F92" s="27">
        <v>1</v>
      </c>
      <c r="G92" s="27">
        <v>589.84</v>
      </c>
      <c r="H92" s="68">
        <f>G92*F92/1000</f>
        <v>0.58984000000000003</v>
      </c>
      <c r="I92" s="10">
        <f>G92</f>
        <v>589.84</v>
      </c>
    </row>
    <row r="93" spans="1:9" ht="15.75" customHeight="1">
      <c r="A93" s="22">
        <v>23</v>
      </c>
      <c r="B93" s="41" t="s">
        <v>195</v>
      </c>
      <c r="C93" s="42" t="s">
        <v>110</v>
      </c>
      <c r="D93" s="30"/>
      <c r="E93" s="15"/>
      <c r="F93" s="137">
        <f>(15+15+10)/3</f>
        <v>13.333333333333334</v>
      </c>
      <c r="G93" s="15">
        <v>1120.8900000000001</v>
      </c>
      <c r="H93" s="138">
        <f>G93*F93/1000</f>
        <v>14.945200000000003</v>
      </c>
      <c r="I93" s="10">
        <f>G93*((30+10)/3)</f>
        <v>14945.200000000003</v>
      </c>
    </row>
    <row r="94" spans="1:9" ht="31.5" customHeight="1">
      <c r="A94" s="22">
        <v>24</v>
      </c>
      <c r="B94" s="144" t="s">
        <v>297</v>
      </c>
      <c r="C94" s="145" t="s">
        <v>298</v>
      </c>
      <c r="D94" s="30"/>
      <c r="E94" s="15"/>
      <c r="F94" s="137">
        <v>1</v>
      </c>
      <c r="G94" s="15">
        <v>663.38</v>
      </c>
      <c r="H94" s="138">
        <f>G94*F94/1000</f>
        <v>0.66337999999999997</v>
      </c>
      <c r="I94" s="10">
        <f>G94</f>
        <v>663.38</v>
      </c>
    </row>
    <row r="95" spans="1:9" ht="31.5" customHeight="1">
      <c r="A95" s="22">
        <v>25</v>
      </c>
      <c r="B95" s="144" t="s">
        <v>209</v>
      </c>
      <c r="C95" s="145" t="s">
        <v>28</v>
      </c>
      <c r="D95" s="141"/>
      <c r="E95" s="27"/>
      <c r="F95" s="146">
        <v>1E-3</v>
      </c>
      <c r="G95" s="27">
        <v>1591.6</v>
      </c>
      <c r="H95" s="156">
        <f>G95*F95/1000</f>
        <v>1.5915999999999999E-3</v>
      </c>
      <c r="I95" s="10">
        <f>G95*0.001</f>
        <v>1.5915999999999999</v>
      </c>
    </row>
    <row r="96" spans="1:9" ht="15.75" customHeight="1">
      <c r="A96" s="22">
        <v>26</v>
      </c>
      <c r="B96" s="144" t="s">
        <v>299</v>
      </c>
      <c r="C96" s="145" t="s">
        <v>31</v>
      </c>
      <c r="D96" s="141"/>
      <c r="E96" s="27"/>
      <c r="F96" s="27">
        <v>6</v>
      </c>
      <c r="G96" s="27">
        <v>1725</v>
      </c>
      <c r="H96" s="138">
        <f t="shared" ref="H96:H97" si="18">G96*F96/1000</f>
        <v>10.35</v>
      </c>
      <c r="I96" s="10">
        <f>G96*6</f>
        <v>10350</v>
      </c>
    </row>
    <row r="97" spans="1:9" ht="15.75" customHeight="1">
      <c r="A97" s="22">
        <v>27</v>
      </c>
      <c r="B97" s="45" t="s">
        <v>144</v>
      </c>
      <c r="C97" s="46" t="s">
        <v>102</v>
      </c>
      <c r="D97" s="141"/>
      <c r="E97" s="27"/>
      <c r="F97" s="27">
        <v>1</v>
      </c>
      <c r="G97" s="27">
        <v>311.55</v>
      </c>
      <c r="H97" s="138">
        <f t="shared" si="18"/>
        <v>0.31154999999999999</v>
      </c>
      <c r="I97" s="10">
        <f t="shared" ref="I97" si="19">G97</f>
        <v>311.55</v>
      </c>
    </row>
    <row r="98" spans="1:9">
      <c r="A98" s="22"/>
      <c r="B98" s="35" t="s">
        <v>53</v>
      </c>
      <c r="C98" s="31"/>
      <c r="D98" s="38"/>
      <c r="E98" s="31">
        <v>1</v>
      </c>
      <c r="F98" s="31"/>
      <c r="G98" s="31"/>
      <c r="H98" s="31"/>
      <c r="I98" s="25">
        <f>SUM(I91:I97)</f>
        <v>28940.914400000001</v>
      </c>
    </row>
    <row r="99" spans="1:9" ht="15.75" customHeight="1">
      <c r="A99" s="22"/>
      <c r="B99" s="37" t="s">
        <v>81</v>
      </c>
      <c r="C99" s="12"/>
      <c r="D99" s="12"/>
      <c r="E99" s="32"/>
      <c r="F99" s="32"/>
      <c r="G99" s="33"/>
      <c r="H99" s="33"/>
      <c r="I99" s="15">
        <v>0</v>
      </c>
    </row>
    <row r="100" spans="1:9" ht="15.75" customHeight="1">
      <c r="A100" s="39"/>
      <c r="B100" s="36" t="s">
        <v>293</v>
      </c>
      <c r="C100" s="26"/>
      <c r="D100" s="26"/>
      <c r="E100" s="26"/>
      <c r="F100" s="26"/>
      <c r="G100" s="26"/>
      <c r="H100" s="26"/>
      <c r="I100" s="34">
        <f>I89+I98</f>
        <v>95505.570938999997</v>
      </c>
    </row>
    <row r="101" spans="1:9" ht="15.75" customHeight="1">
      <c r="A101" s="193" t="s">
        <v>320</v>
      </c>
      <c r="B101" s="193"/>
      <c r="C101" s="193"/>
      <c r="D101" s="193"/>
      <c r="E101" s="193"/>
      <c r="F101" s="193"/>
      <c r="G101" s="193"/>
      <c r="H101" s="193"/>
      <c r="I101" s="193"/>
    </row>
    <row r="102" spans="1:9" ht="15.75" customHeight="1">
      <c r="A102" s="53"/>
      <c r="B102" s="199" t="s">
        <v>321</v>
      </c>
      <c r="C102" s="199"/>
      <c r="D102" s="199"/>
      <c r="E102" s="199"/>
      <c r="F102" s="199"/>
      <c r="G102" s="199"/>
      <c r="H102" s="64"/>
      <c r="I102" s="2"/>
    </row>
    <row r="103" spans="1:9" ht="15.75" customHeight="1">
      <c r="A103" s="155"/>
      <c r="B103" s="162" t="s">
        <v>6</v>
      </c>
      <c r="C103" s="162"/>
      <c r="D103" s="162"/>
      <c r="E103" s="162"/>
      <c r="F103" s="162"/>
      <c r="G103" s="162"/>
      <c r="H103" s="17"/>
      <c r="I103" s="4"/>
    </row>
    <row r="104" spans="1:9" ht="7.5" customHeight="1">
      <c r="A104" s="7"/>
      <c r="B104" s="7"/>
      <c r="C104" s="7"/>
      <c r="D104" s="7"/>
      <c r="E104" s="7"/>
      <c r="F104" s="7"/>
      <c r="G104" s="7"/>
      <c r="H104" s="7"/>
      <c r="I104" s="7"/>
    </row>
    <row r="105" spans="1:9" ht="15.75" customHeight="1">
      <c r="A105" s="168" t="s">
        <v>7</v>
      </c>
      <c r="B105" s="168"/>
      <c r="C105" s="168"/>
      <c r="D105" s="168"/>
      <c r="E105" s="168"/>
      <c r="F105" s="168"/>
      <c r="G105" s="168"/>
      <c r="H105" s="168"/>
      <c r="I105" s="168"/>
    </row>
    <row r="106" spans="1:9" ht="15.75">
      <c r="A106" s="168" t="s">
        <v>8</v>
      </c>
      <c r="B106" s="168"/>
      <c r="C106" s="168"/>
      <c r="D106" s="168"/>
      <c r="E106" s="168"/>
      <c r="F106" s="168"/>
      <c r="G106" s="168"/>
      <c r="H106" s="168"/>
      <c r="I106" s="168"/>
    </row>
    <row r="107" spans="1:9" ht="15.75">
      <c r="A107" s="164" t="s">
        <v>63</v>
      </c>
      <c r="B107" s="164"/>
      <c r="C107" s="164"/>
      <c r="D107" s="164"/>
      <c r="E107" s="164"/>
      <c r="F107" s="164"/>
      <c r="G107" s="164"/>
      <c r="H107" s="164"/>
      <c r="I107" s="164"/>
    </row>
    <row r="108" spans="1:9" ht="8.25" customHeight="1">
      <c r="A108" s="8"/>
    </row>
    <row r="109" spans="1:9" ht="15.75">
      <c r="A109" s="170" t="s">
        <v>9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15.75">
      <c r="A110" s="3"/>
    </row>
    <row r="111" spans="1:9" ht="15.75" customHeight="1">
      <c r="B111" s="151" t="s">
        <v>10</v>
      </c>
      <c r="C111" s="197" t="s">
        <v>147</v>
      </c>
      <c r="D111" s="197"/>
      <c r="E111" s="197"/>
      <c r="F111" s="62"/>
      <c r="I111" s="153"/>
    </row>
    <row r="112" spans="1:9" ht="15.75" customHeight="1">
      <c r="A112" s="155"/>
      <c r="C112" s="162" t="s">
        <v>11</v>
      </c>
      <c r="D112" s="162"/>
      <c r="E112" s="162"/>
      <c r="F112" s="17"/>
      <c r="I112" s="150" t="s">
        <v>12</v>
      </c>
    </row>
    <row r="113" spans="1:9" ht="15.75" customHeight="1">
      <c r="A113" s="18"/>
      <c r="C113" s="9"/>
      <c r="D113" s="9"/>
      <c r="G113" s="9"/>
      <c r="H113" s="9"/>
    </row>
    <row r="114" spans="1:9" ht="15.75" customHeight="1">
      <c r="B114" s="151" t="s">
        <v>13</v>
      </c>
      <c r="C114" s="177"/>
      <c r="D114" s="177"/>
      <c r="E114" s="177"/>
      <c r="F114" s="63"/>
      <c r="I114" s="153"/>
    </row>
    <row r="115" spans="1:9">
      <c r="A115" s="155"/>
      <c r="C115" s="198" t="s">
        <v>11</v>
      </c>
      <c r="D115" s="198"/>
      <c r="E115" s="198"/>
      <c r="F115" s="155"/>
      <c r="I115" s="150" t="s">
        <v>12</v>
      </c>
    </row>
    <row r="116" spans="1:9" ht="15.75">
      <c r="A116" s="3" t="s">
        <v>14</v>
      </c>
    </row>
    <row r="117" spans="1:9">
      <c r="A117" s="165" t="s">
        <v>15</v>
      </c>
      <c r="B117" s="165"/>
      <c r="C117" s="165"/>
      <c r="D117" s="165"/>
      <c r="E117" s="165"/>
      <c r="F117" s="165"/>
      <c r="G117" s="165"/>
      <c r="H117" s="165"/>
      <c r="I117" s="165"/>
    </row>
    <row r="118" spans="1:9" ht="45" customHeight="1">
      <c r="A118" s="159" t="s">
        <v>16</v>
      </c>
      <c r="B118" s="159"/>
      <c r="C118" s="159"/>
      <c r="D118" s="159"/>
      <c r="E118" s="159"/>
      <c r="F118" s="159"/>
      <c r="G118" s="159"/>
      <c r="H118" s="159"/>
      <c r="I118" s="159"/>
    </row>
    <row r="119" spans="1:9" ht="30" customHeight="1">
      <c r="A119" s="159" t="s">
        <v>17</v>
      </c>
      <c r="B119" s="159"/>
      <c r="C119" s="159"/>
      <c r="D119" s="159"/>
      <c r="E119" s="159"/>
      <c r="F119" s="159"/>
      <c r="G119" s="159"/>
      <c r="H119" s="159"/>
      <c r="I119" s="159"/>
    </row>
    <row r="120" spans="1:9" ht="30" customHeight="1">
      <c r="A120" s="159" t="s">
        <v>21</v>
      </c>
      <c r="B120" s="159"/>
      <c r="C120" s="159"/>
      <c r="D120" s="159"/>
      <c r="E120" s="159"/>
      <c r="F120" s="159"/>
      <c r="G120" s="159"/>
      <c r="H120" s="159"/>
      <c r="I120" s="159"/>
    </row>
    <row r="121" spans="1:9" ht="15" customHeight="1">
      <c r="A121" s="159" t="s">
        <v>20</v>
      </c>
      <c r="B121" s="159"/>
      <c r="C121" s="159"/>
      <c r="D121" s="159"/>
      <c r="E121" s="159"/>
      <c r="F121" s="159"/>
      <c r="G121" s="159"/>
      <c r="H121" s="159"/>
      <c r="I121" s="159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8:I28"/>
    <mergeCell ref="A44:I44"/>
    <mergeCell ref="A56:I56"/>
    <mergeCell ref="A86:I86"/>
    <mergeCell ref="A90:I90"/>
    <mergeCell ref="A101:I101"/>
    <mergeCell ref="B102:G102"/>
    <mergeCell ref="B103:G103"/>
    <mergeCell ref="A105:I105"/>
    <mergeCell ref="A106:I106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18"/>
  <sheetViews>
    <sheetView tabSelected="1" topLeftCell="A78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113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300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152"/>
      <c r="C6" s="152"/>
      <c r="D6" s="152"/>
      <c r="E6" s="152"/>
      <c r="F6" s="152"/>
      <c r="G6" s="152"/>
      <c r="H6" s="152"/>
      <c r="I6" s="23">
        <v>43100</v>
      </c>
    </row>
    <row r="7" spans="1:9" ht="15.75">
      <c r="B7" s="151"/>
      <c r="C7" s="151"/>
      <c r="D7" s="151"/>
      <c r="E7" s="2"/>
      <c r="F7" s="2"/>
      <c r="G7" s="2"/>
      <c r="H7" s="2"/>
    </row>
    <row r="8" spans="1:9" ht="78.75" customHeight="1">
      <c r="A8" s="180" t="s">
        <v>291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5.75" customHeight="1">
      <c r="A16" s="22">
        <v>1</v>
      </c>
      <c r="B16" s="69" t="s">
        <v>114</v>
      </c>
      <c r="C16" s="70" t="s">
        <v>92</v>
      </c>
      <c r="D16" s="69" t="s">
        <v>233</v>
      </c>
      <c r="E16" s="71">
        <v>43.36</v>
      </c>
      <c r="F16" s="72">
        <f>SUM(E16*156/100)</f>
        <v>67.641599999999997</v>
      </c>
      <c r="G16" s="72">
        <v>230</v>
      </c>
      <c r="H16" s="73">
        <f t="shared" ref="H16:H25" si="0">SUM(F16*G16/1000)</f>
        <v>15.557568</v>
      </c>
      <c r="I16" s="10">
        <f>F16/12*G16</f>
        <v>1296.4639999999999</v>
      </c>
    </row>
    <row r="17" spans="1:9" ht="15.75" customHeight="1">
      <c r="A17" s="22">
        <v>2</v>
      </c>
      <c r="B17" s="69" t="s">
        <v>116</v>
      </c>
      <c r="C17" s="70" t="s">
        <v>92</v>
      </c>
      <c r="D17" s="69" t="s">
        <v>234</v>
      </c>
      <c r="E17" s="71">
        <v>173.44</v>
      </c>
      <c r="F17" s="72">
        <f>SUM(E17*104/100)</f>
        <v>180.37759999999997</v>
      </c>
      <c r="G17" s="72">
        <v>230</v>
      </c>
      <c r="H17" s="73">
        <f t="shared" si="0"/>
        <v>41.486847999999988</v>
      </c>
      <c r="I17" s="10">
        <f>F17/12*G17</f>
        <v>3457.237333333333</v>
      </c>
    </row>
    <row r="18" spans="1:9" ht="15.75" customHeight="1">
      <c r="A18" s="22">
        <v>3</v>
      </c>
      <c r="B18" s="69" t="s">
        <v>118</v>
      </c>
      <c r="C18" s="70" t="s">
        <v>92</v>
      </c>
      <c r="D18" s="69" t="s">
        <v>235</v>
      </c>
      <c r="E18" s="71">
        <f>SUM(E16+E17)</f>
        <v>216.8</v>
      </c>
      <c r="F18" s="72">
        <f>SUM(E18*24/100)</f>
        <v>52.032000000000011</v>
      </c>
      <c r="G18" s="72">
        <v>661.67</v>
      </c>
      <c r="H18" s="73">
        <f t="shared" si="0"/>
        <v>34.428013440000001</v>
      </c>
      <c r="I18" s="10">
        <f>F18/12*G18</f>
        <v>2869.0011200000008</v>
      </c>
    </row>
    <row r="19" spans="1:9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223.17</v>
      </c>
      <c r="H19" s="73">
        <f t="shared" si="0"/>
        <v>0.89267999999999992</v>
      </c>
      <c r="I19" s="10">
        <v>0</v>
      </c>
    </row>
    <row r="20" spans="1:9" ht="15.75" hidden="1" customHeight="1">
      <c r="A20" s="22">
        <v>4</v>
      </c>
      <c r="B20" s="69" t="s">
        <v>122</v>
      </c>
      <c r="C20" s="70" t="s">
        <v>92</v>
      </c>
      <c r="D20" s="69" t="s">
        <v>43</v>
      </c>
      <c r="E20" s="71">
        <v>10.5</v>
      </c>
      <c r="F20" s="72">
        <f>SUM(E20*2/100)</f>
        <v>0.21</v>
      </c>
      <c r="G20" s="72">
        <v>285.76</v>
      </c>
      <c r="H20" s="73">
        <f t="shared" si="0"/>
        <v>6.0009599999999996E-2</v>
      </c>
      <c r="I20" s="10">
        <v>0</v>
      </c>
    </row>
    <row r="21" spans="1:9" ht="15.75" hidden="1" customHeight="1">
      <c r="A21" s="22">
        <v>4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283.44</v>
      </c>
      <c r="H21" s="73">
        <f t="shared" si="0"/>
        <v>4.5917280000000012E-2</v>
      </c>
      <c r="I21" s="10">
        <f>F21/6*G21</f>
        <v>7.6528800000000015</v>
      </c>
    </row>
    <row r="22" spans="1:9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353.14</v>
      </c>
      <c r="H22" s="73">
        <f t="shared" si="0"/>
        <v>1.2607097999999999</v>
      </c>
      <c r="I22" s="10">
        <v>0</v>
      </c>
    </row>
    <row r="23" spans="1:9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58.08</v>
      </c>
      <c r="H23" s="73">
        <f t="shared" si="0"/>
        <v>2.2442112E-2</v>
      </c>
      <c r="I23" s="10">
        <v>0</v>
      </c>
    </row>
    <row r="24" spans="1:9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511.12</v>
      </c>
      <c r="H24" s="73">
        <f t="shared" si="0"/>
        <v>7.6667999999999986E-2</v>
      </c>
      <c r="I24" s="10">
        <v>0</v>
      </c>
    </row>
    <row r="25" spans="1:9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683.05</v>
      </c>
      <c r="H25" s="73">
        <f t="shared" si="0"/>
        <v>4.3578589999999993E-2</v>
      </c>
      <c r="I25" s="10">
        <v>0</v>
      </c>
    </row>
    <row r="26" spans="1:9" ht="15.75" customHeight="1">
      <c r="A26" s="22">
        <v>4</v>
      </c>
      <c r="B26" s="69" t="s">
        <v>66</v>
      </c>
      <c r="C26" s="70" t="s">
        <v>32</v>
      </c>
      <c r="D26" s="69" t="s">
        <v>236</v>
      </c>
      <c r="E26" s="71">
        <v>0.1</v>
      </c>
      <c r="F26" s="72">
        <f>SUM(E26*182)</f>
        <v>18.2</v>
      </c>
      <c r="G26" s="72">
        <v>264.85000000000002</v>
      </c>
      <c r="H26" s="73">
        <f t="shared" ref="H26:H27" si="1">SUM(F26*G26/1000)</f>
        <v>4.8202700000000007</v>
      </c>
      <c r="I26" s="10">
        <f>F26/12*G26</f>
        <v>401.68916666666667</v>
      </c>
    </row>
    <row r="27" spans="1:9" ht="15.75" customHeight="1">
      <c r="A27" s="22">
        <v>5</v>
      </c>
      <c r="B27" s="77" t="s">
        <v>23</v>
      </c>
      <c r="C27" s="70" t="s">
        <v>24</v>
      </c>
      <c r="D27" s="77" t="s">
        <v>158</v>
      </c>
      <c r="E27" s="71">
        <v>2579.4</v>
      </c>
      <c r="F27" s="72">
        <f>SUM(E27*12)</f>
        <v>30952.800000000003</v>
      </c>
      <c r="G27" s="72">
        <v>3.34</v>
      </c>
      <c r="H27" s="73">
        <f t="shared" si="1"/>
        <v>103.382352</v>
      </c>
      <c r="I27" s="10">
        <f>F27/12*G27</f>
        <v>8615.1959999999999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hidden="1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15.75" hidden="1" customHeight="1">
      <c r="A30" s="22">
        <v>6</v>
      </c>
      <c r="B30" s="69" t="s">
        <v>100</v>
      </c>
      <c r="C30" s="70" t="s">
        <v>94</v>
      </c>
      <c r="D30" s="69" t="s">
        <v>237</v>
      </c>
      <c r="E30" s="72">
        <v>124.74</v>
      </c>
      <c r="F30" s="72">
        <f>SUM(E30*52/1000)</f>
        <v>6.4864799999999994</v>
      </c>
      <c r="G30" s="72">
        <v>204.44</v>
      </c>
      <c r="H30" s="73">
        <f t="shared" ref="H30:H35" si="2">SUM(F30*G30/1000)</f>
        <v>1.3260959712</v>
      </c>
      <c r="I30" s="10">
        <f>F30/6*G30</f>
        <v>221.01599519999996</v>
      </c>
    </row>
    <row r="31" spans="1:9" ht="31.5" hidden="1" customHeight="1">
      <c r="A31" s="22">
        <v>7</v>
      </c>
      <c r="B31" s="69" t="s">
        <v>173</v>
      </c>
      <c r="C31" s="70" t="s">
        <v>94</v>
      </c>
      <c r="D31" s="69" t="s">
        <v>238</v>
      </c>
      <c r="E31" s="72">
        <v>31.4</v>
      </c>
      <c r="F31" s="72">
        <f>SUM(E31*52/1000)</f>
        <v>1.6328</v>
      </c>
      <c r="G31" s="72">
        <v>339.21</v>
      </c>
      <c r="H31" s="73">
        <f t="shared" si="2"/>
        <v>0.55386208799999992</v>
      </c>
      <c r="I31" s="10">
        <f t="shared" ref="I31:I33" si="3">F31/6*G31</f>
        <v>92.310347999999991</v>
      </c>
    </row>
    <row r="32" spans="1:9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124.7</v>
      </c>
      <c r="F32" s="72">
        <f>SUM(E32/1000)</f>
        <v>0.12470000000000001</v>
      </c>
      <c r="G32" s="72">
        <v>3961.23</v>
      </c>
      <c r="H32" s="73">
        <f t="shared" si="2"/>
        <v>0.49396538100000004</v>
      </c>
      <c r="I32" s="10">
        <f t="shared" si="3"/>
        <v>82.327563500000011</v>
      </c>
    </row>
    <row r="33" spans="1:9" ht="15.75" hidden="1" customHeight="1">
      <c r="A33" s="22">
        <v>8</v>
      </c>
      <c r="B33" s="69" t="s">
        <v>99</v>
      </c>
      <c r="C33" s="70" t="s">
        <v>30</v>
      </c>
      <c r="D33" s="69" t="s">
        <v>65</v>
      </c>
      <c r="E33" s="76">
        <f>1/3</f>
        <v>0.33333333333333331</v>
      </c>
      <c r="F33" s="72">
        <f>155/3</f>
        <v>51.666666666666664</v>
      </c>
      <c r="G33" s="72">
        <v>74.349999999999994</v>
      </c>
      <c r="H33" s="73">
        <f t="shared" si="2"/>
        <v>3.841416666666666</v>
      </c>
      <c r="I33" s="10">
        <f t="shared" si="3"/>
        <v>640.23611111111109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69</v>
      </c>
      <c r="E34" s="71"/>
      <c r="F34" s="72">
        <v>2</v>
      </c>
      <c r="G34" s="72">
        <v>250.92</v>
      </c>
      <c r="H34" s="73">
        <f t="shared" si="2"/>
        <v>0.50183999999999995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69</v>
      </c>
      <c r="E35" s="71"/>
      <c r="F35" s="72">
        <v>1</v>
      </c>
      <c r="G35" s="72">
        <v>1490.31</v>
      </c>
      <c r="H35" s="73">
        <f t="shared" si="2"/>
        <v>1.49031</v>
      </c>
      <c r="I35" s="10">
        <v>0</v>
      </c>
    </row>
    <row r="36" spans="1:9" ht="15.75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customHeight="1">
      <c r="A37" s="22">
        <v>6</v>
      </c>
      <c r="B37" s="69" t="s">
        <v>25</v>
      </c>
      <c r="C37" s="70" t="s">
        <v>31</v>
      </c>
      <c r="D37" s="69"/>
      <c r="E37" s="71"/>
      <c r="F37" s="72">
        <v>6</v>
      </c>
      <c r="G37" s="72">
        <v>2003</v>
      </c>
      <c r="H37" s="73">
        <f>SUM(F37*G37/1000)</f>
        <v>12.018000000000001</v>
      </c>
      <c r="I37" s="10">
        <f>F37/6*G37</f>
        <v>2003</v>
      </c>
    </row>
    <row r="38" spans="1:9" ht="15.75" customHeight="1">
      <c r="A38" s="22">
        <v>7</v>
      </c>
      <c r="B38" s="69" t="s">
        <v>70</v>
      </c>
      <c r="C38" s="70" t="s">
        <v>28</v>
      </c>
      <c r="D38" s="69" t="s">
        <v>111</v>
      </c>
      <c r="E38" s="72">
        <v>26.07</v>
      </c>
      <c r="F38" s="72">
        <f>SUM(E38*30/1000)</f>
        <v>0.78210000000000002</v>
      </c>
      <c r="G38" s="72">
        <v>2757.78</v>
      </c>
      <c r="H38" s="73">
        <f t="shared" ref="H38:H43" si="4">SUM(F38*G38/1000)</f>
        <v>2.1568597380000001</v>
      </c>
      <c r="I38" s="10">
        <f t="shared" ref="I38:I43" si="5">F38/6*G38</f>
        <v>359.47662300000002</v>
      </c>
    </row>
    <row r="39" spans="1:9" ht="15.75" customHeight="1">
      <c r="A39" s="22">
        <v>8</v>
      </c>
      <c r="B39" s="69" t="s">
        <v>71</v>
      </c>
      <c r="C39" s="70" t="s">
        <v>28</v>
      </c>
      <c r="D39" s="69" t="s">
        <v>93</v>
      </c>
      <c r="E39" s="72">
        <v>31.4</v>
      </c>
      <c r="F39" s="72">
        <f>SUM(E39*155/1000)</f>
        <v>4.867</v>
      </c>
      <c r="G39" s="72">
        <v>460.02</v>
      </c>
      <c r="H39" s="73">
        <f t="shared" si="4"/>
        <v>2.23891734</v>
      </c>
      <c r="I39" s="10">
        <f t="shared" si="5"/>
        <v>373.15289000000001</v>
      </c>
    </row>
    <row r="40" spans="1:9" ht="15.75" hidden="1" customHeight="1">
      <c r="A40" s="22">
        <v>9</v>
      </c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314</v>
      </c>
      <c r="H40" s="73">
        <f t="shared" si="4"/>
        <v>34.54</v>
      </c>
      <c r="I40" s="10">
        <f t="shared" si="5"/>
        <v>5756.6666666666661</v>
      </c>
    </row>
    <row r="41" spans="1:9" ht="47.25" customHeight="1">
      <c r="A41" s="22">
        <v>9</v>
      </c>
      <c r="B41" s="69" t="s">
        <v>87</v>
      </c>
      <c r="C41" s="70" t="s">
        <v>94</v>
      </c>
      <c r="D41" s="69" t="s">
        <v>111</v>
      </c>
      <c r="E41" s="72">
        <v>26.07</v>
      </c>
      <c r="F41" s="72">
        <f>SUM(E41*30/1000)</f>
        <v>0.78210000000000002</v>
      </c>
      <c r="G41" s="72">
        <v>7611.16</v>
      </c>
      <c r="H41" s="73">
        <f t="shared" si="4"/>
        <v>5.9526882360000002</v>
      </c>
      <c r="I41" s="10">
        <f t="shared" si="5"/>
        <v>992.11470599999996</v>
      </c>
    </row>
    <row r="42" spans="1:9" ht="15.75" hidden="1" customHeight="1">
      <c r="A42" s="22">
        <v>10</v>
      </c>
      <c r="B42" s="69" t="s">
        <v>95</v>
      </c>
      <c r="C42" s="70" t="s">
        <v>94</v>
      </c>
      <c r="D42" s="69" t="s">
        <v>239</v>
      </c>
      <c r="E42" s="72">
        <v>26.07</v>
      </c>
      <c r="F42" s="72">
        <f>SUM(E42*24/1000)</f>
        <v>0.62568000000000001</v>
      </c>
      <c r="G42" s="72">
        <v>562.25</v>
      </c>
      <c r="H42" s="73">
        <f t="shared" si="4"/>
        <v>0.35178858000000002</v>
      </c>
      <c r="I42" s="10">
        <f t="shared" si="5"/>
        <v>58.631430000000002</v>
      </c>
    </row>
    <row r="43" spans="1:9" ht="15.75" customHeight="1">
      <c r="A43" s="22">
        <v>10</v>
      </c>
      <c r="B43" s="69" t="s">
        <v>73</v>
      </c>
      <c r="C43" s="70" t="s">
        <v>32</v>
      </c>
      <c r="D43" s="69"/>
      <c r="E43" s="71"/>
      <c r="F43" s="72">
        <v>0.3</v>
      </c>
      <c r="G43" s="72">
        <v>974.83</v>
      </c>
      <c r="H43" s="73">
        <f t="shared" si="4"/>
        <v>0.29244900000000001</v>
      </c>
      <c r="I43" s="10">
        <f t="shared" si="5"/>
        <v>48.741499999999995</v>
      </c>
    </row>
    <row r="44" spans="1:9" ht="15.75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hidden="1" customHeight="1">
      <c r="A45" s="22"/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1172.4100000000001</v>
      </c>
      <c r="H45" s="73">
        <f t="shared" ref="H45:H55" si="6">SUM(F45*G45/1000)</f>
        <v>2.6013433080000006</v>
      </c>
      <c r="I45" s="10">
        <v>0</v>
      </c>
    </row>
    <row r="46" spans="1:9" ht="15.75" hidden="1" customHeight="1">
      <c r="A46" s="22"/>
      <c r="B46" s="69" t="s">
        <v>35</v>
      </c>
      <c r="C46" s="70" t="s">
        <v>94</v>
      </c>
      <c r="D46" s="69" t="s">
        <v>43</v>
      </c>
      <c r="E46" s="71">
        <v>66</v>
      </c>
      <c r="F46" s="72">
        <f>SUM(E46*2/1000)</f>
        <v>0.13200000000000001</v>
      </c>
      <c r="G46" s="10">
        <v>4419.05</v>
      </c>
      <c r="H46" s="73">
        <f t="shared" si="6"/>
        <v>0.58331460000000002</v>
      </c>
      <c r="I46" s="10">
        <v>0</v>
      </c>
    </row>
    <row r="47" spans="1:9" ht="15.75" hidden="1" customHeight="1">
      <c r="A47" s="22"/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1803.69</v>
      </c>
      <c r="H47" s="73">
        <f t="shared" si="6"/>
        <v>5.6393269695000008</v>
      </c>
      <c r="I47" s="10">
        <v>0</v>
      </c>
    </row>
    <row r="48" spans="1:9" ht="15.75" hidden="1" customHeight="1">
      <c r="A48" s="22"/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1243.43</v>
      </c>
      <c r="H48" s="73">
        <f t="shared" si="6"/>
        <v>4.0277184559999997</v>
      </c>
      <c r="I48" s="10">
        <v>0</v>
      </c>
    </row>
    <row r="49" spans="1:9" ht="15.75" hidden="1" customHeight="1">
      <c r="A49" s="22"/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1352.76</v>
      </c>
      <c r="H49" s="73">
        <f t="shared" si="6"/>
        <v>2.3224183680000001</v>
      </c>
      <c r="I49" s="10">
        <v>0</v>
      </c>
    </row>
    <row r="50" spans="1:9" ht="15.75" customHeight="1">
      <c r="A50" s="22">
        <v>11</v>
      </c>
      <c r="B50" s="69" t="s">
        <v>58</v>
      </c>
      <c r="C50" s="70" t="s">
        <v>94</v>
      </c>
      <c r="D50" s="69" t="s">
        <v>174</v>
      </c>
      <c r="E50" s="71">
        <v>2579.4</v>
      </c>
      <c r="F50" s="72">
        <f>SUM(E50*5/1000)</f>
        <v>12.897</v>
      </c>
      <c r="G50" s="10">
        <v>1803.69</v>
      </c>
      <c r="H50" s="73">
        <f t="shared" si="6"/>
        <v>23.262189930000002</v>
      </c>
      <c r="I50" s="10">
        <f>F50/5*G50</f>
        <v>4652.4379860000008</v>
      </c>
    </row>
    <row r="51" spans="1:9" ht="31.5" hidden="1" customHeight="1">
      <c r="A51" s="22">
        <v>9</v>
      </c>
      <c r="B51" s="69" t="s">
        <v>96</v>
      </c>
      <c r="C51" s="70" t="s">
        <v>94</v>
      </c>
      <c r="D51" s="69" t="s">
        <v>43</v>
      </c>
      <c r="E51" s="71">
        <v>2579.4</v>
      </c>
      <c r="F51" s="72">
        <f>SUM(E51*2/1000)</f>
        <v>5.1588000000000003</v>
      </c>
      <c r="G51" s="10">
        <v>1591.6</v>
      </c>
      <c r="H51" s="73">
        <f t="shared" si="6"/>
        <v>8.2107460800000016</v>
      </c>
      <c r="I51" s="10">
        <f>F51/2*G51</f>
        <v>4105.3730400000004</v>
      </c>
    </row>
    <row r="52" spans="1:9" ht="31.5" hidden="1" customHeight="1">
      <c r="A52" s="22">
        <v>10</v>
      </c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4058.32</v>
      </c>
      <c r="H52" s="73">
        <f t="shared" si="6"/>
        <v>1.6233280000000001</v>
      </c>
      <c r="I52" s="10">
        <f t="shared" ref="I52:I53" si="7">F52/2*G52</f>
        <v>811.6640000000001</v>
      </c>
    </row>
    <row r="53" spans="1:9" ht="15.75" hidden="1" customHeight="1">
      <c r="A53" s="22">
        <v>11</v>
      </c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7412.92</v>
      </c>
      <c r="H53" s="73">
        <f t="shared" si="6"/>
        <v>0.14825839999999998</v>
      </c>
      <c r="I53" s="10">
        <f t="shared" si="7"/>
        <v>74.129199999999997</v>
      </c>
    </row>
    <row r="54" spans="1:9" ht="15.75" hidden="1" customHeight="1">
      <c r="A54" s="22">
        <v>15</v>
      </c>
      <c r="B54" s="69" t="s">
        <v>108</v>
      </c>
      <c r="C54" s="70" t="s">
        <v>102</v>
      </c>
      <c r="D54" s="69" t="s">
        <v>74</v>
      </c>
      <c r="E54" s="71">
        <v>62</v>
      </c>
      <c r="F54" s="72">
        <f>SUM(E54*3)</f>
        <v>186</v>
      </c>
      <c r="G54" s="10">
        <v>185.08</v>
      </c>
      <c r="H54" s="73">
        <f t="shared" si="6"/>
        <v>34.424880000000002</v>
      </c>
      <c r="I54" s="10">
        <v>0</v>
      </c>
    </row>
    <row r="55" spans="1:9" ht="15.75" hidden="1" customHeight="1">
      <c r="A55" s="94">
        <v>16</v>
      </c>
      <c r="B55" s="81" t="s">
        <v>42</v>
      </c>
      <c r="C55" s="80" t="s">
        <v>102</v>
      </c>
      <c r="D55" s="81" t="s">
        <v>74</v>
      </c>
      <c r="E55" s="82">
        <v>124</v>
      </c>
      <c r="F55" s="83">
        <f>SUM(E55)*3</f>
        <v>372</v>
      </c>
      <c r="G55" s="95">
        <v>86.15</v>
      </c>
      <c r="H55" s="84">
        <f t="shared" si="6"/>
        <v>32.047800000000002</v>
      </c>
      <c r="I55" s="95">
        <v>0</v>
      </c>
    </row>
    <row r="56" spans="1:9" ht="15.75" customHeight="1">
      <c r="A56" s="172" t="s">
        <v>151</v>
      </c>
      <c r="B56" s="175"/>
      <c r="C56" s="175"/>
      <c r="D56" s="175"/>
      <c r="E56" s="175"/>
      <c r="F56" s="175"/>
      <c r="G56" s="175"/>
      <c r="H56" s="175"/>
      <c r="I56" s="176"/>
    </row>
    <row r="57" spans="1:9" ht="15.75" customHeight="1">
      <c r="A57" s="96"/>
      <c r="B57" s="97" t="s">
        <v>44</v>
      </c>
      <c r="C57" s="98"/>
      <c r="D57" s="99"/>
      <c r="E57" s="100"/>
      <c r="F57" s="101"/>
      <c r="G57" s="101"/>
      <c r="H57" s="102"/>
      <c r="I57" s="103"/>
    </row>
    <row r="58" spans="1:9" ht="31.5" customHeight="1">
      <c r="A58" s="22">
        <v>12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2029.3</v>
      </c>
      <c r="H58" s="73">
        <f>SUM(F58*G58/1000)</f>
        <v>15.455960519999998</v>
      </c>
      <c r="I58" s="10">
        <f t="shared" ref="I58:I59" si="8">F58/6*G58</f>
        <v>2575.9934199999998</v>
      </c>
    </row>
    <row r="59" spans="1:9" ht="31.5" customHeight="1">
      <c r="A59" s="22">
        <v>13</v>
      </c>
      <c r="B59" s="69" t="s">
        <v>82</v>
      </c>
      <c r="C59" s="70" t="s">
        <v>92</v>
      </c>
      <c r="D59" s="69" t="s">
        <v>29</v>
      </c>
      <c r="E59" s="16">
        <v>19.899999999999999</v>
      </c>
      <c r="F59" s="72">
        <f>SUM(E59*6/100)</f>
        <v>1.194</v>
      </c>
      <c r="G59" s="72">
        <v>2029.3</v>
      </c>
      <c r="H59" s="73">
        <f t="shared" ref="H59:H60" si="9">SUM(F59*G59/1000)</f>
        <v>2.4229841999999997</v>
      </c>
      <c r="I59" s="10">
        <f t="shared" si="8"/>
        <v>403.83069999999998</v>
      </c>
    </row>
    <row r="60" spans="1:9" ht="15.75" hidden="1" customHeight="1">
      <c r="A60" s="22">
        <v>15</v>
      </c>
      <c r="B60" s="81" t="s">
        <v>142</v>
      </c>
      <c r="C60" s="80" t="s">
        <v>143</v>
      </c>
      <c r="D60" s="81" t="s">
        <v>69</v>
      </c>
      <c r="E60" s="130"/>
      <c r="F60" s="83">
        <v>3</v>
      </c>
      <c r="G60" s="72">
        <v>1582.05</v>
      </c>
      <c r="H60" s="73">
        <f t="shared" si="9"/>
        <v>4.7461499999999992</v>
      </c>
      <c r="I60" s="10">
        <f>G60*(2+1+1.5)</f>
        <v>7119.2249999999995</v>
      </c>
    </row>
    <row r="61" spans="1:9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3"/>
    </row>
    <row r="62" spans="1:9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450</v>
      </c>
      <c r="F62" s="72">
        <f>SUM(E62/100)</f>
        <v>4.5</v>
      </c>
      <c r="G62" s="10">
        <v>1040.8399999999999</v>
      </c>
      <c r="H62" s="85">
        <v>7.6349999999999998</v>
      </c>
      <c r="I62" s="10">
        <v>0</v>
      </c>
    </row>
    <row r="63" spans="1:9" ht="15.75" hidden="1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hidden="1" customHeight="1">
      <c r="A64" s="22">
        <v>16</v>
      </c>
      <c r="B64" s="11" t="s">
        <v>48</v>
      </c>
      <c r="C64" s="13" t="s">
        <v>102</v>
      </c>
      <c r="D64" s="11" t="s">
        <v>69</v>
      </c>
      <c r="E64" s="16">
        <v>5</v>
      </c>
      <c r="F64" s="72">
        <f>E64</f>
        <v>5</v>
      </c>
      <c r="G64" s="10">
        <v>291.68</v>
      </c>
      <c r="H64" s="68">
        <f t="shared" ref="H64:H71" si="10">SUM(F64*G64/1000)</f>
        <v>1.4584000000000001</v>
      </c>
      <c r="I64" s="10">
        <f>G64</f>
        <v>291.68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2</v>
      </c>
      <c r="F65" s="72">
        <f>E65</f>
        <v>2</v>
      </c>
      <c r="G65" s="10">
        <v>100.01</v>
      </c>
      <c r="H65" s="68">
        <f t="shared" si="10"/>
        <v>0.20002</v>
      </c>
      <c r="I65" s="10">
        <v>0</v>
      </c>
    </row>
    <row r="66" spans="1:9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278.24</v>
      </c>
      <c r="H66" s="68">
        <f t="shared" si="10"/>
        <v>37.042091200000002</v>
      </c>
      <c r="I66" s="10">
        <v>0</v>
      </c>
    </row>
    <row r="67" spans="1:9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216.68</v>
      </c>
      <c r="H67" s="68">
        <f t="shared" si="10"/>
        <v>2.88466084</v>
      </c>
      <c r="I67" s="10">
        <v>0</v>
      </c>
    </row>
    <row r="68" spans="1:9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2720.94</v>
      </c>
      <c r="H68" s="68">
        <f t="shared" si="10"/>
        <v>59.425329599999998</v>
      </c>
      <c r="I68" s="10">
        <v>0</v>
      </c>
    </row>
    <row r="69" spans="1:9" ht="15.75" hidden="1" customHeight="1">
      <c r="A69" s="22"/>
      <c r="B69" s="87" t="s">
        <v>105</v>
      </c>
      <c r="C69" s="13" t="s">
        <v>32</v>
      </c>
      <c r="D69" s="11"/>
      <c r="E69" s="71">
        <v>12.2</v>
      </c>
      <c r="F69" s="10">
        <f>SUM(E69)</f>
        <v>12.2</v>
      </c>
      <c r="G69" s="10">
        <v>42.61</v>
      </c>
      <c r="H69" s="68">
        <f t="shared" si="10"/>
        <v>0.51984200000000003</v>
      </c>
      <c r="I69" s="10">
        <v>0</v>
      </c>
    </row>
    <row r="70" spans="1:9" ht="15.75" hidden="1" customHeight="1">
      <c r="A70" s="22"/>
      <c r="B70" s="87" t="s">
        <v>159</v>
      </c>
      <c r="C70" s="13" t="s">
        <v>32</v>
      </c>
      <c r="D70" s="11"/>
      <c r="E70" s="71">
        <v>12.2</v>
      </c>
      <c r="F70" s="10">
        <f>SUM(E70)</f>
        <v>12.2</v>
      </c>
      <c r="G70" s="10">
        <v>46.04</v>
      </c>
      <c r="H70" s="68">
        <f t="shared" si="10"/>
        <v>0.56168799999999997</v>
      </c>
      <c r="I70" s="10">
        <v>0</v>
      </c>
    </row>
    <row r="71" spans="1:9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3</v>
      </c>
      <c r="F71" s="72">
        <v>3</v>
      </c>
      <c r="G71" s="10">
        <v>65.42</v>
      </c>
      <c r="H71" s="68">
        <f t="shared" si="10"/>
        <v>0.19625999999999999</v>
      </c>
      <c r="I71" s="10">
        <v>0</v>
      </c>
    </row>
    <row r="72" spans="1:9" ht="15.75" customHeight="1">
      <c r="A72" s="22"/>
      <c r="B72" s="154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1</v>
      </c>
      <c r="F73" s="10">
        <v>1</v>
      </c>
      <c r="G73" s="10">
        <v>1029.1199999999999</v>
      </c>
      <c r="H73" s="68">
        <f t="shared" ref="H73:H76" si="11">SUM(F73*G73/1000)</f>
        <v>1.0291199999999998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735</v>
      </c>
      <c r="H74" s="68">
        <f t="shared" si="11"/>
        <v>0.73499999999999999</v>
      </c>
      <c r="I74" s="10">
        <v>0</v>
      </c>
    </row>
    <row r="75" spans="1:9" ht="15.75" hidden="1" customHeight="1">
      <c r="A75" s="22"/>
      <c r="B75" s="11" t="s">
        <v>76</v>
      </c>
      <c r="C75" s="13" t="s">
        <v>77</v>
      </c>
      <c r="D75" s="11" t="s">
        <v>69</v>
      </c>
      <c r="E75" s="16">
        <v>3</v>
      </c>
      <c r="F75" s="10">
        <v>0.2</v>
      </c>
      <c r="G75" s="10">
        <v>657.87</v>
      </c>
      <c r="H75" s="68">
        <f t="shared" si="11"/>
        <v>0.13157400000000002</v>
      </c>
      <c r="I75" s="10">
        <v>0</v>
      </c>
    </row>
    <row r="76" spans="1:9" ht="15.75" hidden="1" customHeight="1">
      <c r="A76" s="22"/>
      <c r="B76" s="11" t="s">
        <v>139</v>
      </c>
      <c r="C76" s="13" t="s">
        <v>102</v>
      </c>
      <c r="D76" s="11" t="s">
        <v>69</v>
      </c>
      <c r="E76" s="16">
        <v>1</v>
      </c>
      <c r="F76" s="72">
        <f>SUM(E76)</f>
        <v>1</v>
      </c>
      <c r="G76" s="10">
        <v>1118.72</v>
      </c>
      <c r="H76" s="68">
        <f t="shared" si="11"/>
        <v>1.1187199999999999</v>
      </c>
      <c r="I76" s="10">
        <v>0</v>
      </c>
    </row>
    <row r="77" spans="1:9" ht="15.75" hidden="1" customHeight="1">
      <c r="A77" s="22"/>
      <c r="B77" s="43" t="s">
        <v>240</v>
      </c>
      <c r="C77" s="44" t="s">
        <v>102</v>
      </c>
      <c r="D77" s="11" t="s">
        <v>69</v>
      </c>
      <c r="E77" s="16">
        <v>1</v>
      </c>
      <c r="F77" s="60">
        <v>1</v>
      </c>
      <c r="G77" s="10">
        <v>1605.83</v>
      </c>
      <c r="H77" s="68">
        <f>SUM(F77*G77/1000)</f>
        <v>1.6058299999999999</v>
      </c>
      <c r="I77" s="10">
        <v>0</v>
      </c>
    </row>
    <row r="78" spans="1:9" ht="15.75" customHeight="1">
      <c r="A78" s="22">
        <v>14</v>
      </c>
      <c r="B78" s="43" t="s">
        <v>241</v>
      </c>
      <c r="C78" s="44" t="s">
        <v>102</v>
      </c>
      <c r="D78" s="11" t="s">
        <v>29</v>
      </c>
      <c r="E78" s="16">
        <v>1</v>
      </c>
      <c r="F78" s="72">
        <v>12</v>
      </c>
      <c r="G78" s="10">
        <v>53.42</v>
      </c>
      <c r="H78" s="68">
        <f t="shared" ref="H78" si="12">SUM(F78*G78/1000)</f>
        <v>0.64103999999999994</v>
      </c>
      <c r="I78" s="10">
        <f>G78</f>
        <v>53.42</v>
      </c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ref="H80" si="13">SUM(F80*G80/1000)</f>
        <v>0.294985</v>
      </c>
      <c r="I80" s="10">
        <v>0</v>
      </c>
    </row>
    <row r="81" spans="1:9" ht="15.75" customHeight="1">
      <c r="A81" s="22"/>
      <c r="B81" s="131" t="s">
        <v>242</v>
      </c>
      <c r="C81" s="44"/>
      <c r="D81" s="11"/>
      <c r="E81" s="16"/>
      <c r="F81" s="60"/>
      <c r="G81" s="10"/>
      <c r="H81" s="68"/>
      <c r="I81" s="10"/>
    </row>
    <row r="82" spans="1:9" ht="15.75" customHeight="1">
      <c r="A82" s="22">
        <v>15</v>
      </c>
      <c r="B82" s="11" t="s">
        <v>243</v>
      </c>
      <c r="C82" s="22" t="s">
        <v>244</v>
      </c>
      <c r="D82" s="11" t="s">
        <v>69</v>
      </c>
      <c r="E82" s="16">
        <v>2579.4</v>
      </c>
      <c r="F82" s="10">
        <f>SUM(E82*12)</f>
        <v>30952.800000000003</v>
      </c>
      <c r="G82" s="10">
        <v>2.2799999999999998</v>
      </c>
      <c r="H82" s="68">
        <f t="shared" ref="H82" si="14">SUM(F82*G82/1000)</f>
        <v>70.572384</v>
      </c>
      <c r="I82" s="10">
        <f>F82/12*G82</f>
        <v>5881.0320000000002</v>
      </c>
    </row>
    <row r="83" spans="1:9" ht="15.75" hidden="1" customHeight="1">
      <c r="A83" s="22"/>
      <c r="B83" s="154" t="s">
        <v>98</v>
      </c>
      <c r="C83" s="89"/>
      <c r="D83" s="24"/>
      <c r="E83" s="25"/>
      <c r="F83" s="75"/>
      <c r="G83" s="75"/>
      <c r="H83" s="90">
        <f>SUM(H58:H80)</f>
        <v>138.10465536000004</v>
      </c>
      <c r="I83" s="75"/>
    </row>
    <row r="84" spans="1:9" ht="15.75" hidden="1" customHeight="1">
      <c r="A84" s="22"/>
      <c r="B84" s="11" t="s">
        <v>245</v>
      </c>
      <c r="C84" s="13"/>
      <c r="D84" s="11"/>
      <c r="E84" s="11"/>
      <c r="F84" s="10">
        <v>1</v>
      </c>
      <c r="G84" s="10">
        <v>20408</v>
      </c>
      <c r="H84" s="68">
        <f>G84*F84/1000</f>
        <v>20.408000000000001</v>
      </c>
      <c r="I84" s="10">
        <v>0</v>
      </c>
    </row>
    <row r="85" spans="1:9" ht="15.75" hidden="1" customHeight="1">
      <c r="A85" s="22"/>
      <c r="B85" s="11" t="s">
        <v>246</v>
      </c>
      <c r="C85" s="13"/>
      <c r="D85" s="11"/>
      <c r="E85" s="11"/>
      <c r="F85" s="10">
        <v>62</v>
      </c>
      <c r="G85" s="10">
        <v>700</v>
      </c>
      <c r="H85" s="68">
        <f t="shared" ref="H85" si="15">G85*F85/1000</f>
        <v>43.4</v>
      </c>
      <c r="I85" s="10">
        <v>0</v>
      </c>
    </row>
    <row r="86" spans="1:9" ht="15.75" customHeight="1">
      <c r="A86" s="190" t="s">
        <v>152</v>
      </c>
      <c r="B86" s="191"/>
      <c r="C86" s="191"/>
      <c r="D86" s="191"/>
      <c r="E86" s="191"/>
      <c r="F86" s="191"/>
      <c r="G86" s="191"/>
      <c r="H86" s="191"/>
      <c r="I86" s="192"/>
    </row>
    <row r="87" spans="1:9" ht="15.75" customHeight="1">
      <c r="A87" s="22">
        <v>16</v>
      </c>
      <c r="B87" s="69" t="s">
        <v>107</v>
      </c>
      <c r="C87" s="13" t="s">
        <v>56</v>
      </c>
      <c r="D87" s="40" t="s">
        <v>57</v>
      </c>
      <c r="E87" s="10">
        <v>2579.4</v>
      </c>
      <c r="F87" s="10">
        <f>SUM(E87*12)</f>
        <v>30952.800000000003</v>
      </c>
      <c r="G87" s="10">
        <v>3.1</v>
      </c>
      <c r="H87" s="68">
        <f t="shared" ref="H87" si="16">G87*F87/1000</f>
        <v>95.953680000000006</v>
      </c>
      <c r="I87" s="10">
        <f>F87/12*G87</f>
        <v>7996.14</v>
      </c>
    </row>
    <row r="88" spans="1:9" ht="31.5" customHeight="1">
      <c r="A88" s="22">
        <v>17</v>
      </c>
      <c r="B88" s="11" t="s">
        <v>80</v>
      </c>
      <c r="C88" s="13"/>
      <c r="D88" s="40" t="s">
        <v>57</v>
      </c>
      <c r="E88" s="71">
        <v>2579.4</v>
      </c>
      <c r="F88" s="10">
        <f>E88*12</f>
        <v>30952.800000000003</v>
      </c>
      <c r="G88" s="10">
        <v>3.5</v>
      </c>
      <c r="H88" s="68">
        <f>F88*G88/1000</f>
        <v>108.33480000000002</v>
      </c>
      <c r="I88" s="10">
        <f>F88/12*G88</f>
        <v>9027.9</v>
      </c>
    </row>
    <row r="89" spans="1:9" ht="15.75" customHeight="1">
      <c r="A89" s="22"/>
      <c r="B89" s="29" t="s">
        <v>84</v>
      </c>
      <c r="C89" s="89"/>
      <c r="D89" s="88"/>
      <c r="E89" s="75"/>
      <c r="F89" s="75"/>
      <c r="G89" s="75"/>
      <c r="H89" s="90">
        <f>SUM(H88)</f>
        <v>108.33480000000002</v>
      </c>
      <c r="I89" s="75">
        <f>I16+I17+I18+I26+I27+I37+I38+I39+I41+I43+I50+I58+I59+I78+I82+I87+I88</f>
        <v>51006.827444999995</v>
      </c>
    </row>
    <row r="90" spans="1:9" ht="15.75" customHeight="1">
      <c r="A90" s="200" t="s">
        <v>62</v>
      </c>
      <c r="B90" s="201"/>
      <c r="C90" s="201"/>
      <c r="D90" s="201"/>
      <c r="E90" s="201"/>
      <c r="F90" s="201"/>
      <c r="G90" s="201"/>
      <c r="H90" s="201"/>
      <c r="I90" s="202"/>
    </row>
    <row r="91" spans="1:9" ht="15.75" customHeight="1">
      <c r="A91" s="22">
        <v>18</v>
      </c>
      <c r="B91" s="43" t="s">
        <v>165</v>
      </c>
      <c r="C91" s="44" t="s">
        <v>166</v>
      </c>
      <c r="D91" s="30"/>
      <c r="E91" s="15"/>
      <c r="F91" s="137">
        <v>0.02</v>
      </c>
      <c r="G91" s="15">
        <v>7412.92</v>
      </c>
      <c r="H91" s="138">
        <f t="shared" ref="H91" si="17">G91*F91/1000</f>
        <v>0.14825839999999998</v>
      </c>
      <c r="I91" s="10">
        <f>G91*0.01</f>
        <v>74.129199999999997</v>
      </c>
    </row>
    <row r="92" spans="1:9" ht="15.75" customHeight="1">
      <c r="A92" s="22">
        <v>19</v>
      </c>
      <c r="B92" s="157" t="s">
        <v>301</v>
      </c>
      <c r="C92" s="30" t="s">
        <v>257</v>
      </c>
      <c r="D92" s="141"/>
      <c r="E92" s="27"/>
      <c r="F92" s="27">
        <f>0.05</f>
        <v>0.05</v>
      </c>
      <c r="G92" s="27">
        <v>56484.24</v>
      </c>
      <c r="H92" s="140">
        <f>G92*F92/1000</f>
        <v>2.8242120000000002</v>
      </c>
      <c r="I92" s="10">
        <f>G92*F92</f>
        <v>2824.212</v>
      </c>
    </row>
    <row r="93" spans="1:9" ht="15.75" customHeight="1">
      <c r="A93" s="22">
        <v>20</v>
      </c>
      <c r="B93" s="43" t="s">
        <v>302</v>
      </c>
      <c r="C93" s="44" t="s">
        <v>32</v>
      </c>
      <c r="D93" s="28"/>
      <c r="E93" s="15"/>
      <c r="F93" s="27">
        <f>(9.99+56.32+65.33+55.61)-(4.48*6)</f>
        <v>160.37</v>
      </c>
      <c r="G93" s="27">
        <v>42.61</v>
      </c>
      <c r="H93" s="27">
        <f t="shared" ref="H93:H94" si="18">G93*F93/1000</f>
        <v>6.8333656999999999</v>
      </c>
      <c r="I93" s="10">
        <f t="shared" ref="I93:I94" si="19">G93*F93</f>
        <v>6833.3657000000003</v>
      </c>
    </row>
    <row r="94" spans="1:9" ht="15.75" customHeight="1">
      <c r="A94" s="22">
        <v>21</v>
      </c>
      <c r="B94" s="43" t="s">
        <v>303</v>
      </c>
      <c r="C94" s="44" t="s">
        <v>32</v>
      </c>
      <c r="D94" s="28"/>
      <c r="E94" s="15"/>
      <c r="F94" s="27">
        <f>(32.77+86.88+96.95+102.53)-(4.48*6)</f>
        <v>292.25</v>
      </c>
      <c r="G94" s="27">
        <v>44.31</v>
      </c>
      <c r="H94" s="27">
        <f t="shared" si="18"/>
        <v>12.949597499999999</v>
      </c>
      <c r="I94" s="10">
        <f t="shared" si="19"/>
        <v>12949.5975</v>
      </c>
    </row>
    <row r="95" spans="1:9">
      <c r="A95" s="22"/>
      <c r="B95" s="35" t="s">
        <v>53</v>
      </c>
      <c r="C95" s="31"/>
      <c r="D95" s="38"/>
      <c r="E95" s="31">
        <v>1</v>
      </c>
      <c r="F95" s="31"/>
      <c r="G95" s="31"/>
      <c r="H95" s="31"/>
      <c r="I95" s="25">
        <f>SUM(I91:I94)</f>
        <v>22681.304400000001</v>
      </c>
    </row>
    <row r="96" spans="1:9" ht="15.75" customHeight="1">
      <c r="A96" s="22"/>
      <c r="B96" s="37" t="s">
        <v>81</v>
      </c>
      <c r="C96" s="12"/>
      <c r="D96" s="12"/>
      <c r="E96" s="32"/>
      <c r="F96" s="32"/>
      <c r="G96" s="33"/>
      <c r="H96" s="33"/>
      <c r="I96" s="15">
        <v>0</v>
      </c>
    </row>
    <row r="97" spans="1:9" ht="15.75" customHeight="1">
      <c r="A97" s="39"/>
      <c r="B97" s="36" t="s">
        <v>293</v>
      </c>
      <c r="C97" s="26"/>
      <c r="D97" s="26"/>
      <c r="E97" s="26"/>
      <c r="F97" s="26"/>
      <c r="G97" s="26"/>
      <c r="H97" s="26"/>
      <c r="I97" s="34">
        <f>I89+I95</f>
        <v>73688.131844999996</v>
      </c>
    </row>
    <row r="98" spans="1:9" ht="15.75" customHeight="1">
      <c r="A98" s="193" t="s">
        <v>304</v>
      </c>
      <c r="B98" s="193"/>
      <c r="C98" s="193"/>
      <c r="D98" s="193"/>
      <c r="E98" s="193"/>
      <c r="F98" s="193"/>
      <c r="G98" s="193"/>
      <c r="H98" s="193"/>
      <c r="I98" s="193"/>
    </row>
    <row r="99" spans="1:9" ht="15.75" customHeight="1">
      <c r="A99" s="53"/>
      <c r="B99" s="199" t="s">
        <v>305</v>
      </c>
      <c r="C99" s="199"/>
      <c r="D99" s="199"/>
      <c r="E99" s="199"/>
      <c r="F99" s="199"/>
      <c r="G99" s="199"/>
      <c r="H99" s="64"/>
      <c r="I99" s="2"/>
    </row>
    <row r="100" spans="1:9" ht="15.75" customHeight="1">
      <c r="A100" s="155"/>
      <c r="B100" s="162" t="s">
        <v>6</v>
      </c>
      <c r="C100" s="162"/>
      <c r="D100" s="162"/>
      <c r="E100" s="162"/>
      <c r="F100" s="162"/>
      <c r="G100" s="162"/>
      <c r="H100" s="17"/>
      <c r="I100" s="4"/>
    </row>
    <row r="101" spans="1:9" ht="7.5" customHeight="1">
      <c r="A101" s="7"/>
      <c r="B101" s="7"/>
      <c r="C101" s="7"/>
      <c r="D101" s="7"/>
      <c r="E101" s="7"/>
      <c r="F101" s="7"/>
      <c r="G101" s="7"/>
      <c r="H101" s="7"/>
      <c r="I101" s="7"/>
    </row>
    <row r="102" spans="1:9" ht="15.75" customHeight="1">
      <c r="A102" s="168" t="s">
        <v>7</v>
      </c>
      <c r="B102" s="168"/>
      <c r="C102" s="168"/>
      <c r="D102" s="168"/>
      <c r="E102" s="168"/>
      <c r="F102" s="168"/>
      <c r="G102" s="168"/>
      <c r="H102" s="168"/>
      <c r="I102" s="168"/>
    </row>
    <row r="103" spans="1:9" ht="15.75">
      <c r="A103" s="168" t="s">
        <v>8</v>
      </c>
      <c r="B103" s="168"/>
      <c r="C103" s="168"/>
      <c r="D103" s="168"/>
      <c r="E103" s="168"/>
      <c r="F103" s="168"/>
      <c r="G103" s="168"/>
      <c r="H103" s="168"/>
      <c r="I103" s="168"/>
    </row>
    <row r="104" spans="1:9" ht="15.75">
      <c r="A104" s="164" t="s">
        <v>63</v>
      </c>
      <c r="B104" s="164"/>
      <c r="C104" s="164"/>
      <c r="D104" s="164"/>
      <c r="E104" s="164"/>
      <c r="F104" s="164"/>
      <c r="G104" s="164"/>
      <c r="H104" s="164"/>
      <c r="I104" s="164"/>
    </row>
    <row r="105" spans="1:9" ht="8.25" customHeight="1">
      <c r="A105" s="8"/>
    </row>
    <row r="106" spans="1:9" ht="15.75">
      <c r="A106" s="170" t="s">
        <v>9</v>
      </c>
      <c r="B106" s="170"/>
      <c r="C106" s="170"/>
      <c r="D106" s="170"/>
      <c r="E106" s="170"/>
      <c r="F106" s="170"/>
      <c r="G106" s="170"/>
      <c r="H106" s="170"/>
      <c r="I106" s="170"/>
    </row>
    <row r="107" spans="1:9" ht="15.75">
      <c r="A107" s="3"/>
    </row>
    <row r="108" spans="1:9" ht="15.75" customHeight="1">
      <c r="B108" s="151" t="s">
        <v>10</v>
      </c>
      <c r="C108" s="197" t="s">
        <v>147</v>
      </c>
      <c r="D108" s="197"/>
      <c r="E108" s="197"/>
      <c r="F108" s="62"/>
      <c r="I108" s="153"/>
    </row>
    <row r="109" spans="1:9" ht="15.75" customHeight="1">
      <c r="A109" s="155"/>
      <c r="C109" s="162" t="s">
        <v>11</v>
      </c>
      <c r="D109" s="162"/>
      <c r="E109" s="162"/>
      <c r="F109" s="17"/>
      <c r="I109" s="150" t="s">
        <v>12</v>
      </c>
    </row>
    <row r="110" spans="1:9" ht="15.75" customHeight="1">
      <c r="A110" s="18"/>
      <c r="C110" s="9"/>
      <c r="D110" s="9"/>
      <c r="G110" s="9"/>
      <c r="H110" s="9"/>
    </row>
    <row r="111" spans="1:9" ht="15.75" customHeight="1">
      <c r="B111" s="151" t="s">
        <v>13</v>
      </c>
      <c r="C111" s="177"/>
      <c r="D111" s="177"/>
      <c r="E111" s="177"/>
      <c r="F111" s="63"/>
      <c r="I111" s="153"/>
    </row>
    <row r="112" spans="1:9">
      <c r="A112" s="155"/>
      <c r="C112" s="198" t="s">
        <v>11</v>
      </c>
      <c r="D112" s="198"/>
      <c r="E112" s="198"/>
      <c r="F112" s="155"/>
      <c r="I112" s="150" t="s">
        <v>12</v>
      </c>
    </row>
    <row r="113" spans="1:9" ht="15.75">
      <c r="A113" s="3" t="s">
        <v>14</v>
      </c>
    </row>
    <row r="114" spans="1:9">
      <c r="A114" s="165" t="s">
        <v>15</v>
      </c>
      <c r="B114" s="165"/>
      <c r="C114" s="165"/>
      <c r="D114" s="165"/>
      <c r="E114" s="165"/>
      <c r="F114" s="165"/>
      <c r="G114" s="165"/>
      <c r="H114" s="165"/>
      <c r="I114" s="165"/>
    </row>
    <row r="115" spans="1:9" ht="45" customHeight="1">
      <c r="A115" s="159" t="s">
        <v>16</v>
      </c>
      <c r="B115" s="159"/>
      <c r="C115" s="159"/>
      <c r="D115" s="159"/>
      <c r="E115" s="159"/>
      <c r="F115" s="159"/>
      <c r="G115" s="159"/>
      <c r="H115" s="159"/>
      <c r="I115" s="159"/>
    </row>
    <row r="116" spans="1:9" ht="30" customHeight="1">
      <c r="A116" s="159" t="s">
        <v>17</v>
      </c>
      <c r="B116" s="159"/>
      <c r="C116" s="159"/>
      <c r="D116" s="159"/>
      <c r="E116" s="159"/>
      <c r="F116" s="159"/>
      <c r="G116" s="159"/>
      <c r="H116" s="159"/>
      <c r="I116" s="159"/>
    </row>
    <row r="117" spans="1:9" ht="30" customHeight="1">
      <c r="A117" s="159" t="s">
        <v>21</v>
      </c>
      <c r="B117" s="159"/>
      <c r="C117" s="159"/>
      <c r="D117" s="159"/>
      <c r="E117" s="159"/>
      <c r="F117" s="159"/>
      <c r="G117" s="159"/>
      <c r="H117" s="159"/>
      <c r="I117" s="159"/>
    </row>
    <row r="118" spans="1:9" ht="15" customHeight="1">
      <c r="A118" s="159" t="s">
        <v>20</v>
      </c>
      <c r="B118" s="159"/>
      <c r="C118" s="159"/>
      <c r="D118" s="159"/>
      <c r="E118" s="159"/>
      <c r="F118" s="159"/>
      <c r="G118" s="159"/>
      <c r="H118" s="159"/>
      <c r="I118" s="159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8:I28"/>
    <mergeCell ref="A44:I44"/>
    <mergeCell ref="A56:I56"/>
    <mergeCell ref="A86:I86"/>
    <mergeCell ref="A90:I90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6"/>
  <sheetViews>
    <sheetView zoomScale="90" zoomScaleNormal="90" workbookViewId="0">
      <selection activeCell="A3" sqref="A3:L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9.140625" hidden="1" customWidth="1"/>
    <col min="7" max="7" width="18" customWidth="1"/>
    <col min="8" max="8" width="18" hidden="1" customWidth="1"/>
    <col min="9" max="11" width="18" customWidth="1"/>
    <col min="12" max="12" width="18.28515625" customWidth="1"/>
  </cols>
  <sheetData>
    <row r="1" spans="1:12" ht="15.75">
      <c r="A1" s="20" t="s">
        <v>90</v>
      </c>
      <c r="I1" s="19"/>
    </row>
    <row r="2" spans="1:12" ht="15.75">
      <c r="A2" s="21" t="s">
        <v>64</v>
      </c>
    </row>
    <row r="3" spans="1:12" ht="15.75">
      <c r="A3" s="171" t="s">
        <v>175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1:12" ht="15.75">
      <c r="A5" s="171" t="s">
        <v>211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2" ht="15.75">
      <c r="A6" s="1"/>
      <c r="B6" s="105"/>
      <c r="C6" s="105"/>
      <c r="D6" s="105"/>
      <c r="E6" s="105"/>
      <c r="F6" s="105"/>
      <c r="G6" s="105"/>
      <c r="H6" s="105"/>
      <c r="L6" s="23">
        <v>42916</v>
      </c>
    </row>
    <row r="7" spans="1:12" ht="15.75">
      <c r="B7" s="106"/>
      <c r="C7" s="106"/>
      <c r="D7" s="106"/>
      <c r="E7" s="2"/>
      <c r="F7" s="2"/>
      <c r="G7" s="2"/>
      <c r="H7" s="2"/>
    </row>
    <row r="8" spans="1:12" ht="78.75" customHeight="1">
      <c r="A8" s="180" t="s">
        <v>192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</row>
    <row r="9" spans="1:12" ht="15.75">
      <c r="A9" s="3"/>
    </row>
    <row r="10" spans="1:12" ht="47.25" customHeight="1">
      <c r="A10" s="179" t="s">
        <v>149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</row>
    <row r="11" spans="1:12" ht="15.75">
      <c r="A11" s="3"/>
    </row>
    <row r="12" spans="1:12" ht="79.5" customHeight="1">
      <c r="A12" s="12" t="s">
        <v>0</v>
      </c>
      <c r="B12" s="12" t="s">
        <v>185</v>
      </c>
      <c r="C12" s="12" t="s">
        <v>2</v>
      </c>
      <c r="D12" s="12" t="s">
        <v>18</v>
      </c>
      <c r="E12" s="12" t="s">
        <v>19</v>
      </c>
      <c r="F12" s="12"/>
      <c r="G12" s="12" t="s">
        <v>22</v>
      </c>
      <c r="H12" s="12"/>
      <c r="I12" s="12" t="s">
        <v>212</v>
      </c>
      <c r="J12" s="12" t="s">
        <v>213</v>
      </c>
      <c r="K12" s="12" t="s">
        <v>214</v>
      </c>
      <c r="L12" s="12" t="s">
        <v>222</v>
      </c>
    </row>
    <row r="13" spans="1:12">
      <c r="A13" s="108">
        <v>1</v>
      </c>
      <c r="B13" s="108">
        <v>2</v>
      </c>
      <c r="C13" s="108">
        <v>3</v>
      </c>
      <c r="D13" s="109">
        <v>4</v>
      </c>
      <c r="E13" s="108">
        <v>5</v>
      </c>
      <c r="F13" s="108"/>
      <c r="G13" s="108">
        <v>5</v>
      </c>
      <c r="H13" s="108"/>
      <c r="I13" s="108">
        <v>6</v>
      </c>
      <c r="J13" s="108">
        <v>7</v>
      </c>
      <c r="K13" s="108">
        <v>8</v>
      </c>
      <c r="L13" s="108">
        <v>9</v>
      </c>
    </row>
    <row r="14" spans="1:12" ht="15" customHeight="1">
      <c r="A14" s="182" t="s">
        <v>61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4"/>
    </row>
    <row r="15" spans="1:12" ht="15" customHeight="1">
      <c r="A15" s="172" t="s">
        <v>4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4"/>
    </row>
    <row r="16" spans="1:12" ht="31.5" customHeight="1">
      <c r="A16" s="96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  <c r="J16" s="10">
        <f>F16/12*G16</f>
        <v>1056.7872640000001</v>
      </c>
      <c r="K16" s="10">
        <f>F16/12*G16</f>
        <v>1056.7872640000001</v>
      </c>
      <c r="L16" s="121">
        <f>SUM(I16:K16)</f>
        <v>3170.3617920000002</v>
      </c>
    </row>
    <row r="17" spans="1:12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  <c r="J17" s="10">
        <f>F17/12*G17</f>
        <v>2818.0993706666663</v>
      </c>
      <c r="K17" s="10">
        <f>F17/12*G17</f>
        <v>2818.0993706666663</v>
      </c>
      <c r="L17" s="121">
        <f t="shared" ref="L17:L27" si="1">SUM(I17:K17)</f>
        <v>8454.2981119999986</v>
      </c>
    </row>
    <row r="18" spans="1:12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  <c r="J18" s="10">
        <f>F18/12*G18</f>
        <v>2338.4481600000004</v>
      </c>
      <c r="K18" s="10">
        <f>F18/12*G18</f>
        <v>2338.4481600000004</v>
      </c>
      <c r="L18" s="121">
        <f t="shared" si="1"/>
        <v>7015.3444800000016</v>
      </c>
    </row>
    <row r="19" spans="1:12" ht="15.75" customHeight="1">
      <c r="A19" s="22">
        <v>4</v>
      </c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v>0</v>
      </c>
      <c r="J19" s="10">
        <f>F19/2*G19</f>
        <v>363.82</v>
      </c>
      <c r="K19" s="10">
        <v>0</v>
      </c>
      <c r="L19" s="121">
        <f t="shared" si="1"/>
        <v>363.82</v>
      </c>
    </row>
    <row r="20" spans="1:12" ht="15.75" customHeight="1">
      <c r="A20" s="22">
        <v>5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  <c r="J20" s="10">
        <f>F20/12*G20</f>
        <v>24.456599999999998</v>
      </c>
      <c r="K20" s="10">
        <f>F20/12*G20</f>
        <v>24.456599999999998</v>
      </c>
      <c r="L20" s="121">
        <f t="shared" si="1"/>
        <v>73.369799999999998</v>
      </c>
    </row>
    <row r="21" spans="1:12" ht="15.75" customHeight="1">
      <c r="A21" s="22">
        <v>6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v>0</v>
      </c>
      <c r="J21" s="10">
        <f>F21/6*G21</f>
        <v>6.2378100000000014</v>
      </c>
      <c r="K21" s="10">
        <v>0</v>
      </c>
      <c r="L21" s="121">
        <f t="shared" si="1"/>
        <v>6.2378100000000014</v>
      </c>
    </row>
    <row r="22" spans="1:12" ht="15.75" customHeight="1">
      <c r="A22" s="22">
        <v>7</v>
      </c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v>0</v>
      </c>
      <c r="J22" s="10">
        <f>F22*G22</f>
        <v>1027.5887999999998</v>
      </c>
      <c r="K22" s="10">
        <v>0</v>
      </c>
      <c r="L22" s="121">
        <f t="shared" si="1"/>
        <v>1027.5887999999998</v>
      </c>
    </row>
    <row r="23" spans="1:12" ht="15.75" customHeight="1">
      <c r="A23" s="22">
        <v>8</v>
      </c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v>0</v>
      </c>
      <c r="J23" s="10">
        <f t="shared" ref="J23:J25" si="2">F23*G23</f>
        <v>18.292176000000001</v>
      </c>
      <c r="K23" s="10">
        <v>0</v>
      </c>
      <c r="L23" s="121">
        <f t="shared" si="1"/>
        <v>18.292176000000001</v>
      </c>
    </row>
    <row r="24" spans="1:12" ht="15.75" customHeight="1">
      <c r="A24" s="22">
        <v>9</v>
      </c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v>0</v>
      </c>
      <c r="J24" s="10">
        <f t="shared" si="2"/>
        <v>62.492999999999995</v>
      </c>
      <c r="K24" s="10">
        <v>0</v>
      </c>
      <c r="L24" s="121">
        <f t="shared" si="1"/>
        <v>62.492999999999995</v>
      </c>
    </row>
    <row r="25" spans="1:12" ht="15.75" customHeight="1">
      <c r="A25" s="22">
        <v>10</v>
      </c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v>0</v>
      </c>
      <c r="J25" s="10">
        <f t="shared" si="2"/>
        <v>35.520012000000001</v>
      </c>
      <c r="K25" s="10">
        <v>0</v>
      </c>
      <c r="L25" s="121">
        <f t="shared" si="1"/>
        <v>35.520012000000001</v>
      </c>
    </row>
    <row r="26" spans="1:12" ht="15.75" customHeight="1">
      <c r="A26" s="22">
        <v>11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 t="shared" ref="H26:H27" si="3">SUM(F26*G26/1000)</f>
        <v>5.737070000000001</v>
      </c>
      <c r="I26" s="10">
        <f>F26/12*G26</f>
        <v>478.08916666666664</v>
      </c>
      <c r="J26" s="10">
        <f>F26/12*G26</f>
        <v>478.08916666666664</v>
      </c>
      <c r="K26" s="10">
        <f>F26/12*G26</f>
        <v>478.08916666666664</v>
      </c>
      <c r="L26" s="121">
        <f t="shared" si="1"/>
        <v>1434.2674999999999</v>
      </c>
    </row>
    <row r="27" spans="1:12" ht="15.75" customHeight="1">
      <c r="A27" s="94">
        <v>12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 t="shared" si="3"/>
        <v>163.78560000000002</v>
      </c>
      <c r="I27" s="10">
        <f>F27/12*G27</f>
        <v>13648.8</v>
      </c>
      <c r="J27" s="10">
        <f>F27/12*G27</f>
        <v>13648.8</v>
      </c>
      <c r="K27" s="10">
        <f>F27/12*G27</f>
        <v>13648.8</v>
      </c>
      <c r="L27" s="121">
        <f t="shared" si="1"/>
        <v>40946.399999999994</v>
      </c>
    </row>
    <row r="28" spans="1:12" ht="15.75" customHeight="1">
      <c r="A28" s="172" t="s">
        <v>89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6"/>
    </row>
    <row r="29" spans="1:12" ht="15.75" customHeight="1">
      <c r="A29" s="96"/>
      <c r="B29" s="97" t="s">
        <v>27</v>
      </c>
      <c r="C29" s="98"/>
      <c r="D29" s="99"/>
      <c r="E29" s="100"/>
      <c r="F29" s="101"/>
      <c r="G29" s="101"/>
      <c r="H29" s="102"/>
      <c r="I29" s="103"/>
      <c r="J29" s="101"/>
      <c r="K29" s="102"/>
      <c r="L29" s="103"/>
    </row>
    <row r="30" spans="1:12" ht="31.5" customHeight="1">
      <c r="A30" s="22">
        <v>13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4">SUM(F30*G30/1000)</f>
        <v>1.080971892</v>
      </c>
      <c r="I30" s="10">
        <v>0</v>
      </c>
      <c r="J30" s="10">
        <f>F30/6*G30</f>
        <v>180.16198199999997</v>
      </c>
      <c r="K30" s="10">
        <f>F30/6*G30</f>
        <v>180.16198199999997</v>
      </c>
      <c r="L30" s="121">
        <f t="shared" ref="L30:L35" si="5">SUM(I30:K30)</f>
        <v>360.32396399999993</v>
      </c>
    </row>
    <row r="31" spans="1:12" ht="31.5" customHeight="1">
      <c r="A31" s="22">
        <v>14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4"/>
        <v>1.0523934719999999</v>
      </c>
      <c r="I31" s="10">
        <v>0</v>
      </c>
      <c r="J31" s="10">
        <f t="shared" ref="J31:J33" si="6">F31/6*G31</f>
        <v>175.398912</v>
      </c>
      <c r="K31" s="10">
        <f t="shared" ref="K31:K33" si="7">F31/6*G31</f>
        <v>175.398912</v>
      </c>
      <c r="L31" s="121">
        <f t="shared" si="5"/>
        <v>350.79782399999999</v>
      </c>
    </row>
    <row r="32" spans="1:12" ht="15.75" customHeight="1">
      <c r="A32" s="22">
        <v>15</v>
      </c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4"/>
        <v>1.1979879792000001</v>
      </c>
      <c r="I32" s="10">
        <v>0</v>
      </c>
      <c r="J32" s="10">
        <f>F32*G32</f>
        <v>1197.9879792000002</v>
      </c>
      <c r="K32" s="10">
        <v>0</v>
      </c>
      <c r="L32" s="121">
        <f t="shared" si="5"/>
        <v>1197.9879792000002</v>
      </c>
    </row>
    <row r="33" spans="1:12" ht="15.75" customHeight="1">
      <c r="A33" s="22">
        <v>16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 t="shared" si="4"/>
        <v>3.1309999999999998</v>
      </c>
      <c r="I33" s="10">
        <v>0</v>
      </c>
      <c r="J33" s="10">
        <f t="shared" si="6"/>
        <v>521.83333333333337</v>
      </c>
      <c r="K33" s="10">
        <f t="shared" si="7"/>
        <v>521.83333333333337</v>
      </c>
      <c r="L33" s="121">
        <f t="shared" si="5"/>
        <v>1043.6666666666667</v>
      </c>
    </row>
    <row r="34" spans="1:12" ht="15.75" hidden="1" customHeight="1">
      <c r="A34" s="22"/>
      <c r="B34" s="69" t="s">
        <v>67</v>
      </c>
      <c r="C34" s="70" t="s">
        <v>32</v>
      </c>
      <c r="D34" s="69" t="s">
        <v>69</v>
      </c>
      <c r="E34" s="71"/>
      <c r="F34" s="72">
        <v>3</v>
      </c>
      <c r="G34" s="72">
        <v>204.32</v>
      </c>
      <c r="H34" s="73">
        <f t="shared" si="4"/>
        <v>0.61296000000000006</v>
      </c>
      <c r="I34" s="10">
        <v>0</v>
      </c>
      <c r="J34" s="10">
        <v>0</v>
      </c>
      <c r="K34" s="10">
        <v>0</v>
      </c>
      <c r="L34" s="121">
        <f t="shared" si="5"/>
        <v>0</v>
      </c>
    </row>
    <row r="35" spans="1:12" ht="15.75" hidden="1" customHeight="1">
      <c r="A35" s="22"/>
      <c r="B35" s="69" t="s">
        <v>68</v>
      </c>
      <c r="C35" s="70" t="s">
        <v>31</v>
      </c>
      <c r="D35" s="69" t="s">
        <v>69</v>
      </c>
      <c r="E35" s="71"/>
      <c r="F35" s="72">
        <v>2</v>
      </c>
      <c r="G35" s="72">
        <v>1214.73</v>
      </c>
      <c r="H35" s="73">
        <f t="shared" si="4"/>
        <v>2.4294600000000002</v>
      </c>
      <c r="I35" s="10">
        <v>0</v>
      </c>
      <c r="J35" s="10">
        <v>0</v>
      </c>
      <c r="K35" s="10">
        <v>0</v>
      </c>
      <c r="L35" s="121">
        <f t="shared" si="5"/>
        <v>0</v>
      </c>
    </row>
    <row r="36" spans="1:12" ht="15.75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  <c r="J36" s="112"/>
      <c r="K36" s="112"/>
      <c r="L36" s="112"/>
    </row>
    <row r="37" spans="1:12" ht="15.75" customHeight="1">
      <c r="A37" s="22">
        <v>17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  <c r="J37" s="10">
        <v>0</v>
      </c>
      <c r="K37" s="10">
        <v>0</v>
      </c>
      <c r="L37" s="121">
        <f t="shared" ref="L37:L55" si="8">SUM(I37:K37)</f>
        <v>2448.8999999999996</v>
      </c>
    </row>
    <row r="38" spans="1:12" ht="15.75" customHeight="1">
      <c r="A38" s="22">
        <v>18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9">SUM(F38*G38/1000)</f>
        <v>2.9313559799999998</v>
      </c>
      <c r="I38" s="10">
        <f>F38/6*G38</f>
        <v>488.55932999999993</v>
      </c>
      <c r="J38" s="10">
        <v>0</v>
      </c>
      <c r="K38" s="10">
        <v>0</v>
      </c>
      <c r="L38" s="121">
        <f t="shared" si="8"/>
        <v>488.55932999999993</v>
      </c>
    </row>
    <row r="39" spans="1:12" ht="15.75" customHeight="1">
      <c r="A39" s="22">
        <v>19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9"/>
        <v>2.8361217999999999</v>
      </c>
      <c r="I39" s="10">
        <f>F39/6*G39</f>
        <v>472.68696666666665</v>
      </c>
      <c r="J39" s="10">
        <v>0</v>
      </c>
      <c r="K39" s="10">
        <v>0</v>
      </c>
      <c r="L39" s="121">
        <f t="shared" si="8"/>
        <v>472.68696666666665</v>
      </c>
    </row>
    <row r="40" spans="1:12" ht="15.75" customHeight="1">
      <c r="A40" s="22">
        <v>20</v>
      </c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9"/>
        <v>23.452000000000002</v>
      </c>
      <c r="I40" s="10">
        <f>G40*39</f>
        <v>8314.7999999999993</v>
      </c>
      <c r="J40" s="10">
        <v>0</v>
      </c>
      <c r="K40" s="10">
        <v>0</v>
      </c>
      <c r="L40" s="121">
        <f t="shared" si="8"/>
        <v>8314.7999999999993</v>
      </c>
    </row>
    <row r="41" spans="1:12" ht="47.25" customHeight="1">
      <c r="A41" s="22">
        <v>21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9"/>
        <v>9.4386193649999992</v>
      </c>
      <c r="I41" s="10">
        <f>F41/6*G41</f>
        <v>1573.1032275</v>
      </c>
      <c r="J41" s="10">
        <v>0</v>
      </c>
      <c r="K41" s="10">
        <v>0</v>
      </c>
      <c r="L41" s="121">
        <f t="shared" si="8"/>
        <v>1573.1032275</v>
      </c>
    </row>
    <row r="42" spans="1:12" ht="15.75" customHeight="1">
      <c r="A42" s="22">
        <v>22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9"/>
        <v>0.89646442199999987</v>
      </c>
      <c r="I42" s="10">
        <f>F42/6*G42</f>
        <v>149.41073699999998</v>
      </c>
      <c r="J42" s="10">
        <v>0</v>
      </c>
      <c r="K42" s="10">
        <v>0</v>
      </c>
      <c r="L42" s="121">
        <f t="shared" si="8"/>
        <v>149.41073699999998</v>
      </c>
    </row>
    <row r="43" spans="1:12" ht="15.75" customHeight="1">
      <c r="A43" s="94">
        <v>23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9"/>
        <v>0.76775400000000005</v>
      </c>
      <c r="I43" s="10">
        <f>F43/6*G43</f>
        <v>127.95899999999999</v>
      </c>
      <c r="J43" s="10">
        <v>0</v>
      </c>
      <c r="K43" s="10">
        <v>0</v>
      </c>
      <c r="L43" s="121">
        <f t="shared" si="8"/>
        <v>127.95899999999999</v>
      </c>
    </row>
    <row r="44" spans="1:12" ht="15.75" customHeight="1">
      <c r="A44" s="172" t="s">
        <v>150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6"/>
    </row>
    <row r="45" spans="1:12" ht="15.75" customHeight="1">
      <c r="A45" s="96">
        <v>24</v>
      </c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10">SUM(F45*G45/1000)</f>
        <v>1.9206154680000005</v>
      </c>
      <c r="I45" s="10">
        <v>0</v>
      </c>
      <c r="J45" s="10">
        <f>F45/2*G45</f>
        <v>960.30773400000021</v>
      </c>
      <c r="K45" s="10">
        <v>0</v>
      </c>
      <c r="L45" s="121">
        <f t="shared" si="8"/>
        <v>960.30773400000021</v>
      </c>
    </row>
    <row r="46" spans="1:12" ht="15.75" customHeight="1">
      <c r="A46" s="22">
        <v>25</v>
      </c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10"/>
        <v>0.13132552</v>
      </c>
      <c r="I46" s="10">
        <v>0</v>
      </c>
      <c r="J46" s="10">
        <f t="shared" ref="J46:J49" si="11">F46/2*G46</f>
        <v>65.662760000000006</v>
      </c>
      <c r="K46" s="10">
        <v>0</v>
      </c>
      <c r="L46" s="121">
        <f t="shared" si="8"/>
        <v>65.662760000000006</v>
      </c>
    </row>
    <row r="47" spans="1:12" ht="15.75" customHeight="1">
      <c r="A47" s="22">
        <v>26</v>
      </c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10"/>
        <v>1.9367726630000004</v>
      </c>
      <c r="I47" s="10">
        <v>0</v>
      </c>
      <c r="J47" s="10">
        <f t="shared" si="11"/>
        <v>968.38633150000021</v>
      </c>
      <c r="K47" s="10">
        <v>0</v>
      </c>
      <c r="L47" s="121">
        <f t="shared" si="8"/>
        <v>968.38633150000021</v>
      </c>
    </row>
    <row r="48" spans="1:12" ht="15.75" customHeight="1">
      <c r="A48" s="22">
        <v>27</v>
      </c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10"/>
        <v>2.1010746879999997</v>
      </c>
      <c r="I48" s="10">
        <v>0</v>
      </c>
      <c r="J48" s="10">
        <f t="shared" si="11"/>
        <v>1050.5373439999998</v>
      </c>
      <c r="K48" s="10">
        <v>0</v>
      </c>
      <c r="L48" s="121">
        <f t="shared" si="8"/>
        <v>1050.5373439999998</v>
      </c>
    </row>
    <row r="49" spans="1:12" ht="15.75" customHeight="1">
      <c r="A49" s="22">
        <v>28</v>
      </c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10"/>
        <v>0.13363571200000002</v>
      </c>
      <c r="I49" s="10">
        <v>0</v>
      </c>
      <c r="J49" s="10">
        <f t="shared" si="11"/>
        <v>66.817856000000006</v>
      </c>
      <c r="K49" s="10">
        <v>0</v>
      </c>
      <c r="L49" s="121">
        <f t="shared" si="8"/>
        <v>66.817856000000006</v>
      </c>
    </row>
    <row r="50" spans="1:12" ht="15.75" customHeight="1">
      <c r="A50" s="22">
        <v>29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10"/>
        <v>5.7761391999999994</v>
      </c>
      <c r="I50" s="10">
        <v>0</v>
      </c>
      <c r="J50" s="10">
        <f>F50/5*G50</f>
        <v>1155.22784</v>
      </c>
      <c r="K50" s="10">
        <v>0</v>
      </c>
      <c r="L50" s="121">
        <f t="shared" si="8"/>
        <v>1155.22784</v>
      </c>
    </row>
    <row r="51" spans="1:12" ht="31.5" customHeight="1">
      <c r="A51" s="22">
        <v>30</v>
      </c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10"/>
        <v>2.31045568</v>
      </c>
      <c r="I51" s="10">
        <v>0</v>
      </c>
      <c r="J51" s="10">
        <f>F51/2*G51</f>
        <v>1155.22784</v>
      </c>
      <c r="K51" s="10">
        <v>0</v>
      </c>
      <c r="L51" s="121">
        <f t="shared" si="8"/>
        <v>1155.22784</v>
      </c>
    </row>
    <row r="52" spans="1:12" ht="31.5" customHeight="1">
      <c r="A52" s="22">
        <v>31</v>
      </c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10"/>
        <v>1.167556</v>
      </c>
      <c r="I52" s="10">
        <v>0</v>
      </c>
      <c r="J52" s="10">
        <f t="shared" ref="J52:J53" si="12">F52/2*G52</f>
        <v>583.77800000000002</v>
      </c>
      <c r="K52" s="10">
        <v>0</v>
      </c>
      <c r="L52" s="121">
        <f t="shared" si="8"/>
        <v>583.77800000000002</v>
      </c>
    </row>
    <row r="53" spans="1:12" ht="15.75" customHeight="1">
      <c r="A53" s="22">
        <v>32</v>
      </c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10"/>
        <v>0.1208424</v>
      </c>
      <c r="I53" s="10">
        <v>0</v>
      </c>
      <c r="J53" s="10">
        <f t="shared" si="12"/>
        <v>60.421199999999999</v>
      </c>
      <c r="K53" s="10">
        <v>0</v>
      </c>
      <c r="L53" s="121">
        <f t="shared" si="8"/>
        <v>60.421199999999999</v>
      </c>
    </row>
    <row r="54" spans="1:12" ht="15.75" customHeight="1">
      <c r="A54" s="22">
        <v>33</v>
      </c>
      <c r="B54" s="69" t="s">
        <v>108</v>
      </c>
      <c r="C54" s="70" t="s">
        <v>102</v>
      </c>
      <c r="D54" s="69" t="s">
        <v>74</v>
      </c>
      <c r="E54" s="71">
        <v>62</v>
      </c>
      <c r="F54" s="72">
        <f>SUM(E54*4)</f>
        <v>248</v>
      </c>
      <c r="G54" s="10">
        <v>150.86000000000001</v>
      </c>
      <c r="H54" s="73">
        <f t="shared" si="10"/>
        <v>37.413280000000007</v>
      </c>
      <c r="I54" s="10">
        <v>0</v>
      </c>
      <c r="J54" s="10">
        <f>E54*G54</f>
        <v>9353.3200000000015</v>
      </c>
      <c r="K54" s="10">
        <v>0</v>
      </c>
      <c r="L54" s="121">
        <f t="shared" si="8"/>
        <v>9353.3200000000015</v>
      </c>
    </row>
    <row r="55" spans="1:12" ht="15.75" customHeight="1">
      <c r="A55" s="94">
        <v>34</v>
      </c>
      <c r="B55" s="69" t="s">
        <v>42</v>
      </c>
      <c r="C55" s="70" t="s">
        <v>102</v>
      </c>
      <c r="D55" s="69" t="s">
        <v>74</v>
      </c>
      <c r="E55" s="71">
        <v>124</v>
      </c>
      <c r="F55" s="72">
        <f>SUM(E55)*3</f>
        <v>372</v>
      </c>
      <c r="G55" s="10">
        <v>70.209999999999994</v>
      </c>
      <c r="H55" s="73">
        <f t="shared" si="10"/>
        <v>26.118119999999998</v>
      </c>
      <c r="I55" s="10">
        <v>0</v>
      </c>
      <c r="J55" s="10">
        <f>E55*G55</f>
        <v>8706.0399999999991</v>
      </c>
      <c r="K55" s="10">
        <v>0</v>
      </c>
      <c r="L55" s="121">
        <f t="shared" si="8"/>
        <v>8706.0399999999991</v>
      </c>
    </row>
    <row r="56" spans="1:12" ht="15.75" customHeight="1">
      <c r="A56" s="172" t="s">
        <v>151</v>
      </c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6"/>
    </row>
    <row r="57" spans="1:12" ht="15.75" customHeight="1">
      <c r="A57" s="96"/>
      <c r="B57" s="97" t="s">
        <v>44</v>
      </c>
      <c r="C57" s="98"/>
      <c r="D57" s="99"/>
      <c r="E57" s="100"/>
      <c r="F57" s="101"/>
      <c r="G57" s="101"/>
      <c r="H57" s="102"/>
      <c r="I57" s="10"/>
      <c r="J57" s="112"/>
      <c r="K57" s="112"/>
      <c r="L57" s="112"/>
    </row>
    <row r="58" spans="1:12" ht="31.5" customHeight="1">
      <c r="A58" s="22">
        <v>35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  <c r="J58" s="10">
        <v>0</v>
      </c>
      <c r="K58" s="10">
        <v>0</v>
      </c>
      <c r="L58" s="121">
        <f t="shared" ref="L58:L77" si="13">SUM(I58:K58)</f>
        <v>2099.6383759999999</v>
      </c>
    </row>
    <row r="59" spans="1:12" ht="31.5" customHeight="1">
      <c r="A59" s="22">
        <v>36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  <c r="J59" s="10">
        <v>0</v>
      </c>
      <c r="K59" s="10">
        <v>0</v>
      </c>
      <c r="L59" s="121">
        <f t="shared" si="13"/>
        <v>264.64639999999997</v>
      </c>
    </row>
    <row r="60" spans="1:12" ht="31.5" customHeight="1">
      <c r="A60" s="22">
        <v>37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  <c r="J60" s="10">
        <v>0</v>
      </c>
      <c r="K60" s="10">
        <v>0</v>
      </c>
      <c r="L60" s="121">
        <f t="shared" si="13"/>
        <v>164.57697999999999</v>
      </c>
    </row>
    <row r="61" spans="1:12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3"/>
      <c r="J61" s="103"/>
      <c r="K61" s="103"/>
      <c r="L61" s="103"/>
    </row>
    <row r="62" spans="1:12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  <c r="J62" s="10">
        <v>0</v>
      </c>
      <c r="K62" s="10">
        <v>0</v>
      </c>
      <c r="L62" s="121">
        <f t="shared" si="13"/>
        <v>0</v>
      </c>
    </row>
    <row r="63" spans="1:12" ht="15.75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  <c r="J63" s="10"/>
      <c r="K63" s="10"/>
      <c r="L63" s="10"/>
    </row>
    <row r="64" spans="1:12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71" si="14">SUM(F64*G64/1000)</f>
        <v>2.3774000000000002</v>
      </c>
      <c r="I64" s="10">
        <v>0</v>
      </c>
      <c r="J64" s="10">
        <v>0</v>
      </c>
      <c r="K64" s="10">
        <v>0</v>
      </c>
      <c r="L64" s="121">
        <f t="shared" si="13"/>
        <v>0</v>
      </c>
    </row>
    <row r="65" spans="1:12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14"/>
        <v>0.24453000000000003</v>
      </c>
      <c r="I65" s="10">
        <v>0</v>
      </c>
      <c r="J65" s="10">
        <v>0</v>
      </c>
      <c r="K65" s="10">
        <v>0</v>
      </c>
      <c r="L65" s="121">
        <f t="shared" si="13"/>
        <v>0</v>
      </c>
    </row>
    <row r="66" spans="1:12" ht="15.75" customHeight="1">
      <c r="A66" s="22">
        <v>38</v>
      </c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14"/>
        <v>30.192552699999997</v>
      </c>
      <c r="I66" s="10">
        <v>0</v>
      </c>
      <c r="J66" s="10">
        <f>F66*G66</f>
        <v>30192.552699999997</v>
      </c>
      <c r="K66" s="10">
        <v>0</v>
      </c>
      <c r="L66" s="121">
        <f t="shared" si="13"/>
        <v>30192.552699999997</v>
      </c>
    </row>
    <row r="67" spans="1:12" ht="15.75" customHeight="1">
      <c r="A67" s="22">
        <v>39</v>
      </c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14"/>
        <v>2.3512089300000003</v>
      </c>
      <c r="I67" s="10">
        <v>0</v>
      </c>
      <c r="J67" s="10">
        <f t="shared" ref="J67:J71" si="15">F67*G67</f>
        <v>2351.2089300000002</v>
      </c>
      <c r="K67" s="10">
        <v>0</v>
      </c>
      <c r="L67" s="121">
        <f t="shared" si="13"/>
        <v>2351.2089300000002</v>
      </c>
    </row>
    <row r="68" spans="1:12" ht="15.75" customHeight="1">
      <c r="A68" s="22">
        <v>40</v>
      </c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14"/>
        <v>48.436315200000003</v>
      </c>
      <c r="I68" s="10">
        <v>0</v>
      </c>
      <c r="J68" s="10">
        <f t="shared" si="15"/>
        <v>48436.315200000005</v>
      </c>
      <c r="K68" s="10">
        <v>0</v>
      </c>
      <c r="L68" s="121">
        <f t="shared" si="13"/>
        <v>48436.315200000005</v>
      </c>
    </row>
    <row r="69" spans="1:12" ht="15.75" customHeight="1">
      <c r="A69" s="22">
        <v>41</v>
      </c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14"/>
        <v>0.49497199999999997</v>
      </c>
      <c r="I69" s="10">
        <v>0</v>
      </c>
      <c r="J69" s="10">
        <f t="shared" si="15"/>
        <v>494.97199999999998</v>
      </c>
      <c r="K69" s="10">
        <v>0</v>
      </c>
      <c r="L69" s="121">
        <f t="shared" si="13"/>
        <v>494.97199999999998</v>
      </c>
    </row>
    <row r="70" spans="1:12" ht="15.75" customHeight="1">
      <c r="A70" s="22">
        <v>42</v>
      </c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14"/>
        <v>0.46179599999999998</v>
      </c>
      <c r="I70" s="10">
        <v>0</v>
      </c>
      <c r="J70" s="10">
        <f t="shared" si="15"/>
        <v>461.79599999999999</v>
      </c>
      <c r="K70" s="10">
        <v>0</v>
      </c>
      <c r="L70" s="121">
        <f t="shared" si="13"/>
        <v>461.79599999999999</v>
      </c>
    </row>
    <row r="71" spans="1:12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14"/>
        <v>0.2666</v>
      </c>
      <c r="I71" s="10">
        <v>0</v>
      </c>
      <c r="J71" s="10">
        <f t="shared" si="15"/>
        <v>266.60000000000002</v>
      </c>
      <c r="K71" s="10">
        <v>0</v>
      </c>
      <c r="L71" s="121">
        <f t="shared" si="13"/>
        <v>266.60000000000002</v>
      </c>
    </row>
    <row r="72" spans="1:12" ht="15.75" hidden="1" customHeight="1">
      <c r="A72" s="22"/>
      <c r="B72" s="104" t="s">
        <v>75</v>
      </c>
      <c r="C72" s="13"/>
      <c r="D72" s="11"/>
      <c r="E72" s="16"/>
      <c r="F72" s="10"/>
      <c r="G72" s="10"/>
      <c r="H72" s="68" t="s">
        <v>158</v>
      </c>
      <c r="I72" s="10"/>
      <c r="J72" s="10"/>
      <c r="K72" s="10"/>
      <c r="L72" s="10"/>
    </row>
    <row r="73" spans="1:12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ref="H73:H77" si="16">SUM(F73*G73/1000)</f>
        <v>1.6776199999999999</v>
      </c>
      <c r="I73" s="10">
        <v>0</v>
      </c>
      <c r="J73" s="10">
        <v>0</v>
      </c>
      <c r="K73" s="10">
        <v>0</v>
      </c>
      <c r="L73" s="121">
        <f t="shared" si="13"/>
        <v>0</v>
      </c>
    </row>
    <row r="74" spans="1:12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16"/>
        <v>1</v>
      </c>
      <c r="I74" s="10">
        <v>0</v>
      </c>
      <c r="J74" s="10">
        <v>0</v>
      </c>
      <c r="K74" s="10">
        <v>0</v>
      </c>
      <c r="L74" s="121">
        <f t="shared" si="13"/>
        <v>0</v>
      </c>
    </row>
    <row r="75" spans="1:12" ht="15.75" hidden="1" customHeight="1">
      <c r="A75" s="22">
        <v>20</v>
      </c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16"/>
        <v>0.10724600000000001</v>
      </c>
      <c r="I75" s="10">
        <v>0</v>
      </c>
      <c r="J75" s="10">
        <v>0</v>
      </c>
      <c r="K75" s="10">
        <f>G75*0.2</f>
        <v>107.24600000000001</v>
      </c>
      <c r="L75" s="121">
        <f t="shared" si="13"/>
        <v>107.24600000000001</v>
      </c>
    </row>
    <row r="76" spans="1:12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16"/>
        <v>0.91185000000000005</v>
      </c>
      <c r="I76" s="10">
        <v>0</v>
      </c>
      <c r="J76" s="10">
        <v>0</v>
      </c>
      <c r="K76" s="10">
        <v>0</v>
      </c>
      <c r="L76" s="121">
        <f t="shared" si="13"/>
        <v>0</v>
      </c>
    </row>
    <row r="77" spans="1:12" ht="15.75" hidden="1" customHeight="1">
      <c r="A77" s="22"/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16"/>
        <v>0.38324999999999998</v>
      </c>
      <c r="I77" s="10">
        <v>0</v>
      </c>
      <c r="J77" s="10">
        <v>0</v>
      </c>
      <c r="K77" s="10">
        <v>0</v>
      </c>
      <c r="L77" s="121">
        <f t="shared" si="13"/>
        <v>0</v>
      </c>
    </row>
    <row r="78" spans="1:12" ht="15.75" hidden="1" customHeight="1">
      <c r="A78" s="22"/>
      <c r="B78" s="11" t="s">
        <v>160</v>
      </c>
      <c r="C78" s="13" t="s">
        <v>161</v>
      </c>
      <c r="D78" s="11"/>
      <c r="E78" s="16"/>
      <c r="F78" s="10"/>
      <c r="G78" s="10">
        <v>31.54</v>
      </c>
      <c r="H78" s="68">
        <f t="shared" ref="H78" si="17">SUM(F78*G78/1000)</f>
        <v>0</v>
      </c>
      <c r="I78" s="10"/>
    </row>
    <row r="79" spans="1:12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  <c r="J79" s="10"/>
      <c r="K79" s="10"/>
      <c r="L79" s="10"/>
    </row>
    <row r="80" spans="1:12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ref="H80" si="18">SUM(F80*G80/1000)</f>
        <v>0.294985</v>
      </c>
      <c r="I80" s="10">
        <v>0</v>
      </c>
      <c r="J80" s="10">
        <v>0</v>
      </c>
      <c r="K80" s="10">
        <v>0</v>
      </c>
      <c r="L80" s="121">
        <f t="shared" ref="L80:L82" si="19">SUM(I80:K80)</f>
        <v>0</v>
      </c>
    </row>
    <row r="81" spans="1:12" ht="15.75" customHeight="1">
      <c r="A81" s="22"/>
      <c r="B81" s="104" t="s">
        <v>98</v>
      </c>
      <c r="C81" s="89"/>
      <c r="D81" s="24"/>
      <c r="E81" s="25"/>
      <c r="F81" s="75"/>
      <c r="G81" s="75"/>
      <c r="H81" s="90">
        <f>SUM(H58:H80)</f>
        <v>112.00861796600002</v>
      </c>
      <c r="I81" s="75"/>
      <c r="J81" s="75"/>
      <c r="K81" s="75"/>
      <c r="L81" s="75"/>
    </row>
    <row r="82" spans="1:12" ht="15.75" customHeight="1">
      <c r="A82" s="94">
        <v>43</v>
      </c>
      <c r="B82" s="69" t="s">
        <v>106</v>
      </c>
      <c r="C82" s="13"/>
      <c r="D82" s="11"/>
      <c r="E82" s="61"/>
      <c r="F82" s="10">
        <v>1</v>
      </c>
      <c r="G82" s="10">
        <v>20408</v>
      </c>
      <c r="H82" s="68">
        <f>G82*F82/1000</f>
        <v>20.408000000000001</v>
      </c>
      <c r="I82" s="10">
        <v>0</v>
      </c>
      <c r="J82" s="10">
        <f>G82</f>
        <v>20408</v>
      </c>
      <c r="K82" s="10">
        <v>0</v>
      </c>
      <c r="L82" s="121">
        <f t="shared" si="19"/>
        <v>20408</v>
      </c>
    </row>
    <row r="83" spans="1:12" ht="15.75" customHeight="1">
      <c r="A83" s="172" t="s">
        <v>152</v>
      </c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6"/>
    </row>
    <row r="84" spans="1:12" ht="15.75" customHeight="1">
      <c r="A84" s="96">
        <v>44</v>
      </c>
      <c r="B84" s="69" t="s">
        <v>107</v>
      </c>
      <c r="C84" s="13" t="s">
        <v>56</v>
      </c>
      <c r="D84" s="40" t="s">
        <v>57</v>
      </c>
      <c r="E84" s="10">
        <v>2820</v>
      </c>
      <c r="F84" s="10">
        <f>SUM(E84*12)</f>
        <v>33840</v>
      </c>
      <c r="G84" s="10">
        <v>2.54</v>
      </c>
      <c r="H84" s="68">
        <f>SUM(F84*G84/1000)</f>
        <v>85.953600000000009</v>
      </c>
      <c r="I84" s="10">
        <f>F84/12*G84</f>
        <v>7162.8</v>
      </c>
      <c r="J84" s="10">
        <f>F84/12*G84</f>
        <v>7162.8</v>
      </c>
      <c r="K84" s="10">
        <f>F84/12*G84</f>
        <v>7162.8</v>
      </c>
      <c r="L84" s="121">
        <f t="shared" ref="L84:L85" si="20">SUM(I84:K84)</f>
        <v>21488.400000000001</v>
      </c>
    </row>
    <row r="85" spans="1:12" ht="31.5" customHeight="1">
      <c r="A85" s="22">
        <v>45</v>
      </c>
      <c r="B85" s="11" t="s">
        <v>80</v>
      </c>
      <c r="C85" s="13"/>
      <c r="D85" s="40" t="s">
        <v>57</v>
      </c>
      <c r="E85" s="71">
        <v>2820</v>
      </c>
      <c r="F85" s="10">
        <f>E85*12</f>
        <v>33840</v>
      </c>
      <c r="G85" s="10">
        <v>2.0499999999999998</v>
      </c>
      <c r="H85" s="68">
        <f>F85*G85/1000</f>
        <v>69.372</v>
      </c>
      <c r="I85" s="10">
        <f>F85/12*G85</f>
        <v>5780.9999999999991</v>
      </c>
      <c r="J85" s="10">
        <f>F85/12*G85</f>
        <v>5780.9999999999991</v>
      </c>
      <c r="K85" s="10">
        <f>F85/12*G85</f>
        <v>5780.9999999999991</v>
      </c>
      <c r="L85" s="121">
        <f t="shared" si="20"/>
        <v>17342.999999999996</v>
      </c>
    </row>
    <row r="86" spans="1:12" ht="15.75" customHeight="1">
      <c r="A86" s="22"/>
      <c r="B86" s="29" t="s">
        <v>84</v>
      </c>
      <c r="C86" s="13"/>
      <c r="D86" s="40"/>
      <c r="E86" s="61"/>
      <c r="F86" s="10"/>
      <c r="G86" s="10"/>
      <c r="H86" s="68"/>
      <c r="I86" s="10"/>
      <c r="J86" s="112"/>
      <c r="K86" s="112"/>
      <c r="L86" s="122">
        <f>L16+L17+L18+L19+L20+L21+L22+L23+L24+L25+L26+L27+L30+L31+L32+L33+L37+L38+L39+L40+L41+L42+L43+L45+L46+L47+L48+L49+L50+L51+L52+L53+L54+L55+L58+L59+L60+L66+L67+L68+L69+L70+L82+L84+L85</f>
        <v>246967.02266853335</v>
      </c>
    </row>
    <row r="87" spans="1:12" ht="15.75" customHeight="1">
      <c r="A87" s="183" t="s">
        <v>62</v>
      </c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5"/>
    </row>
    <row r="88" spans="1:12" ht="15.75" customHeight="1">
      <c r="A88" s="22">
        <v>46</v>
      </c>
      <c r="B88" s="41" t="s">
        <v>195</v>
      </c>
      <c r="C88" s="42" t="s">
        <v>110</v>
      </c>
      <c r="D88" s="22"/>
      <c r="E88" s="16"/>
      <c r="F88" s="16">
        <f>(3+3+3+3+3+3+3+3+15+20+15+20+10+10+20+15+10+20+3)/3</f>
        <v>60.666666666666664</v>
      </c>
      <c r="G88" s="16">
        <v>1120.8900000000001</v>
      </c>
      <c r="H88" s="65">
        <f t="shared" ref="H88:H102" si="21">G88*F88/1000</f>
        <v>68.000660000000011</v>
      </c>
      <c r="I88" s="10">
        <f>G88*((10+10+20)/3)</f>
        <v>14945.200000000003</v>
      </c>
      <c r="J88" s="10">
        <v>0</v>
      </c>
      <c r="K88" s="10">
        <f>G88*((15+10+20)/3)</f>
        <v>16813.350000000002</v>
      </c>
      <c r="L88" s="121">
        <f t="shared" ref="L88:L102" si="22">SUM(I88:K88)</f>
        <v>31758.550000000003</v>
      </c>
    </row>
    <row r="89" spans="1:12" ht="15.75" customHeight="1">
      <c r="A89" s="22">
        <v>47</v>
      </c>
      <c r="B89" s="123" t="s">
        <v>142</v>
      </c>
      <c r="C89" s="22" t="s">
        <v>30</v>
      </c>
      <c r="D89" s="22"/>
      <c r="E89" s="16"/>
      <c r="F89" s="16">
        <v>11.5</v>
      </c>
      <c r="G89" s="16">
        <v>1582</v>
      </c>
      <c r="H89" s="65">
        <f t="shared" si="21"/>
        <v>18.193000000000001</v>
      </c>
      <c r="I89" s="10">
        <f>G89*(2+1+0.5)</f>
        <v>5537</v>
      </c>
      <c r="J89" s="10">
        <v>0</v>
      </c>
      <c r="K89" s="10">
        <v>0</v>
      </c>
      <c r="L89" s="121">
        <f t="shared" si="22"/>
        <v>5537</v>
      </c>
    </row>
    <row r="90" spans="1:12" ht="31.5" customHeight="1">
      <c r="A90" s="22">
        <v>48</v>
      </c>
      <c r="B90" s="43" t="s">
        <v>197</v>
      </c>
      <c r="C90" s="44" t="s">
        <v>85</v>
      </c>
      <c r="D90" s="22"/>
      <c r="E90" s="16"/>
      <c r="F90" s="16">
        <v>20.2</v>
      </c>
      <c r="G90" s="16">
        <v>1183.51</v>
      </c>
      <c r="H90" s="65">
        <f t="shared" si="21"/>
        <v>23.906901999999999</v>
      </c>
      <c r="I90" s="10">
        <f>G90*6</f>
        <v>7101.0599999999995</v>
      </c>
      <c r="J90" s="10">
        <v>0</v>
      </c>
      <c r="K90" s="10">
        <v>0</v>
      </c>
      <c r="L90" s="121">
        <f t="shared" si="22"/>
        <v>7101.0599999999995</v>
      </c>
    </row>
    <row r="91" spans="1:12" ht="15.75" customHeight="1">
      <c r="A91" s="22">
        <v>49</v>
      </c>
      <c r="B91" s="43" t="s">
        <v>86</v>
      </c>
      <c r="C91" s="44" t="s">
        <v>102</v>
      </c>
      <c r="D91" s="22"/>
      <c r="E91" s="16"/>
      <c r="F91" s="16">
        <v>5</v>
      </c>
      <c r="G91" s="16">
        <v>189.88</v>
      </c>
      <c r="H91" s="65">
        <f>G91*F91/1000</f>
        <v>0.94940000000000002</v>
      </c>
      <c r="I91" s="10">
        <f>G91</f>
        <v>189.88</v>
      </c>
      <c r="J91" s="10">
        <v>0</v>
      </c>
      <c r="K91" s="10">
        <v>0</v>
      </c>
      <c r="L91" s="121">
        <f>SUM(I91:K91)</f>
        <v>189.88</v>
      </c>
    </row>
    <row r="92" spans="1:12" ht="31.5" customHeight="1">
      <c r="A92" s="22">
        <v>50</v>
      </c>
      <c r="B92" s="43" t="s">
        <v>198</v>
      </c>
      <c r="C92" s="44" t="s">
        <v>199</v>
      </c>
      <c r="D92" s="37"/>
      <c r="E92" s="10"/>
      <c r="F92" s="10">
        <v>4</v>
      </c>
      <c r="G92" s="10">
        <v>54.17</v>
      </c>
      <c r="H92" s="10">
        <f t="shared" si="21"/>
        <v>0.21668000000000001</v>
      </c>
      <c r="I92" s="10">
        <v>0</v>
      </c>
      <c r="J92" s="10">
        <v>0</v>
      </c>
      <c r="K92" s="10">
        <f>G92</f>
        <v>54.17</v>
      </c>
      <c r="L92" s="121">
        <f t="shared" si="22"/>
        <v>54.17</v>
      </c>
    </row>
    <row r="93" spans="1:12" ht="15.75" customHeight="1">
      <c r="A93" s="22">
        <v>51</v>
      </c>
      <c r="B93" s="66" t="s">
        <v>204</v>
      </c>
      <c r="C93" s="22" t="s">
        <v>102</v>
      </c>
      <c r="D93" s="37"/>
      <c r="E93" s="10"/>
      <c r="F93" s="10">
        <v>1.5</v>
      </c>
      <c r="G93" s="10">
        <v>470</v>
      </c>
      <c r="H93" s="68">
        <f t="shared" si="21"/>
        <v>0.70499999999999996</v>
      </c>
      <c r="I93" s="10">
        <f>G93</f>
        <v>470</v>
      </c>
      <c r="J93" s="10">
        <v>0</v>
      </c>
      <c r="K93" s="10">
        <f>G93*0.5</f>
        <v>235</v>
      </c>
      <c r="L93" s="121">
        <f t="shared" si="22"/>
        <v>705</v>
      </c>
    </row>
    <row r="94" spans="1:12" ht="31.5" customHeight="1">
      <c r="A94" s="22">
        <v>52</v>
      </c>
      <c r="B94" s="43" t="s">
        <v>205</v>
      </c>
      <c r="C94" s="44" t="s">
        <v>201</v>
      </c>
      <c r="D94" s="37"/>
      <c r="E94" s="10"/>
      <c r="F94" s="10">
        <v>1</v>
      </c>
      <c r="G94" s="10">
        <v>589.84</v>
      </c>
      <c r="H94" s="68">
        <f t="shared" si="21"/>
        <v>0.58984000000000003</v>
      </c>
      <c r="I94" s="10">
        <f>G94</f>
        <v>589.84</v>
      </c>
      <c r="J94" s="10">
        <v>0</v>
      </c>
      <c r="K94" s="10">
        <v>0</v>
      </c>
      <c r="L94" s="121">
        <f t="shared" si="22"/>
        <v>589.84</v>
      </c>
    </row>
    <row r="95" spans="1:12" ht="15.75" customHeight="1">
      <c r="A95" s="22">
        <v>53</v>
      </c>
      <c r="B95" s="67" t="s">
        <v>145</v>
      </c>
      <c r="C95" s="91" t="s">
        <v>88</v>
      </c>
      <c r="D95" s="22"/>
      <c r="E95" s="16"/>
      <c r="F95" s="16">
        <v>1</v>
      </c>
      <c r="G95" s="16">
        <v>195.85</v>
      </c>
      <c r="H95" s="68">
        <f t="shared" si="21"/>
        <v>0.19585</v>
      </c>
      <c r="I95" s="10">
        <v>0</v>
      </c>
      <c r="J95" s="10">
        <f>G95</f>
        <v>195.85</v>
      </c>
      <c r="K95" s="10">
        <v>0</v>
      </c>
      <c r="L95" s="121">
        <f t="shared" si="22"/>
        <v>195.85</v>
      </c>
    </row>
    <row r="96" spans="1:12" ht="15.75" customHeight="1">
      <c r="A96" s="124">
        <v>54</v>
      </c>
      <c r="B96" s="67" t="s">
        <v>206</v>
      </c>
      <c r="C96" s="91" t="s">
        <v>207</v>
      </c>
      <c r="D96" s="22"/>
      <c r="E96" s="16"/>
      <c r="F96" s="16">
        <v>1</v>
      </c>
      <c r="G96" s="16">
        <v>19499</v>
      </c>
      <c r="H96" s="68">
        <f t="shared" si="21"/>
        <v>19.498999999999999</v>
      </c>
      <c r="I96" s="10">
        <v>0</v>
      </c>
      <c r="J96" s="10">
        <v>0</v>
      </c>
      <c r="K96" s="10">
        <f>G96</f>
        <v>19499</v>
      </c>
      <c r="L96" s="121">
        <f t="shared" si="22"/>
        <v>19499</v>
      </c>
    </row>
    <row r="97" spans="1:12" ht="15.75" hidden="1" customHeight="1">
      <c r="A97" s="22"/>
      <c r="B97" s="43" t="s">
        <v>208</v>
      </c>
      <c r="C97" s="44" t="s">
        <v>201</v>
      </c>
      <c r="D97" s="22"/>
      <c r="E97" s="16"/>
      <c r="F97" s="16">
        <v>1</v>
      </c>
      <c r="G97" s="16">
        <v>520.51</v>
      </c>
      <c r="H97" s="68">
        <f t="shared" si="21"/>
        <v>0.52051000000000003</v>
      </c>
      <c r="I97" s="10">
        <v>0</v>
      </c>
      <c r="J97" s="10">
        <v>0</v>
      </c>
      <c r="K97" s="10">
        <v>0</v>
      </c>
      <c r="L97" s="121">
        <f t="shared" si="22"/>
        <v>0</v>
      </c>
    </row>
    <row r="98" spans="1:12" ht="15.75" hidden="1" customHeight="1">
      <c r="A98" s="22"/>
      <c r="B98" s="43" t="s">
        <v>170</v>
      </c>
      <c r="C98" s="44" t="s">
        <v>171</v>
      </c>
      <c r="D98" s="22"/>
      <c r="E98" s="16"/>
      <c r="F98" s="16">
        <v>2</v>
      </c>
      <c r="G98" s="16">
        <v>206.54</v>
      </c>
      <c r="H98" s="68">
        <f t="shared" si="21"/>
        <v>0.41308</v>
      </c>
      <c r="I98" s="10">
        <v>0</v>
      </c>
      <c r="J98" s="10">
        <v>0</v>
      </c>
      <c r="K98" s="10">
        <v>0</v>
      </c>
      <c r="L98" s="121">
        <f t="shared" si="22"/>
        <v>0</v>
      </c>
    </row>
    <row r="99" spans="1:12" ht="31.5" hidden="1" customHeight="1">
      <c r="A99" s="22"/>
      <c r="B99" s="43" t="s">
        <v>167</v>
      </c>
      <c r="C99" s="44" t="s">
        <v>85</v>
      </c>
      <c r="D99" s="37"/>
      <c r="E99" s="10"/>
      <c r="F99" s="10">
        <v>1</v>
      </c>
      <c r="G99" s="10">
        <v>1146</v>
      </c>
      <c r="H99" s="68">
        <f t="shared" si="21"/>
        <v>1.1459999999999999</v>
      </c>
      <c r="I99" s="10">
        <v>0</v>
      </c>
      <c r="J99" s="10">
        <v>0</v>
      </c>
      <c r="K99" s="10">
        <v>0</v>
      </c>
      <c r="L99" s="121">
        <f t="shared" si="22"/>
        <v>0</v>
      </c>
    </row>
    <row r="100" spans="1:12" ht="31.5" hidden="1" customHeight="1">
      <c r="A100" s="22"/>
      <c r="B100" s="43" t="s">
        <v>209</v>
      </c>
      <c r="C100" s="44" t="s">
        <v>28</v>
      </c>
      <c r="D100" s="37"/>
      <c r="E100" s="10"/>
      <c r="F100" s="14">
        <v>1E-3</v>
      </c>
      <c r="G100" s="10">
        <v>1591.6</v>
      </c>
      <c r="H100" s="68">
        <f t="shared" si="21"/>
        <v>1.5915999999999999E-3</v>
      </c>
      <c r="I100" s="10">
        <v>0</v>
      </c>
      <c r="J100" s="10">
        <v>0</v>
      </c>
      <c r="K100" s="10">
        <v>0</v>
      </c>
      <c r="L100" s="121">
        <f t="shared" si="22"/>
        <v>0</v>
      </c>
    </row>
    <row r="101" spans="1:12" ht="15.75" hidden="1" customHeight="1">
      <c r="A101" s="22"/>
      <c r="B101" s="66" t="s">
        <v>168</v>
      </c>
      <c r="C101" s="22" t="s">
        <v>102</v>
      </c>
      <c r="D101" s="37"/>
      <c r="E101" s="10"/>
      <c r="F101" s="10">
        <v>2</v>
      </c>
      <c r="G101" s="10">
        <v>185.08</v>
      </c>
      <c r="H101" s="68">
        <f t="shared" si="21"/>
        <v>0.37016000000000004</v>
      </c>
      <c r="I101" s="10">
        <v>0</v>
      </c>
      <c r="J101" s="10">
        <v>0</v>
      </c>
      <c r="K101" s="10">
        <v>0</v>
      </c>
      <c r="L101" s="121">
        <f t="shared" si="22"/>
        <v>0</v>
      </c>
    </row>
    <row r="102" spans="1:12" ht="31.5" hidden="1" customHeight="1">
      <c r="A102" s="22"/>
      <c r="B102" s="43" t="s">
        <v>210</v>
      </c>
      <c r="C102" s="44" t="s">
        <v>169</v>
      </c>
      <c r="D102" s="11"/>
      <c r="E102" s="16"/>
      <c r="F102" s="10">
        <f>(3)/10</f>
        <v>0.3</v>
      </c>
      <c r="G102" s="10">
        <v>5945.91</v>
      </c>
      <c r="H102" s="68">
        <f t="shared" si="21"/>
        <v>1.7837729999999998</v>
      </c>
      <c r="I102" s="95">
        <v>0</v>
      </c>
      <c r="J102" s="95">
        <v>0</v>
      </c>
      <c r="K102" s="95">
        <v>0</v>
      </c>
      <c r="L102" s="121">
        <f t="shared" si="22"/>
        <v>0</v>
      </c>
    </row>
    <row r="103" spans="1:12" ht="15.75" customHeight="1">
      <c r="A103" s="22"/>
      <c r="B103" s="29" t="s">
        <v>84</v>
      </c>
      <c r="C103" s="89"/>
      <c r="D103" s="88"/>
      <c r="E103" s="75"/>
      <c r="F103" s="75"/>
      <c r="G103" s="75"/>
      <c r="H103" s="75"/>
      <c r="I103" s="75"/>
      <c r="J103" s="75"/>
      <c r="K103" s="112"/>
      <c r="L103" s="75">
        <f>SUM(L88+L89+L90+L91+L92+L93+L94+L95+L96)</f>
        <v>65630.349999999991</v>
      </c>
    </row>
    <row r="104" spans="1:12" ht="15.75" customHeight="1">
      <c r="A104" s="22"/>
      <c r="B104" s="37" t="s">
        <v>81</v>
      </c>
      <c r="C104" s="12"/>
      <c r="D104" s="12"/>
      <c r="E104" s="32"/>
      <c r="F104" s="32"/>
      <c r="G104" s="33"/>
      <c r="H104" s="33"/>
      <c r="I104" s="33"/>
      <c r="J104" s="33"/>
      <c r="K104" s="112"/>
      <c r="L104" s="15">
        <v>0</v>
      </c>
    </row>
    <row r="105" spans="1:12" ht="15.75" customHeight="1">
      <c r="A105" s="39"/>
      <c r="B105" s="36" t="s">
        <v>266</v>
      </c>
      <c r="C105" s="26"/>
      <c r="D105" s="26"/>
      <c r="E105" s="26"/>
      <c r="F105" s="26"/>
      <c r="G105" s="26"/>
      <c r="H105" s="26"/>
      <c r="I105" s="122">
        <f>I16+I17+I18+I19+I20+I21+I22+I23+I24+I25+I26+I27+I30+I31+I32+I33+I37+I38+I39+I40+I41+I42+I43+I45+I46+I47+I48+I49+I50+I51+I52+I53+I54+I55+I58+I59+I60+I66+I67+I68+I69+I70+I82+I84+I85+I88+I89+I90+I91+I92+I93+I94+I95+I96</f>
        <v>78245.741578500019</v>
      </c>
      <c r="J105" s="122">
        <f t="shared" ref="J105:K105" si="23">J16+J17+J18+J19+J20+J21+J22+J23+J24+J25+J26+J27+J30+J31+J32+J33+J37+J38+J39+J40+J41+J42+J43+J45+J46+J47+J48+J49+J50+J51+J52+J53+J54+J55+J58+J59+J60+J66+J67+J68+J69+J70+J82+J84+J85+J88+J89+J90+J91+J92+J93+J94+J95+J96</f>
        <v>163564.23630136668</v>
      </c>
      <c r="K105" s="122">
        <f t="shared" si="23"/>
        <v>70787.394788666672</v>
      </c>
      <c r="L105" s="34">
        <f>L86+L103</f>
        <v>312597.37266853335</v>
      </c>
    </row>
    <row r="106" spans="1:12" ht="15.75" customHeight="1">
      <c r="A106" s="178" t="s">
        <v>218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</row>
    <row r="107" spans="1:12" ht="15.75" customHeight="1">
      <c r="A107" s="113"/>
      <c r="B107" s="166" t="s">
        <v>219</v>
      </c>
      <c r="C107" s="166"/>
      <c r="D107" s="166"/>
      <c r="E107" s="166"/>
      <c r="F107" s="166"/>
      <c r="G107" s="166"/>
      <c r="H107" s="114"/>
      <c r="I107" s="114"/>
      <c r="J107" s="114"/>
      <c r="K107" s="114"/>
      <c r="L107" s="115"/>
    </row>
    <row r="108" spans="1:12" ht="15.75" customHeight="1">
      <c r="A108" s="111"/>
      <c r="B108" s="167" t="s">
        <v>6</v>
      </c>
      <c r="C108" s="167"/>
      <c r="D108" s="167"/>
      <c r="E108" s="167"/>
      <c r="F108" s="167"/>
      <c r="G108" s="167"/>
      <c r="H108" s="116"/>
      <c r="I108" s="116"/>
      <c r="J108" s="116"/>
      <c r="K108" s="148"/>
      <c r="L108" s="115"/>
    </row>
    <row r="109" spans="1:12" ht="15.75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</row>
    <row r="110" spans="1:12" ht="15.75" customHeight="1">
      <c r="A110" s="168" t="s">
        <v>7</v>
      </c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</row>
    <row r="111" spans="1:12" ht="15.75">
      <c r="A111" s="169" t="s">
        <v>8</v>
      </c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</row>
    <row r="112" spans="1:12" ht="15.75" customHeight="1">
      <c r="A112" s="164" t="s">
        <v>191</v>
      </c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</row>
    <row r="113" spans="1:12" ht="15.75">
      <c r="A113" s="8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ht="15.75">
      <c r="A114" s="170" t="s">
        <v>9</v>
      </c>
      <c r="B114" s="170"/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</row>
    <row r="115" spans="1:12" ht="15.75">
      <c r="A115" s="3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ht="15.75" customHeight="1">
      <c r="A116" s="164" t="s">
        <v>10</v>
      </c>
      <c r="B116" s="164"/>
      <c r="C116" s="177" t="s">
        <v>147</v>
      </c>
      <c r="D116" s="161"/>
      <c r="E116" s="161"/>
      <c r="F116" s="161"/>
      <c r="G116" s="161"/>
      <c r="H116" s="161"/>
      <c r="I116" s="161"/>
      <c r="J116" s="117"/>
      <c r="K116" s="160"/>
      <c r="L116" s="161"/>
    </row>
    <row r="117" spans="1:12" ht="15.75" customHeight="1">
      <c r="A117" s="118"/>
      <c r="B117" s="119"/>
      <c r="C117" s="162" t="s">
        <v>11</v>
      </c>
      <c r="D117" s="163"/>
      <c r="E117" s="163"/>
      <c r="F117" s="163"/>
      <c r="G117" s="163"/>
      <c r="H117" s="163"/>
      <c r="I117" s="163"/>
      <c r="K117" s="162" t="s">
        <v>12</v>
      </c>
      <c r="L117" s="163"/>
    </row>
    <row r="118" spans="1:12" ht="15.75" customHeight="1">
      <c r="A118" s="120"/>
      <c r="B118" s="119"/>
      <c r="F118" s="9"/>
      <c r="G118" s="9"/>
      <c r="I118" s="9"/>
      <c r="J118" s="9"/>
      <c r="K118" s="9"/>
    </row>
    <row r="119" spans="1:12" ht="15.75" customHeight="1">
      <c r="A119" s="164" t="s">
        <v>13</v>
      </c>
      <c r="B119" s="164"/>
      <c r="C119" s="161"/>
      <c r="D119" s="161"/>
      <c r="E119" s="161"/>
      <c r="F119" s="161"/>
      <c r="G119" s="161"/>
      <c r="H119" s="161"/>
      <c r="I119" s="161"/>
      <c r="K119" s="161"/>
      <c r="L119" s="161"/>
    </row>
    <row r="120" spans="1:12">
      <c r="A120" s="107"/>
      <c r="C120" s="162" t="s">
        <v>11</v>
      </c>
      <c r="D120" s="162"/>
      <c r="E120" s="162"/>
      <c r="F120" s="162"/>
      <c r="G120" s="162"/>
      <c r="H120" s="162"/>
      <c r="I120" s="162"/>
      <c r="K120" s="162" t="s">
        <v>12</v>
      </c>
      <c r="L120" s="163"/>
    </row>
    <row r="121" spans="1:12" ht="15.75">
      <c r="A121" s="3" t="s">
        <v>14</v>
      </c>
    </row>
    <row r="122" spans="1:12">
      <c r="A122" s="165" t="s">
        <v>15</v>
      </c>
      <c r="B122" s="165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</row>
    <row r="123" spans="1:12" ht="30" customHeight="1">
      <c r="A123" s="159" t="s">
        <v>16</v>
      </c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  <row r="124" spans="1:12" ht="30" customHeight="1">
      <c r="A124" s="159" t="s">
        <v>17</v>
      </c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</row>
    <row r="125" spans="1:12" ht="30" customHeight="1">
      <c r="A125" s="159" t="s">
        <v>21</v>
      </c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</row>
    <row r="126" spans="1:12" ht="15" customHeight="1">
      <c r="A126" s="159" t="s">
        <v>20</v>
      </c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</row>
  </sheetData>
  <mergeCells count="34">
    <mergeCell ref="A14:L14"/>
    <mergeCell ref="A3:L3"/>
    <mergeCell ref="A4:L4"/>
    <mergeCell ref="A5:L5"/>
    <mergeCell ref="A8:L8"/>
    <mergeCell ref="A10:L10"/>
    <mergeCell ref="A112:L112"/>
    <mergeCell ref="A15:L15"/>
    <mergeCell ref="A28:L28"/>
    <mergeCell ref="A44:L44"/>
    <mergeCell ref="A56:L56"/>
    <mergeCell ref="A83:L83"/>
    <mergeCell ref="A87:L87"/>
    <mergeCell ref="A106:L106"/>
    <mergeCell ref="B107:G107"/>
    <mergeCell ref="B108:G108"/>
    <mergeCell ref="A110:L110"/>
    <mergeCell ref="A111:L111"/>
    <mergeCell ref="A114:L114"/>
    <mergeCell ref="A116:B116"/>
    <mergeCell ref="C116:I116"/>
    <mergeCell ref="K116:L116"/>
    <mergeCell ref="C117:I117"/>
    <mergeCell ref="K117:L117"/>
    <mergeCell ref="A123:L123"/>
    <mergeCell ref="A124:L124"/>
    <mergeCell ref="A125:L125"/>
    <mergeCell ref="A126:L126"/>
    <mergeCell ref="A119:B119"/>
    <mergeCell ref="C119:I119"/>
    <mergeCell ref="K119:L119"/>
    <mergeCell ref="C120:I120"/>
    <mergeCell ref="K120:L120"/>
    <mergeCell ref="A122:L122"/>
  </mergeCells>
  <printOptions horizontalCentered="1"/>
  <pageMargins left="0.51181102362204722" right="0.31496062992125984" top="0.27559055118110237" bottom="0.27559055118110237" header="0.31496062992125984" footer="0.31496062992125984"/>
  <pageSetup paperSize="9" scale="5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3"/>
  <sheetViews>
    <sheetView zoomScale="90" zoomScaleNormal="90" workbookViewId="0">
      <selection activeCell="A3" sqref="A3:L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9.140625" hidden="1" customWidth="1"/>
    <col min="7" max="7" width="18" customWidth="1"/>
    <col min="8" max="8" width="18" hidden="1" customWidth="1"/>
    <col min="9" max="11" width="18" customWidth="1"/>
    <col min="12" max="12" width="18.28515625" customWidth="1"/>
  </cols>
  <sheetData>
    <row r="1" spans="1:12" ht="15.75">
      <c r="A1" s="20" t="s">
        <v>90</v>
      </c>
      <c r="I1" s="19"/>
    </row>
    <row r="2" spans="1:12" ht="15.75">
      <c r="A2" s="21" t="s">
        <v>64</v>
      </c>
    </row>
    <row r="3" spans="1:12" ht="15.75">
      <c r="A3" s="171" t="s">
        <v>176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1:12" ht="15.75">
      <c r="A5" s="171" t="s">
        <v>215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2" ht="15.75">
      <c r="A6" s="1"/>
      <c r="B6" s="105"/>
      <c r="C6" s="105"/>
      <c r="D6" s="105"/>
      <c r="E6" s="105"/>
      <c r="F6" s="105"/>
      <c r="G6" s="105"/>
      <c r="H6" s="105"/>
      <c r="L6" s="23">
        <v>43008</v>
      </c>
    </row>
    <row r="7" spans="1:12" ht="15.75">
      <c r="B7" s="106"/>
      <c r="C7" s="106"/>
      <c r="D7" s="106"/>
      <c r="E7" s="2"/>
      <c r="F7" s="2"/>
      <c r="G7" s="2"/>
      <c r="H7" s="2"/>
    </row>
    <row r="8" spans="1:12" ht="78.75" customHeight="1">
      <c r="A8" s="180" t="s">
        <v>192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</row>
    <row r="9" spans="1:12" ht="15.75">
      <c r="A9" s="3"/>
    </row>
    <row r="10" spans="1:12" ht="47.25" customHeight="1">
      <c r="A10" s="179" t="s">
        <v>149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</row>
    <row r="11" spans="1:12" ht="15.75">
      <c r="A11" s="3"/>
    </row>
    <row r="12" spans="1:12" ht="79.5" customHeight="1">
      <c r="A12" s="12" t="s">
        <v>0</v>
      </c>
      <c r="B12" s="12" t="s">
        <v>185</v>
      </c>
      <c r="C12" s="12" t="s">
        <v>2</v>
      </c>
      <c r="D12" s="12" t="s">
        <v>18</v>
      </c>
      <c r="E12" s="12" t="s">
        <v>19</v>
      </c>
      <c r="F12" s="12"/>
      <c r="G12" s="12" t="s">
        <v>22</v>
      </c>
      <c r="H12" s="12"/>
      <c r="I12" s="12" t="s">
        <v>226</v>
      </c>
      <c r="J12" s="12" t="s">
        <v>225</v>
      </c>
      <c r="K12" s="12" t="s">
        <v>224</v>
      </c>
      <c r="L12" s="12" t="s">
        <v>223</v>
      </c>
    </row>
    <row r="13" spans="1:12">
      <c r="A13" s="108">
        <v>1</v>
      </c>
      <c r="B13" s="108">
        <v>2</v>
      </c>
      <c r="C13" s="108">
        <v>3</v>
      </c>
      <c r="D13" s="109">
        <v>4</v>
      </c>
      <c r="E13" s="108">
        <v>5</v>
      </c>
      <c r="F13" s="108"/>
      <c r="G13" s="108">
        <v>5</v>
      </c>
      <c r="H13" s="108"/>
      <c r="I13" s="108">
        <v>6</v>
      </c>
      <c r="J13" s="108">
        <v>7</v>
      </c>
      <c r="K13" s="108">
        <v>8</v>
      </c>
      <c r="L13" s="108">
        <v>9</v>
      </c>
    </row>
    <row r="14" spans="1:12" ht="15" customHeight="1">
      <c r="A14" s="182" t="s">
        <v>61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4"/>
    </row>
    <row r="15" spans="1:12" ht="15" customHeight="1">
      <c r="A15" s="172" t="s">
        <v>4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4"/>
    </row>
    <row r="16" spans="1:12" ht="31.5" customHeight="1">
      <c r="A16" s="96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  <c r="J16" s="10">
        <f>F16/12*G16</f>
        <v>1056.7872640000001</v>
      </c>
      <c r="K16" s="10">
        <f>F16/12*G16</f>
        <v>1056.7872640000001</v>
      </c>
      <c r="L16" s="121">
        <f>SUM(I16:K16)</f>
        <v>3170.3617920000002</v>
      </c>
    </row>
    <row r="17" spans="1:12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  <c r="J17" s="10">
        <f>F17/12*G17</f>
        <v>2818.0993706666663</v>
      </c>
      <c r="K17" s="10">
        <f>F17/12*G17</f>
        <v>2818.0993706666663</v>
      </c>
      <c r="L17" s="121">
        <f t="shared" ref="L17:L27" si="1">SUM(I17:K17)</f>
        <v>8454.2981119999986</v>
      </c>
    </row>
    <row r="18" spans="1:12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  <c r="J18" s="10">
        <f>F18/12*G18</f>
        <v>2338.4481600000004</v>
      </c>
      <c r="K18" s="10">
        <f>F18/12*G18</f>
        <v>2338.4481600000004</v>
      </c>
      <c r="L18" s="121">
        <f t="shared" si="1"/>
        <v>7015.3444800000016</v>
      </c>
    </row>
    <row r="19" spans="1:12" ht="15.75" hidden="1" customHeight="1">
      <c r="A19" s="22">
        <v>4</v>
      </c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v>0</v>
      </c>
      <c r="J19" s="10">
        <f>F19/2*G19</f>
        <v>363.82</v>
      </c>
      <c r="K19" s="10">
        <v>0</v>
      </c>
      <c r="L19" s="121">
        <f t="shared" si="1"/>
        <v>363.82</v>
      </c>
    </row>
    <row r="20" spans="1:12" ht="15.75" customHeight="1">
      <c r="A20" s="22">
        <v>4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  <c r="J20" s="10">
        <f>F20/12*G20</f>
        <v>24.456599999999998</v>
      </c>
      <c r="K20" s="10">
        <f>F20/12*G20</f>
        <v>24.456599999999998</v>
      </c>
      <c r="L20" s="121">
        <f t="shared" si="1"/>
        <v>73.369799999999998</v>
      </c>
    </row>
    <row r="21" spans="1:12" ht="15.75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f>F21/6*G21</f>
        <v>6.2378100000000014</v>
      </c>
      <c r="J21" s="10">
        <v>0</v>
      </c>
      <c r="K21" s="10">
        <f>F21/6*G21</f>
        <v>6.2378100000000014</v>
      </c>
      <c r="L21" s="121">
        <f t="shared" si="1"/>
        <v>12.475620000000003</v>
      </c>
    </row>
    <row r="22" spans="1:12" ht="15.75" hidden="1" customHeight="1">
      <c r="A22" s="22">
        <v>7</v>
      </c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v>0</v>
      </c>
      <c r="J22" s="10">
        <f>F22*G22</f>
        <v>1027.5887999999998</v>
      </c>
      <c r="K22" s="10">
        <v>0</v>
      </c>
      <c r="L22" s="121">
        <f t="shared" si="1"/>
        <v>1027.5887999999998</v>
      </c>
    </row>
    <row r="23" spans="1:12" ht="15.75" hidden="1" customHeight="1">
      <c r="A23" s="22">
        <v>8</v>
      </c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v>0</v>
      </c>
      <c r="J23" s="10">
        <f t="shared" ref="J23:J25" si="2">F23*G23</f>
        <v>18.292176000000001</v>
      </c>
      <c r="K23" s="10">
        <v>0</v>
      </c>
      <c r="L23" s="121">
        <f t="shared" si="1"/>
        <v>18.292176000000001</v>
      </c>
    </row>
    <row r="24" spans="1:12" ht="15.75" hidden="1" customHeight="1">
      <c r="A24" s="22">
        <v>9</v>
      </c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v>0</v>
      </c>
      <c r="J24" s="10">
        <f t="shared" si="2"/>
        <v>62.492999999999995</v>
      </c>
      <c r="K24" s="10">
        <v>0</v>
      </c>
      <c r="L24" s="121">
        <f t="shared" si="1"/>
        <v>62.492999999999995</v>
      </c>
    </row>
    <row r="25" spans="1:12" ht="15.75" hidden="1" customHeight="1">
      <c r="A25" s="22">
        <v>10</v>
      </c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v>0</v>
      </c>
      <c r="J25" s="10">
        <f t="shared" si="2"/>
        <v>35.520012000000001</v>
      </c>
      <c r="K25" s="10">
        <v>0</v>
      </c>
      <c r="L25" s="121">
        <f t="shared" si="1"/>
        <v>35.520012000000001</v>
      </c>
    </row>
    <row r="26" spans="1:12" ht="15.75" customHeight="1">
      <c r="A26" s="22">
        <v>6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 t="shared" ref="H26:H27" si="3">SUM(F26*G26/1000)</f>
        <v>5.737070000000001</v>
      </c>
      <c r="I26" s="10">
        <f>F26/12*G26</f>
        <v>478.08916666666664</v>
      </c>
      <c r="J26" s="10">
        <f>F26/12*G26</f>
        <v>478.08916666666664</v>
      </c>
      <c r="K26" s="10">
        <f>F26/12*G26</f>
        <v>478.08916666666664</v>
      </c>
      <c r="L26" s="121">
        <f t="shared" si="1"/>
        <v>1434.2674999999999</v>
      </c>
    </row>
    <row r="27" spans="1:12" ht="15.75" customHeight="1">
      <c r="A27" s="94">
        <v>7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 t="shared" si="3"/>
        <v>163.78560000000002</v>
      </c>
      <c r="I27" s="10">
        <f>F27/12*G27</f>
        <v>13648.8</v>
      </c>
      <c r="J27" s="10">
        <f>F27/12*G27</f>
        <v>13648.8</v>
      </c>
      <c r="K27" s="10">
        <f>F27/12*G27</f>
        <v>13648.8</v>
      </c>
      <c r="L27" s="121">
        <f t="shared" si="1"/>
        <v>40946.399999999994</v>
      </c>
    </row>
    <row r="28" spans="1:12" ht="15.75" customHeight="1">
      <c r="A28" s="172" t="s">
        <v>89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6"/>
    </row>
    <row r="29" spans="1:12" ht="15.75" customHeight="1">
      <c r="A29" s="96"/>
      <c r="B29" s="97" t="s">
        <v>27</v>
      </c>
      <c r="C29" s="98"/>
      <c r="D29" s="99"/>
      <c r="E29" s="100"/>
      <c r="F29" s="101"/>
      <c r="G29" s="101"/>
      <c r="H29" s="102"/>
      <c r="I29" s="103"/>
      <c r="J29" s="101"/>
      <c r="K29" s="102"/>
      <c r="L29" s="103"/>
    </row>
    <row r="30" spans="1:12" ht="31.5" customHeight="1">
      <c r="A30" s="22">
        <v>8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4">SUM(F30*G30/1000)</f>
        <v>1.080971892</v>
      </c>
      <c r="I30" s="10">
        <f>F30/6*G30</f>
        <v>180.16198199999997</v>
      </c>
      <c r="J30" s="10">
        <f>F30/6*G30</f>
        <v>180.16198199999997</v>
      </c>
      <c r="K30" s="10">
        <f>F30/6*G30</f>
        <v>180.16198199999997</v>
      </c>
      <c r="L30" s="121">
        <f t="shared" ref="L30:L35" si="5">SUM(I30:K30)</f>
        <v>540.4859459999999</v>
      </c>
    </row>
    <row r="31" spans="1:12" ht="31.5" customHeight="1">
      <c r="A31" s="22">
        <v>9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4"/>
        <v>1.0523934719999999</v>
      </c>
      <c r="I31" s="10">
        <f t="shared" ref="I31:I33" si="6">F31/6*G31</f>
        <v>175.398912</v>
      </c>
      <c r="J31" s="10">
        <f t="shared" ref="J31:J33" si="7">F31/6*G31</f>
        <v>175.398912</v>
      </c>
      <c r="K31" s="10">
        <f t="shared" ref="K31:K33" si="8">F31/6*G31</f>
        <v>175.398912</v>
      </c>
      <c r="L31" s="121">
        <f t="shared" si="5"/>
        <v>526.19673599999999</v>
      </c>
    </row>
    <row r="32" spans="1:12" ht="15.75" hidden="1" customHeight="1">
      <c r="A32" s="22">
        <v>15</v>
      </c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4"/>
        <v>1.1979879792000001</v>
      </c>
      <c r="I32" s="10">
        <f t="shared" si="6"/>
        <v>199.66466320000001</v>
      </c>
      <c r="J32" s="10">
        <f>F32*G32</f>
        <v>1197.9879792000002</v>
      </c>
      <c r="K32" s="10">
        <v>0</v>
      </c>
      <c r="L32" s="121">
        <f t="shared" si="5"/>
        <v>1397.6526424000001</v>
      </c>
    </row>
    <row r="33" spans="1:12" ht="15.75" customHeight="1">
      <c r="A33" s="22">
        <v>10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 t="shared" si="4"/>
        <v>3.1309999999999998</v>
      </c>
      <c r="I33" s="10">
        <f t="shared" si="6"/>
        <v>521.83333333333337</v>
      </c>
      <c r="J33" s="10">
        <f t="shared" si="7"/>
        <v>521.83333333333337</v>
      </c>
      <c r="K33" s="10">
        <f t="shared" si="8"/>
        <v>521.83333333333337</v>
      </c>
      <c r="L33" s="121">
        <f t="shared" si="5"/>
        <v>1565.5</v>
      </c>
    </row>
    <row r="34" spans="1:12" ht="15.75" hidden="1" customHeight="1">
      <c r="A34" s="22"/>
      <c r="B34" s="69" t="s">
        <v>67</v>
      </c>
      <c r="C34" s="70" t="s">
        <v>32</v>
      </c>
      <c r="D34" s="69" t="s">
        <v>69</v>
      </c>
      <c r="E34" s="71"/>
      <c r="F34" s="72">
        <v>3</v>
      </c>
      <c r="G34" s="72">
        <v>204.32</v>
      </c>
      <c r="H34" s="73">
        <f t="shared" si="4"/>
        <v>0.61296000000000006</v>
      </c>
      <c r="I34" s="10">
        <v>0</v>
      </c>
      <c r="J34" s="10">
        <v>0</v>
      </c>
      <c r="K34" s="10">
        <v>0</v>
      </c>
      <c r="L34" s="121">
        <f t="shared" si="5"/>
        <v>0</v>
      </c>
    </row>
    <row r="35" spans="1:12" ht="15.75" hidden="1" customHeight="1">
      <c r="A35" s="22"/>
      <c r="B35" s="69" t="s">
        <v>68</v>
      </c>
      <c r="C35" s="70" t="s">
        <v>31</v>
      </c>
      <c r="D35" s="69" t="s">
        <v>69</v>
      </c>
      <c r="E35" s="71"/>
      <c r="F35" s="72">
        <v>2</v>
      </c>
      <c r="G35" s="72">
        <v>1214.73</v>
      </c>
      <c r="H35" s="73">
        <f t="shared" si="4"/>
        <v>2.4294600000000002</v>
      </c>
      <c r="I35" s="10">
        <v>0</v>
      </c>
      <c r="J35" s="10">
        <v>0</v>
      </c>
      <c r="K35" s="10">
        <v>0</v>
      </c>
      <c r="L35" s="121">
        <f t="shared" si="5"/>
        <v>0</v>
      </c>
    </row>
    <row r="36" spans="1:12" ht="15.75" hidden="1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  <c r="J36" s="112"/>
      <c r="K36" s="112"/>
      <c r="L36" s="112"/>
    </row>
    <row r="37" spans="1:12" ht="15.75" hidden="1" customHeight="1">
      <c r="A37" s="22">
        <v>17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  <c r="J37" s="10">
        <v>0</v>
      </c>
      <c r="K37" s="10">
        <v>0</v>
      </c>
      <c r="L37" s="121">
        <f t="shared" ref="L37:L43" si="9">SUM(I37:K37)</f>
        <v>2448.8999999999996</v>
      </c>
    </row>
    <row r="38" spans="1:12" ht="15.75" hidden="1" customHeight="1">
      <c r="A38" s="22">
        <v>18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10">SUM(F38*G38/1000)</f>
        <v>2.9313559799999998</v>
      </c>
      <c r="I38" s="10">
        <f>F38/6*G38</f>
        <v>488.55932999999993</v>
      </c>
      <c r="J38" s="10">
        <v>0</v>
      </c>
      <c r="K38" s="10">
        <v>0</v>
      </c>
      <c r="L38" s="121">
        <f t="shared" si="9"/>
        <v>488.55932999999993</v>
      </c>
    </row>
    <row r="39" spans="1:12" ht="15.75" hidden="1" customHeight="1">
      <c r="A39" s="22">
        <v>19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10"/>
        <v>2.8361217999999999</v>
      </c>
      <c r="I39" s="10">
        <f>F39/6*G39</f>
        <v>472.68696666666665</v>
      </c>
      <c r="J39" s="10">
        <v>0</v>
      </c>
      <c r="K39" s="10">
        <v>0</v>
      </c>
      <c r="L39" s="121">
        <f t="shared" si="9"/>
        <v>472.68696666666665</v>
      </c>
    </row>
    <row r="40" spans="1:12" ht="15.75" hidden="1" customHeight="1">
      <c r="A40" s="22">
        <v>20</v>
      </c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10"/>
        <v>23.452000000000002</v>
      </c>
      <c r="I40" s="10">
        <f>G40*39</f>
        <v>8314.7999999999993</v>
      </c>
      <c r="J40" s="10">
        <v>0</v>
      </c>
      <c r="K40" s="10">
        <v>0</v>
      </c>
      <c r="L40" s="121">
        <f t="shared" si="9"/>
        <v>8314.7999999999993</v>
      </c>
    </row>
    <row r="41" spans="1:12" ht="47.25" hidden="1" customHeight="1">
      <c r="A41" s="22">
        <v>21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10"/>
        <v>9.4386193649999992</v>
      </c>
      <c r="I41" s="10">
        <f>F41/6*G41</f>
        <v>1573.1032275</v>
      </c>
      <c r="J41" s="10">
        <v>0</v>
      </c>
      <c r="K41" s="10">
        <v>0</v>
      </c>
      <c r="L41" s="121">
        <f t="shared" si="9"/>
        <v>1573.1032275</v>
      </c>
    </row>
    <row r="42" spans="1:12" ht="15.75" hidden="1" customHeight="1">
      <c r="A42" s="22">
        <v>22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10"/>
        <v>0.89646442199999987</v>
      </c>
      <c r="I42" s="10">
        <f>F42/6*G42</f>
        <v>149.41073699999998</v>
      </c>
      <c r="J42" s="10">
        <v>0</v>
      </c>
      <c r="K42" s="10">
        <v>0</v>
      </c>
      <c r="L42" s="121">
        <f t="shared" si="9"/>
        <v>149.41073699999998</v>
      </c>
    </row>
    <row r="43" spans="1:12" ht="15.75" hidden="1" customHeight="1">
      <c r="A43" s="94">
        <v>23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10"/>
        <v>0.76775400000000005</v>
      </c>
      <c r="I43" s="10">
        <f>F43/6*G43</f>
        <v>127.95899999999999</v>
      </c>
      <c r="J43" s="10">
        <v>0</v>
      </c>
      <c r="K43" s="10">
        <v>0</v>
      </c>
      <c r="L43" s="121">
        <f t="shared" si="9"/>
        <v>127.95899999999999</v>
      </c>
    </row>
    <row r="44" spans="1:12" ht="15.75" customHeight="1">
      <c r="A44" s="172" t="s">
        <v>150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6"/>
    </row>
    <row r="45" spans="1:12" ht="15.75" customHeight="1">
      <c r="A45" s="96">
        <v>11</v>
      </c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11">SUM(F45*G45/1000)</f>
        <v>1.9206154680000005</v>
      </c>
      <c r="I45" s="10">
        <v>0</v>
      </c>
      <c r="J45" s="10">
        <v>0</v>
      </c>
      <c r="K45" s="10">
        <f>F45/2*G45</f>
        <v>960.30773400000021</v>
      </c>
      <c r="L45" s="121">
        <f t="shared" ref="L45:L55" si="12">SUM(I45:K45)</f>
        <v>960.30773400000021</v>
      </c>
    </row>
    <row r="46" spans="1:12" ht="15.75" customHeight="1">
      <c r="A46" s="22">
        <v>12</v>
      </c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11"/>
        <v>0.13132552</v>
      </c>
      <c r="I46" s="10">
        <v>0</v>
      </c>
      <c r="J46" s="10">
        <v>0</v>
      </c>
      <c r="K46" s="10">
        <f>F46/2*G46</f>
        <v>65.662760000000006</v>
      </c>
      <c r="L46" s="121">
        <f t="shared" si="12"/>
        <v>65.662760000000006</v>
      </c>
    </row>
    <row r="47" spans="1:12" ht="15.75" customHeight="1">
      <c r="A47" s="22">
        <v>13</v>
      </c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11"/>
        <v>1.9367726630000004</v>
      </c>
      <c r="I47" s="10">
        <v>0</v>
      </c>
      <c r="J47" s="10">
        <v>0</v>
      </c>
      <c r="K47" s="10">
        <f>F47/2*G47</f>
        <v>968.38633150000021</v>
      </c>
      <c r="L47" s="121">
        <f t="shared" si="12"/>
        <v>968.38633150000021</v>
      </c>
    </row>
    <row r="48" spans="1:12" ht="15.75" customHeight="1">
      <c r="A48" s="22">
        <v>14</v>
      </c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11"/>
        <v>2.1010746879999997</v>
      </c>
      <c r="I48" s="10">
        <v>0</v>
      </c>
      <c r="J48" s="10">
        <v>0</v>
      </c>
      <c r="K48" s="10">
        <f>F48/2*G48</f>
        <v>1050.5373439999998</v>
      </c>
      <c r="L48" s="121">
        <f t="shared" si="12"/>
        <v>1050.5373439999998</v>
      </c>
    </row>
    <row r="49" spans="1:12" ht="15.75" customHeight="1">
      <c r="A49" s="22">
        <v>15</v>
      </c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11"/>
        <v>0.13363571200000002</v>
      </c>
      <c r="I49" s="10">
        <v>0</v>
      </c>
      <c r="J49" s="10">
        <v>0</v>
      </c>
      <c r="K49" s="10">
        <f>F49/2*G49</f>
        <v>66.817856000000006</v>
      </c>
      <c r="L49" s="121">
        <f t="shared" si="12"/>
        <v>66.817856000000006</v>
      </c>
    </row>
    <row r="50" spans="1:12" ht="15.75" customHeight="1">
      <c r="A50" s="22">
        <v>16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11"/>
        <v>5.7761391999999994</v>
      </c>
      <c r="I50" s="10">
        <v>0</v>
      </c>
      <c r="J50" s="10">
        <v>0</v>
      </c>
      <c r="K50" s="10">
        <f>F50/5*G50</f>
        <v>1155.22784</v>
      </c>
      <c r="L50" s="121">
        <f t="shared" si="12"/>
        <v>1155.22784</v>
      </c>
    </row>
    <row r="51" spans="1:12" ht="31.5" hidden="1" customHeight="1">
      <c r="A51" s="22">
        <v>30</v>
      </c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11"/>
        <v>2.31045568</v>
      </c>
      <c r="I51" s="10">
        <v>0</v>
      </c>
      <c r="J51" s="10">
        <v>0</v>
      </c>
      <c r="K51" s="10">
        <f>F51/2*G51</f>
        <v>1155.22784</v>
      </c>
      <c r="L51" s="121">
        <f t="shared" si="12"/>
        <v>1155.22784</v>
      </c>
    </row>
    <row r="52" spans="1:12" ht="31.5" hidden="1" customHeight="1">
      <c r="A52" s="22">
        <v>31</v>
      </c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11"/>
        <v>1.167556</v>
      </c>
      <c r="I52" s="10">
        <v>0</v>
      </c>
      <c r="J52" s="10">
        <v>0</v>
      </c>
      <c r="K52" s="10">
        <f>F52/2*G52</f>
        <v>583.77800000000002</v>
      </c>
      <c r="L52" s="121">
        <f t="shared" si="12"/>
        <v>583.77800000000002</v>
      </c>
    </row>
    <row r="53" spans="1:12" ht="15.75" hidden="1" customHeight="1">
      <c r="A53" s="22">
        <v>32</v>
      </c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11"/>
        <v>0.1208424</v>
      </c>
      <c r="I53" s="10">
        <v>0</v>
      </c>
      <c r="J53" s="10">
        <v>0</v>
      </c>
      <c r="K53" s="10">
        <f>F53/2*G53</f>
        <v>60.421199999999999</v>
      </c>
      <c r="L53" s="121">
        <f t="shared" si="12"/>
        <v>60.421199999999999</v>
      </c>
    </row>
    <row r="54" spans="1:12" ht="15.75" customHeight="1">
      <c r="A54" s="22">
        <v>17</v>
      </c>
      <c r="B54" s="69" t="s">
        <v>108</v>
      </c>
      <c r="C54" s="70" t="s">
        <v>102</v>
      </c>
      <c r="D54" s="69" t="s">
        <v>74</v>
      </c>
      <c r="E54" s="71">
        <v>62</v>
      </c>
      <c r="F54" s="72">
        <f>SUM(E54*4)</f>
        <v>248</v>
      </c>
      <c r="G54" s="10">
        <v>150.86000000000001</v>
      </c>
      <c r="H54" s="73">
        <f t="shared" si="11"/>
        <v>37.413280000000007</v>
      </c>
      <c r="I54" s="10">
        <v>0</v>
      </c>
      <c r="J54" s="10">
        <v>0</v>
      </c>
      <c r="K54" s="10">
        <f>E54*G54</f>
        <v>9353.3200000000015</v>
      </c>
      <c r="L54" s="121">
        <f t="shared" si="12"/>
        <v>9353.3200000000015</v>
      </c>
    </row>
    <row r="55" spans="1:12" ht="15.75" customHeight="1">
      <c r="A55" s="94">
        <v>18</v>
      </c>
      <c r="B55" s="69" t="s">
        <v>42</v>
      </c>
      <c r="C55" s="70" t="s">
        <v>102</v>
      </c>
      <c r="D55" s="69" t="s">
        <v>74</v>
      </c>
      <c r="E55" s="71">
        <v>124</v>
      </c>
      <c r="F55" s="72">
        <f>SUM(E55)*3</f>
        <v>372</v>
      </c>
      <c r="G55" s="10">
        <v>70.209999999999994</v>
      </c>
      <c r="H55" s="73">
        <f t="shared" si="11"/>
        <v>26.118119999999998</v>
      </c>
      <c r="I55" s="10">
        <v>0</v>
      </c>
      <c r="J55" s="10">
        <v>0</v>
      </c>
      <c r="K55" s="10">
        <f>E55*G55</f>
        <v>8706.0399999999991</v>
      </c>
      <c r="L55" s="121">
        <f t="shared" si="12"/>
        <v>8706.0399999999991</v>
      </c>
    </row>
    <row r="56" spans="1:12" ht="15.75" customHeight="1">
      <c r="A56" s="172" t="s">
        <v>151</v>
      </c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6"/>
    </row>
    <row r="57" spans="1:12" ht="15.75" hidden="1" customHeight="1">
      <c r="A57" s="96"/>
      <c r="B57" s="97" t="s">
        <v>44</v>
      </c>
      <c r="C57" s="98"/>
      <c r="D57" s="99"/>
      <c r="E57" s="100"/>
      <c r="F57" s="101"/>
      <c r="G57" s="101"/>
      <c r="H57" s="102"/>
      <c r="I57" s="10"/>
      <c r="J57" s="112"/>
      <c r="K57" s="112"/>
      <c r="L57" s="112"/>
    </row>
    <row r="58" spans="1:12" ht="31.5" hidden="1" customHeight="1">
      <c r="A58" s="22">
        <v>35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  <c r="J58" s="10">
        <v>0</v>
      </c>
      <c r="K58" s="10">
        <v>0</v>
      </c>
      <c r="L58" s="121">
        <f t="shared" ref="L58:L77" si="13">SUM(I58:K58)</f>
        <v>2099.6383759999999</v>
      </c>
    </row>
    <row r="59" spans="1:12" ht="31.5" hidden="1" customHeight="1">
      <c r="A59" s="22">
        <v>36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  <c r="J59" s="10">
        <v>0</v>
      </c>
      <c r="K59" s="10">
        <v>0</v>
      </c>
      <c r="L59" s="121">
        <f t="shared" si="13"/>
        <v>264.64639999999997</v>
      </c>
    </row>
    <row r="60" spans="1:12" ht="31.5" hidden="1" customHeight="1">
      <c r="A60" s="22">
        <v>37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  <c r="J60" s="10">
        <v>0</v>
      </c>
      <c r="K60" s="10">
        <v>0</v>
      </c>
      <c r="L60" s="121">
        <f t="shared" si="13"/>
        <v>164.57697999999999</v>
      </c>
    </row>
    <row r="61" spans="1:12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3"/>
      <c r="J61" s="103"/>
      <c r="K61" s="103"/>
      <c r="L61" s="103"/>
    </row>
    <row r="62" spans="1:12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  <c r="J62" s="10">
        <v>0</v>
      </c>
      <c r="K62" s="10">
        <v>0</v>
      </c>
      <c r="L62" s="121">
        <f t="shared" si="13"/>
        <v>0</v>
      </c>
    </row>
    <row r="63" spans="1:12" ht="15.75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  <c r="J63" s="10"/>
      <c r="K63" s="10"/>
      <c r="L63" s="10"/>
    </row>
    <row r="64" spans="1:12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71" si="14">SUM(F64*G64/1000)</f>
        <v>2.3774000000000002</v>
      </c>
      <c r="I64" s="10">
        <v>0</v>
      </c>
      <c r="J64" s="10">
        <v>0</v>
      </c>
      <c r="K64" s="10">
        <v>0</v>
      </c>
      <c r="L64" s="121">
        <f t="shared" si="13"/>
        <v>0</v>
      </c>
    </row>
    <row r="65" spans="1:12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14"/>
        <v>0.24453000000000003</v>
      </c>
      <c r="I65" s="10">
        <v>0</v>
      </c>
      <c r="J65" s="10">
        <v>0</v>
      </c>
      <c r="K65" s="10">
        <v>0</v>
      </c>
      <c r="L65" s="121">
        <f t="shared" si="13"/>
        <v>0</v>
      </c>
    </row>
    <row r="66" spans="1:12" ht="15.75" hidden="1" customHeight="1">
      <c r="A66" s="22">
        <v>38</v>
      </c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14"/>
        <v>30.192552699999997</v>
      </c>
      <c r="I66" s="10">
        <v>0</v>
      </c>
      <c r="J66" s="10">
        <f>F66*G66</f>
        <v>30192.552699999997</v>
      </c>
      <c r="K66" s="10">
        <v>0</v>
      </c>
      <c r="L66" s="121">
        <f t="shared" si="13"/>
        <v>30192.552699999997</v>
      </c>
    </row>
    <row r="67" spans="1:12" ht="15.75" hidden="1" customHeight="1">
      <c r="A67" s="22">
        <v>39</v>
      </c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14"/>
        <v>2.3512089300000003</v>
      </c>
      <c r="I67" s="10">
        <v>0</v>
      </c>
      <c r="J67" s="10">
        <f t="shared" ref="J67:J70" si="15">F67*G67</f>
        <v>2351.2089300000002</v>
      </c>
      <c r="K67" s="10">
        <v>0</v>
      </c>
      <c r="L67" s="121">
        <f t="shared" si="13"/>
        <v>2351.2089300000002</v>
      </c>
    </row>
    <row r="68" spans="1:12" ht="15.75" hidden="1" customHeight="1">
      <c r="A68" s="22">
        <v>40</v>
      </c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14"/>
        <v>48.436315200000003</v>
      </c>
      <c r="I68" s="10">
        <v>0</v>
      </c>
      <c r="J68" s="10">
        <f t="shared" si="15"/>
        <v>48436.315200000005</v>
      </c>
      <c r="K68" s="10">
        <v>0</v>
      </c>
      <c r="L68" s="121">
        <f t="shared" si="13"/>
        <v>48436.315200000005</v>
      </c>
    </row>
    <row r="69" spans="1:12" ht="15.75" hidden="1" customHeight="1">
      <c r="A69" s="22">
        <v>41</v>
      </c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14"/>
        <v>0.49497199999999997</v>
      </c>
      <c r="I69" s="10">
        <v>0</v>
      </c>
      <c r="J69" s="10">
        <f t="shared" si="15"/>
        <v>494.97199999999998</v>
      </c>
      <c r="K69" s="10">
        <v>0</v>
      </c>
      <c r="L69" s="121">
        <f t="shared" si="13"/>
        <v>494.97199999999998</v>
      </c>
    </row>
    <row r="70" spans="1:12" ht="15.75" hidden="1" customHeight="1">
      <c r="A70" s="22">
        <v>42</v>
      </c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14"/>
        <v>0.46179599999999998</v>
      </c>
      <c r="I70" s="10">
        <v>0</v>
      </c>
      <c r="J70" s="10">
        <f t="shared" si="15"/>
        <v>461.79599999999999</v>
      </c>
      <c r="K70" s="10">
        <v>0</v>
      </c>
      <c r="L70" s="121">
        <f t="shared" si="13"/>
        <v>461.79599999999999</v>
      </c>
    </row>
    <row r="71" spans="1:12" ht="15.75" customHeight="1">
      <c r="A71" s="22">
        <v>19</v>
      </c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14"/>
        <v>0.2666</v>
      </c>
      <c r="I71" s="10">
        <v>0</v>
      </c>
      <c r="J71" s="10">
        <v>0</v>
      </c>
      <c r="K71" s="10">
        <f>G71*5</f>
        <v>266.60000000000002</v>
      </c>
      <c r="L71" s="121">
        <f t="shared" si="13"/>
        <v>266.60000000000002</v>
      </c>
    </row>
    <row r="72" spans="1:12" ht="15.75" customHeight="1">
      <c r="A72" s="22"/>
      <c r="B72" s="104" t="s">
        <v>75</v>
      </c>
      <c r="C72" s="13"/>
      <c r="D72" s="11"/>
      <c r="E72" s="16"/>
      <c r="F72" s="10"/>
      <c r="G72" s="10"/>
      <c r="H72" s="68" t="s">
        <v>158</v>
      </c>
      <c r="I72" s="10"/>
      <c r="J72" s="10"/>
      <c r="K72" s="10"/>
      <c r="L72" s="10"/>
    </row>
    <row r="73" spans="1:12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ref="H73:H77" si="16">SUM(F73*G73/1000)</f>
        <v>1.6776199999999999</v>
      </c>
      <c r="I73" s="10">
        <v>0</v>
      </c>
      <c r="J73" s="10">
        <v>0</v>
      </c>
      <c r="K73" s="10">
        <v>0</v>
      </c>
      <c r="L73" s="121">
        <f t="shared" si="13"/>
        <v>0</v>
      </c>
    </row>
    <row r="74" spans="1:12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16"/>
        <v>1</v>
      </c>
      <c r="I74" s="10">
        <v>0</v>
      </c>
      <c r="J74" s="10">
        <v>0</v>
      </c>
      <c r="K74" s="10">
        <v>0</v>
      </c>
      <c r="L74" s="121">
        <f t="shared" si="13"/>
        <v>0</v>
      </c>
    </row>
    <row r="75" spans="1:12" ht="15.75" hidden="1" customHeight="1">
      <c r="A75" s="22">
        <v>20</v>
      </c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16"/>
        <v>0.10724600000000001</v>
      </c>
      <c r="I75" s="10">
        <v>0</v>
      </c>
      <c r="J75" s="10">
        <v>0</v>
      </c>
      <c r="K75" s="10">
        <f>G75*0.2</f>
        <v>107.24600000000001</v>
      </c>
      <c r="L75" s="121">
        <f t="shared" si="13"/>
        <v>107.24600000000001</v>
      </c>
    </row>
    <row r="76" spans="1:12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16"/>
        <v>0.91185000000000005</v>
      </c>
      <c r="I76" s="10">
        <v>0</v>
      </c>
      <c r="J76" s="10">
        <v>0</v>
      </c>
      <c r="K76" s="10">
        <v>0</v>
      </c>
      <c r="L76" s="121">
        <f t="shared" si="13"/>
        <v>0</v>
      </c>
    </row>
    <row r="77" spans="1:12" ht="15.75" customHeight="1">
      <c r="A77" s="22">
        <v>20</v>
      </c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16"/>
        <v>0.38324999999999998</v>
      </c>
      <c r="I77" s="10">
        <v>0</v>
      </c>
      <c r="J77" s="10">
        <f>G77</f>
        <v>383.25</v>
      </c>
      <c r="K77" s="10">
        <v>0</v>
      </c>
      <c r="L77" s="121">
        <f t="shared" si="13"/>
        <v>383.25</v>
      </c>
    </row>
    <row r="78" spans="1:12" ht="15.75" hidden="1" customHeight="1">
      <c r="A78" s="22"/>
      <c r="B78" s="89" t="s">
        <v>78</v>
      </c>
      <c r="C78" s="13"/>
      <c r="D78" s="11"/>
      <c r="E78" s="16"/>
      <c r="F78" s="10"/>
      <c r="G78" s="10" t="s">
        <v>158</v>
      </c>
      <c r="H78" s="68" t="s">
        <v>158</v>
      </c>
      <c r="I78" s="10"/>
      <c r="J78" s="10"/>
      <c r="K78" s="10"/>
      <c r="L78" s="10"/>
    </row>
    <row r="79" spans="1:12" ht="15.75" hidden="1" customHeight="1">
      <c r="A79" s="22"/>
      <c r="B79" s="37" t="s">
        <v>109</v>
      </c>
      <c r="C79" s="13" t="s">
        <v>79</v>
      </c>
      <c r="D79" s="11"/>
      <c r="E79" s="16"/>
      <c r="F79" s="10">
        <v>0.1</v>
      </c>
      <c r="G79" s="10">
        <v>2949.85</v>
      </c>
      <c r="H79" s="68">
        <f t="shared" ref="H79" si="17">SUM(F79*G79/1000)</f>
        <v>0.294985</v>
      </c>
      <c r="I79" s="10">
        <v>0</v>
      </c>
      <c r="J79" s="10">
        <v>0</v>
      </c>
      <c r="K79" s="10">
        <v>0</v>
      </c>
      <c r="L79" s="121">
        <f t="shared" ref="L79:L81" si="18">SUM(I79:K79)</f>
        <v>0</v>
      </c>
    </row>
    <row r="80" spans="1:12" ht="15.75" hidden="1" customHeight="1">
      <c r="A80" s="22"/>
      <c r="B80" s="104" t="s">
        <v>98</v>
      </c>
      <c r="C80" s="89"/>
      <c r="D80" s="24"/>
      <c r="E80" s="25"/>
      <c r="F80" s="75"/>
      <c r="G80" s="75"/>
      <c r="H80" s="90">
        <f>SUM(H58:H79)</f>
        <v>112.00861796600002</v>
      </c>
      <c r="I80" s="75"/>
      <c r="J80" s="75"/>
      <c r="K80" s="75"/>
      <c r="L80" s="75"/>
    </row>
    <row r="81" spans="1:12" ht="15.75" hidden="1" customHeight="1">
      <c r="A81" s="94">
        <v>43</v>
      </c>
      <c r="B81" s="69" t="s">
        <v>106</v>
      </c>
      <c r="C81" s="13"/>
      <c r="D81" s="11"/>
      <c r="E81" s="61"/>
      <c r="F81" s="10">
        <v>1</v>
      </c>
      <c r="G81" s="10">
        <v>20408</v>
      </c>
      <c r="H81" s="68">
        <f>G81*F81/1000</f>
        <v>20.408000000000001</v>
      </c>
      <c r="I81" s="10">
        <v>0</v>
      </c>
      <c r="J81" s="10">
        <f>G81</f>
        <v>20408</v>
      </c>
      <c r="K81" s="10">
        <v>0</v>
      </c>
      <c r="L81" s="121">
        <f t="shared" si="18"/>
        <v>20408</v>
      </c>
    </row>
    <row r="82" spans="1:12" ht="15.75" customHeight="1">
      <c r="A82" s="172" t="s">
        <v>152</v>
      </c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6"/>
    </row>
    <row r="83" spans="1:12" ht="15.75" customHeight="1">
      <c r="A83" s="96">
        <v>21</v>
      </c>
      <c r="B83" s="69" t="s">
        <v>107</v>
      </c>
      <c r="C83" s="13" t="s">
        <v>56</v>
      </c>
      <c r="D83" s="40" t="s">
        <v>57</v>
      </c>
      <c r="E83" s="10">
        <v>2820</v>
      </c>
      <c r="F83" s="10">
        <f>SUM(E83*12)</f>
        <v>33840</v>
      </c>
      <c r="G83" s="10">
        <v>2.54</v>
      </c>
      <c r="H83" s="68">
        <f>SUM(F83*G83/1000)</f>
        <v>85.953600000000009</v>
      </c>
      <c r="I83" s="10">
        <f>F83/12*G83</f>
        <v>7162.8</v>
      </c>
      <c r="J83" s="10">
        <f>F83/12*G83</f>
        <v>7162.8</v>
      </c>
      <c r="K83" s="10">
        <f>F83/12*G83</f>
        <v>7162.8</v>
      </c>
      <c r="L83" s="121">
        <f t="shared" ref="L83:L84" si="19">SUM(I83:K83)</f>
        <v>21488.400000000001</v>
      </c>
    </row>
    <row r="84" spans="1:12" ht="31.5" customHeight="1">
      <c r="A84" s="22">
        <v>22</v>
      </c>
      <c r="B84" s="11" t="s">
        <v>80</v>
      </c>
      <c r="C84" s="13"/>
      <c r="D84" s="40" t="s">
        <v>57</v>
      </c>
      <c r="E84" s="71">
        <v>2820</v>
      </c>
      <c r="F84" s="10">
        <f>E84*12</f>
        <v>33840</v>
      </c>
      <c r="G84" s="10">
        <v>2.0499999999999998</v>
      </c>
      <c r="H84" s="68">
        <f>F84*G84/1000</f>
        <v>69.372</v>
      </c>
      <c r="I84" s="10">
        <f>F84/12*G84</f>
        <v>5780.9999999999991</v>
      </c>
      <c r="J84" s="10">
        <f>F84/12*G84</f>
        <v>5780.9999999999991</v>
      </c>
      <c r="K84" s="10">
        <f>F84/12*G84</f>
        <v>5780.9999999999991</v>
      </c>
      <c r="L84" s="121">
        <f t="shared" si="19"/>
        <v>17342.999999999996</v>
      </c>
    </row>
    <row r="85" spans="1:12" ht="15.75" customHeight="1">
      <c r="A85" s="22"/>
      <c r="B85" s="29" t="s">
        <v>84</v>
      </c>
      <c r="C85" s="13"/>
      <c r="D85" s="40"/>
      <c r="E85" s="61"/>
      <c r="F85" s="10"/>
      <c r="G85" s="10"/>
      <c r="H85" s="68"/>
      <c r="I85" s="10"/>
      <c r="J85" s="112"/>
      <c r="K85" s="112"/>
      <c r="L85" s="122">
        <f>L16+L17+L18+L20+L21+L26+L27+L30+L31+L33+L45+L46+L47+L48+L49+L50+L54+L55+L71+L77+L83+L84</f>
        <v>125546.2498515</v>
      </c>
    </row>
    <row r="86" spans="1:12" ht="15.75" customHeight="1">
      <c r="A86" s="183" t="s">
        <v>62</v>
      </c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5"/>
    </row>
    <row r="87" spans="1:12" ht="15.75" customHeight="1">
      <c r="A87" s="22">
        <v>23</v>
      </c>
      <c r="B87" s="41" t="s">
        <v>195</v>
      </c>
      <c r="C87" s="42" t="s">
        <v>110</v>
      </c>
      <c r="D87" s="22"/>
      <c r="E87" s="16"/>
      <c r="F87" s="16">
        <f>(3+3+3+3+3+3+3+3+15+20+15+20+10+10+20+15+10+20+3)/3</f>
        <v>60.666666666666664</v>
      </c>
      <c r="G87" s="16">
        <v>1120.8900000000001</v>
      </c>
      <c r="H87" s="65">
        <f t="shared" ref="H87:H99" si="20">G87*F87/1000</f>
        <v>68.000660000000011</v>
      </c>
      <c r="I87" s="10">
        <v>0</v>
      </c>
      <c r="J87" s="10">
        <v>0</v>
      </c>
      <c r="K87" s="10">
        <f>G87</f>
        <v>1120.8900000000001</v>
      </c>
      <c r="L87" s="121">
        <f t="shared" ref="L87:L99" si="21">SUM(I87:K87)</f>
        <v>1120.8900000000001</v>
      </c>
    </row>
    <row r="88" spans="1:12" ht="31.5" customHeight="1">
      <c r="A88" s="22">
        <v>24</v>
      </c>
      <c r="B88" s="43" t="s">
        <v>83</v>
      </c>
      <c r="C88" s="22" t="s">
        <v>30</v>
      </c>
      <c r="D88" s="22"/>
      <c r="E88" s="16"/>
      <c r="F88" s="16">
        <v>2</v>
      </c>
      <c r="G88" s="16">
        <v>83.36</v>
      </c>
      <c r="H88" s="65">
        <f t="shared" si="20"/>
        <v>0.16672000000000001</v>
      </c>
      <c r="I88" s="10">
        <v>0</v>
      </c>
      <c r="J88" s="10">
        <f>G88</f>
        <v>83.36</v>
      </c>
      <c r="K88" s="10">
        <v>0</v>
      </c>
      <c r="L88" s="121">
        <f t="shared" si="21"/>
        <v>83.36</v>
      </c>
    </row>
    <row r="89" spans="1:12" ht="15.75" customHeight="1">
      <c r="A89" s="22">
        <v>25</v>
      </c>
      <c r="B89" s="123" t="s">
        <v>142</v>
      </c>
      <c r="C89" s="22" t="s">
        <v>30</v>
      </c>
      <c r="D89" s="22"/>
      <c r="E89" s="16"/>
      <c r="F89" s="16">
        <v>11.5</v>
      </c>
      <c r="G89" s="16">
        <v>1582</v>
      </c>
      <c r="H89" s="65">
        <f t="shared" si="20"/>
        <v>18.193000000000001</v>
      </c>
      <c r="I89" s="10">
        <v>0</v>
      </c>
      <c r="J89" s="10">
        <f>G89*2</f>
        <v>3164</v>
      </c>
      <c r="K89" s="10">
        <f>G89*1.5</f>
        <v>2373</v>
      </c>
      <c r="L89" s="121">
        <f t="shared" si="21"/>
        <v>5537</v>
      </c>
    </row>
    <row r="90" spans="1:12" ht="31.5" customHeight="1">
      <c r="A90" s="22">
        <v>26</v>
      </c>
      <c r="B90" s="43" t="s">
        <v>197</v>
      </c>
      <c r="C90" s="44" t="s">
        <v>85</v>
      </c>
      <c r="D90" s="22"/>
      <c r="E90" s="16"/>
      <c r="F90" s="16">
        <v>20.2</v>
      </c>
      <c r="G90" s="16">
        <v>1183.51</v>
      </c>
      <c r="H90" s="65">
        <f t="shared" si="20"/>
        <v>23.906901999999999</v>
      </c>
      <c r="I90" s="10">
        <f>G90*14</f>
        <v>16569.14</v>
      </c>
      <c r="J90" s="10">
        <v>0</v>
      </c>
      <c r="K90" s="10">
        <v>0</v>
      </c>
      <c r="L90" s="121">
        <f t="shared" si="21"/>
        <v>16569.14</v>
      </c>
    </row>
    <row r="91" spans="1:12" ht="15.75" customHeight="1">
      <c r="A91" s="22">
        <v>27</v>
      </c>
      <c r="B91" s="43" t="s">
        <v>86</v>
      </c>
      <c r="C91" s="44" t="s">
        <v>102</v>
      </c>
      <c r="D91" s="22"/>
      <c r="E91" s="16"/>
      <c r="F91" s="16">
        <v>5</v>
      </c>
      <c r="G91" s="16">
        <v>189.88</v>
      </c>
      <c r="H91" s="65">
        <f>G91*F91/1000</f>
        <v>0.94940000000000002</v>
      </c>
      <c r="I91" s="10">
        <v>0</v>
      </c>
      <c r="J91" s="10">
        <v>0</v>
      </c>
      <c r="K91" s="10">
        <f>G91*5</f>
        <v>949.4</v>
      </c>
      <c r="L91" s="121">
        <f>SUM(I91:K91)</f>
        <v>949.4</v>
      </c>
    </row>
    <row r="92" spans="1:12" ht="31.5" customHeight="1">
      <c r="A92" s="22">
        <v>28</v>
      </c>
      <c r="B92" s="43" t="s">
        <v>198</v>
      </c>
      <c r="C92" s="44" t="s">
        <v>199</v>
      </c>
      <c r="D92" s="37"/>
      <c r="E92" s="10"/>
      <c r="F92" s="10">
        <v>4</v>
      </c>
      <c r="G92" s="10">
        <v>54.17</v>
      </c>
      <c r="H92" s="10">
        <f t="shared" si="20"/>
        <v>0.21668000000000001</v>
      </c>
      <c r="I92" s="10">
        <f>G92*2</f>
        <v>108.34</v>
      </c>
      <c r="J92" s="10">
        <v>0</v>
      </c>
      <c r="K92" s="10">
        <v>0</v>
      </c>
      <c r="L92" s="121">
        <f t="shared" si="21"/>
        <v>108.34</v>
      </c>
    </row>
    <row r="93" spans="1:12" ht="31.5" customHeight="1">
      <c r="A93" s="22">
        <v>29</v>
      </c>
      <c r="B93" s="43" t="s">
        <v>141</v>
      </c>
      <c r="C93" s="44" t="s">
        <v>38</v>
      </c>
      <c r="D93" s="37"/>
      <c r="E93" s="10"/>
      <c r="F93" s="10">
        <v>0.02</v>
      </c>
      <c r="G93" s="10">
        <v>3581.13</v>
      </c>
      <c r="H93" s="68">
        <f>G93*F93/1000</f>
        <v>7.1622600000000008E-2</v>
      </c>
      <c r="I93" s="10">
        <v>0</v>
      </c>
      <c r="J93" s="10">
        <v>0</v>
      </c>
      <c r="K93" s="10">
        <f>G93*0.01</f>
        <v>35.811300000000003</v>
      </c>
      <c r="L93" s="121">
        <f t="shared" si="21"/>
        <v>35.811300000000003</v>
      </c>
    </row>
    <row r="94" spans="1:12" ht="15.75" customHeight="1">
      <c r="A94" s="22">
        <v>30</v>
      </c>
      <c r="B94" s="43" t="s">
        <v>208</v>
      </c>
      <c r="C94" s="44" t="s">
        <v>201</v>
      </c>
      <c r="D94" s="22"/>
      <c r="E94" s="16"/>
      <c r="F94" s="16">
        <v>1</v>
      </c>
      <c r="G94" s="16">
        <v>520.51</v>
      </c>
      <c r="H94" s="68">
        <f t="shared" si="20"/>
        <v>0.52051000000000003</v>
      </c>
      <c r="I94" s="10">
        <f>G94</f>
        <v>520.51</v>
      </c>
      <c r="J94" s="10">
        <v>0</v>
      </c>
      <c r="K94" s="10">
        <v>0</v>
      </c>
      <c r="L94" s="121">
        <f t="shared" si="21"/>
        <v>520.51</v>
      </c>
    </row>
    <row r="95" spans="1:12" ht="15.75" customHeight="1">
      <c r="A95" s="22">
        <v>31</v>
      </c>
      <c r="B95" s="43" t="s">
        <v>170</v>
      </c>
      <c r="C95" s="44" t="s">
        <v>171</v>
      </c>
      <c r="D95" s="22"/>
      <c r="E95" s="16"/>
      <c r="F95" s="16">
        <v>2</v>
      </c>
      <c r="G95" s="16">
        <v>206.54</v>
      </c>
      <c r="H95" s="68">
        <f t="shared" si="20"/>
        <v>0.41308</v>
      </c>
      <c r="I95" s="10">
        <v>0</v>
      </c>
      <c r="J95" s="10">
        <f>G95*2</f>
        <v>413.08</v>
      </c>
      <c r="K95" s="10">
        <v>0</v>
      </c>
      <c r="L95" s="121">
        <f t="shared" si="21"/>
        <v>413.08</v>
      </c>
    </row>
    <row r="96" spans="1:12" ht="31.5" customHeight="1">
      <c r="A96" s="22">
        <v>32</v>
      </c>
      <c r="B96" s="43" t="s">
        <v>167</v>
      </c>
      <c r="C96" s="44" t="s">
        <v>85</v>
      </c>
      <c r="D96" s="37"/>
      <c r="E96" s="10"/>
      <c r="F96" s="10">
        <v>1</v>
      </c>
      <c r="G96" s="10">
        <v>1146</v>
      </c>
      <c r="H96" s="68">
        <f t="shared" si="20"/>
        <v>1.1459999999999999</v>
      </c>
      <c r="I96" s="10">
        <v>0</v>
      </c>
      <c r="J96" s="10">
        <f>G96</f>
        <v>1146</v>
      </c>
      <c r="K96" s="10">
        <v>0</v>
      </c>
      <c r="L96" s="121">
        <f t="shared" si="21"/>
        <v>1146</v>
      </c>
    </row>
    <row r="97" spans="1:12" ht="31.5" customHeight="1">
      <c r="A97" s="22">
        <v>33</v>
      </c>
      <c r="B97" s="43" t="s">
        <v>209</v>
      </c>
      <c r="C97" s="44" t="s">
        <v>28</v>
      </c>
      <c r="D97" s="37"/>
      <c r="E97" s="10"/>
      <c r="F97" s="14">
        <v>1E-3</v>
      </c>
      <c r="G97" s="10">
        <v>1591.6</v>
      </c>
      <c r="H97" s="68">
        <f t="shared" si="20"/>
        <v>1.5915999999999999E-3</v>
      </c>
      <c r="I97" s="10">
        <v>0</v>
      </c>
      <c r="J97" s="10">
        <f>G97*0.001</f>
        <v>1.5915999999999999</v>
      </c>
      <c r="K97" s="10">
        <v>0</v>
      </c>
      <c r="L97" s="121">
        <f t="shared" si="21"/>
        <v>1.5915999999999999</v>
      </c>
    </row>
    <row r="98" spans="1:12" ht="15.75" customHeight="1">
      <c r="A98" s="124">
        <v>34</v>
      </c>
      <c r="B98" s="66" t="s">
        <v>168</v>
      </c>
      <c r="C98" s="22" t="s">
        <v>102</v>
      </c>
      <c r="D98" s="37"/>
      <c r="E98" s="10"/>
      <c r="F98" s="10">
        <v>2</v>
      </c>
      <c r="G98" s="10">
        <v>185.08</v>
      </c>
      <c r="H98" s="68">
        <f t="shared" si="20"/>
        <v>0.37016000000000004</v>
      </c>
      <c r="I98" s="10">
        <v>0</v>
      </c>
      <c r="J98" s="10">
        <f>G98</f>
        <v>185.08</v>
      </c>
      <c r="K98" s="10">
        <f>G98</f>
        <v>185.08</v>
      </c>
      <c r="L98" s="121">
        <f t="shared" si="21"/>
        <v>370.16</v>
      </c>
    </row>
    <row r="99" spans="1:12" ht="31.5" customHeight="1">
      <c r="A99" s="22">
        <v>35</v>
      </c>
      <c r="B99" s="43" t="s">
        <v>210</v>
      </c>
      <c r="C99" s="44" t="s">
        <v>169</v>
      </c>
      <c r="D99" s="11"/>
      <c r="E99" s="16"/>
      <c r="F99" s="10">
        <f>(3)/10</f>
        <v>0.3</v>
      </c>
      <c r="G99" s="10">
        <v>5945.91</v>
      </c>
      <c r="H99" s="68">
        <f t="shared" si="20"/>
        <v>1.7837729999999998</v>
      </c>
      <c r="I99" s="95">
        <v>0</v>
      </c>
      <c r="J99" s="95">
        <v>0</v>
      </c>
      <c r="K99" s="95">
        <f>G99*(3/10)</f>
        <v>1783.7729999999999</v>
      </c>
      <c r="L99" s="121">
        <f t="shared" si="21"/>
        <v>1783.7729999999999</v>
      </c>
    </row>
    <row r="100" spans="1:12" ht="15.75" customHeight="1">
      <c r="A100" s="22"/>
      <c r="B100" s="29" t="s">
        <v>84</v>
      </c>
      <c r="C100" s="89"/>
      <c r="D100" s="88"/>
      <c r="E100" s="75"/>
      <c r="F100" s="75"/>
      <c r="G100" s="75"/>
      <c r="H100" s="75"/>
      <c r="I100" s="75"/>
      <c r="J100" s="75"/>
      <c r="K100" s="112"/>
      <c r="L100" s="75">
        <f>L87+L88+L89+L90+L91+L92+L93+L94+L95+L96+L97+L98+L99</f>
        <v>28639.055900000003</v>
      </c>
    </row>
    <row r="101" spans="1:12" ht="15.75" customHeight="1">
      <c r="A101" s="22"/>
      <c r="B101" s="37" t="s">
        <v>81</v>
      </c>
      <c r="C101" s="12"/>
      <c r="D101" s="12"/>
      <c r="E101" s="32"/>
      <c r="F101" s="32"/>
      <c r="G101" s="33"/>
      <c r="H101" s="33"/>
      <c r="I101" s="33"/>
      <c r="J101" s="33"/>
      <c r="K101" s="112"/>
      <c r="L101" s="15">
        <v>0</v>
      </c>
    </row>
    <row r="102" spans="1:12" ht="15.75" customHeight="1">
      <c r="A102" s="39"/>
      <c r="B102" s="36" t="s">
        <v>266</v>
      </c>
      <c r="C102" s="26"/>
      <c r="D102" s="26"/>
      <c r="E102" s="26"/>
      <c r="F102" s="26"/>
      <c r="G102" s="26"/>
      <c r="H102" s="26"/>
      <c r="I102" s="122">
        <f>I16+I17+I18+I20+I21+I26+I27+I30+I31+I33+I45+I46+I47+I48+I49+I50+I54+I55+I71+I77+I83+I84+I87+I88+I89+I90+I91+I92+I93+I94+I95+I96+I97+I98+I99</f>
        <v>51390.102598666665</v>
      </c>
      <c r="J102" s="122">
        <f t="shared" ref="J102:K102" si="22">J16+J17+J18+J20+J21+J26+J27+J30+J31+J33+J45+J46+J47+J48+J49+J50+J54+J55+J71+J77+J83+J84+J87+J88+J89+J90+J91+J92+J93+J94+J95+J96+J97+J98+J99</f>
        <v>39562.236388666672</v>
      </c>
      <c r="K102" s="122">
        <f t="shared" si="22"/>
        <v>63232.966764166682</v>
      </c>
      <c r="L102" s="34">
        <f>L85+L100</f>
        <v>154185.30575150001</v>
      </c>
    </row>
    <row r="103" spans="1:12" ht="15.75" customHeight="1">
      <c r="A103" s="178" t="s">
        <v>220</v>
      </c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</row>
    <row r="104" spans="1:12" ht="15.75" customHeight="1">
      <c r="A104" s="113"/>
      <c r="B104" s="166" t="s">
        <v>221</v>
      </c>
      <c r="C104" s="166"/>
      <c r="D104" s="166"/>
      <c r="E104" s="166"/>
      <c r="F104" s="166"/>
      <c r="G104" s="166"/>
      <c r="H104" s="114"/>
      <c r="I104" s="114"/>
      <c r="J104" s="114"/>
      <c r="K104" s="149"/>
      <c r="L104" s="115"/>
    </row>
    <row r="105" spans="1:12" ht="15.75" customHeight="1">
      <c r="A105" s="111"/>
      <c r="B105" s="167" t="s">
        <v>6</v>
      </c>
      <c r="C105" s="167"/>
      <c r="D105" s="167"/>
      <c r="E105" s="167"/>
      <c r="F105" s="167"/>
      <c r="G105" s="167"/>
      <c r="H105" s="116"/>
      <c r="I105" s="116"/>
      <c r="J105" s="116"/>
      <c r="K105" s="116"/>
      <c r="L105" s="115"/>
    </row>
    <row r="106" spans="1:12" ht="15.75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</row>
    <row r="107" spans="1:12" ht="15.75" customHeight="1">
      <c r="A107" s="168" t="s">
        <v>7</v>
      </c>
      <c r="B107" s="168"/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</row>
    <row r="108" spans="1:12" ht="15.75">
      <c r="A108" s="169" t="s">
        <v>8</v>
      </c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</row>
    <row r="109" spans="1:12" ht="15.75" customHeight="1">
      <c r="A109" s="164" t="s">
        <v>191</v>
      </c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</row>
    <row r="110" spans="1:12" ht="15.75">
      <c r="A110" s="8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ht="15.75">
      <c r="A111" s="170" t="s">
        <v>9</v>
      </c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</row>
    <row r="112" spans="1:12" ht="15.75">
      <c r="A112" s="3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ht="15.75" customHeight="1">
      <c r="A113" s="164" t="s">
        <v>10</v>
      </c>
      <c r="B113" s="164"/>
      <c r="C113" s="177" t="s">
        <v>147</v>
      </c>
      <c r="D113" s="161"/>
      <c r="E113" s="161"/>
      <c r="F113" s="161"/>
      <c r="G113" s="161"/>
      <c r="H113" s="161"/>
      <c r="I113" s="161"/>
      <c r="J113" s="117"/>
      <c r="K113" s="160"/>
      <c r="L113" s="161"/>
    </row>
    <row r="114" spans="1:12" ht="15.75" customHeight="1">
      <c r="A114" s="118"/>
      <c r="B114" s="119"/>
      <c r="C114" s="162" t="s">
        <v>11</v>
      </c>
      <c r="D114" s="163"/>
      <c r="E114" s="163"/>
      <c r="F114" s="163"/>
      <c r="G114" s="163"/>
      <c r="H114" s="163"/>
      <c r="I114" s="163"/>
      <c r="K114" s="162" t="s">
        <v>12</v>
      </c>
      <c r="L114" s="163"/>
    </row>
    <row r="115" spans="1:12" ht="15.75" customHeight="1">
      <c r="A115" s="120"/>
      <c r="B115" s="119"/>
      <c r="F115" s="9"/>
      <c r="G115" s="9"/>
      <c r="I115" s="9"/>
      <c r="J115" s="9"/>
      <c r="K115" s="9"/>
    </row>
    <row r="116" spans="1:12" ht="15.75" customHeight="1">
      <c r="A116" s="164" t="s">
        <v>13</v>
      </c>
      <c r="B116" s="164"/>
      <c r="C116" s="161"/>
      <c r="D116" s="161"/>
      <c r="E116" s="161"/>
      <c r="F116" s="161"/>
      <c r="G116" s="161"/>
      <c r="H116" s="161"/>
      <c r="I116" s="161"/>
      <c r="K116" s="161"/>
      <c r="L116" s="161"/>
    </row>
    <row r="117" spans="1:12">
      <c r="A117" s="107"/>
      <c r="C117" s="162" t="s">
        <v>11</v>
      </c>
      <c r="D117" s="162"/>
      <c r="E117" s="162"/>
      <c r="F117" s="162"/>
      <c r="G117" s="162"/>
      <c r="H117" s="162"/>
      <c r="I117" s="162"/>
      <c r="K117" s="162" t="s">
        <v>12</v>
      </c>
      <c r="L117" s="163"/>
    </row>
    <row r="118" spans="1:12" ht="15.75">
      <c r="A118" s="3" t="s">
        <v>14</v>
      </c>
    </row>
    <row r="119" spans="1:12">
      <c r="A119" s="165" t="s">
        <v>15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</row>
    <row r="120" spans="1:12" ht="30" customHeight="1">
      <c r="A120" s="159" t="s">
        <v>16</v>
      </c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</row>
    <row r="121" spans="1:12" ht="30" customHeight="1">
      <c r="A121" s="159" t="s">
        <v>17</v>
      </c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</row>
    <row r="122" spans="1:12" ht="30" customHeight="1">
      <c r="A122" s="159" t="s">
        <v>21</v>
      </c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</row>
    <row r="123" spans="1:12" ht="15" customHeight="1">
      <c r="A123" s="159" t="s">
        <v>20</v>
      </c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</row>
  </sheetData>
  <mergeCells count="34">
    <mergeCell ref="A14:L14"/>
    <mergeCell ref="A3:L3"/>
    <mergeCell ref="A4:L4"/>
    <mergeCell ref="A5:L5"/>
    <mergeCell ref="A8:L8"/>
    <mergeCell ref="A10:L10"/>
    <mergeCell ref="A109:L109"/>
    <mergeCell ref="A15:L15"/>
    <mergeCell ref="A28:L28"/>
    <mergeCell ref="A44:L44"/>
    <mergeCell ref="A56:L56"/>
    <mergeCell ref="A82:L82"/>
    <mergeCell ref="A86:L86"/>
    <mergeCell ref="A103:L103"/>
    <mergeCell ref="B104:G104"/>
    <mergeCell ref="B105:G105"/>
    <mergeCell ref="A107:L107"/>
    <mergeCell ref="A108:L108"/>
    <mergeCell ref="A111:L111"/>
    <mergeCell ref="A113:B113"/>
    <mergeCell ref="C113:I113"/>
    <mergeCell ref="K113:L113"/>
    <mergeCell ref="C114:I114"/>
    <mergeCell ref="K114:L114"/>
    <mergeCell ref="A120:L120"/>
    <mergeCell ref="A121:L121"/>
    <mergeCell ref="A122:L122"/>
    <mergeCell ref="A123:L123"/>
    <mergeCell ref="A116:B116"/>
    <mergeCell ref="C116:I116"/>
    <mergeCell ref="K116:L116"/>
    <mergeCell ref="C117:I117"/>
    <mergeCell ref="K117:L117"/>
    <mergeCell ref="A119:L119"/>
  </mergeCells>
  <printOptions horizontalCentered="1"/>
  <pageMargins left="0.51181102362204722" right="0.31496062992125984" top="0.27559055118110237" bottom="0.27559055118110237" header="0.31496062992125984" footer="0.31496062992125984"/>
  <pageSetup paperSize="9" scale="5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0"/>
  <sheetViews>
    <sheetView zoomScale="90" zoomScaleNormal="90" workbookViewId="0">
      <selection activeCell="A3" sqref="A3:L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9.140625" hidden="1" customWidth="1"/>
    <col min="7" max="7" width="18" customWidth="1"/>
    <col min="8" max="8" width="18" hidden="1" customWidth="1"/>
    <col min="9" max="9" width="18" customWidth="1"/>
    <col min="10" max="11" width="18" hidden="1" customWidth="1"/>
    <col min="12" max="12" width="18.28515625" customWidth="1"/>
  </cols>
  <sheetData>
    <row r="1" spans="1:12" ht="15.75">
      <c r="A1" s="20" t="s">
        <v>90</v>
      </c>
      <c r="I1" s="19"/>
    </row>
    <row r="2" spans="1:12" ht="15.75">
      <c r="A2" s="21" t="s">
        <v>64</v>
      </c>
    </row>
    <row r="3" spans="1:12" ht="15.75">
      <c r="A3" s="171" t="s">
        <v>227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1:12" ht="15.75">
      <c r="A5" s="171" t="s">
        <v>228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2" ht="15.75">
      <c r="A6" s="1"/>
      <c r="B6" s="126"/>
      <c r="C6" s="126"/>
      <c r="D6" s="126"/>
      <c r="E6" s="126"/>
      <c r="F6" s="126"/>
      <c r="G6" s="126"/>
      <c r="H6" s="126"/>
      <c r="L6" s="23">
        <v>43039</v>
      </c>
    </row>
    <row r="7" spans="1:12" ht="15.75">
      <c r="B7" s="125"/>
      <c r="C7" s="125"/>
      <c r="D7" s="125"/>
      <c r="E7" s="2"/>
      <c r="F7" s="2"/>
      <c r="G7" s="2"/>
      <c r="H7" s="2"/>
    </row>
    <row r="8" spans="1:12" ht="78.75" customHeight="1">
      <c r="A8" s="180" t="s">
        <v>264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</row>
    <row r="9" spans="1:12" ht="15.75">
      <c r="A9" s="3"/>
    </row>
    <row r="10" spans="1:12" ht="47.25" customHeight="1">
      <c r="A10" s="179" t="s">
        <v>149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</row>
    <row r="11" spans="1:12" ht="15.75">
      <c r="A11" s="3"/>
    </row>
    <row r="12" spans="1:12" ht="79.5" customHeight="1">
      <c r="A12" s="12" t="s">
        <v>0</v>
      </c>
      <c r="B12" s="12" t="s">
        <v>185</v>
      </c>
      <c r="C12" s="12" t="s">
        <v>2</v>
      </c>
      <c r="D12" s="12" t="s">
        <v>18</v>
      </c>
      <c r="E12" s="12" t="s">
        <v>19</v>
      </c>
      <c r="F12" s="12"/>
      <c r="G12" s="12" t="s">
        <v>22</v>
      </c>
      <c r="H12" s="12"/>
      <c r="I12" s="12" t="s">
        <v>229</v>
      </c>
      <c r="J12" s="12" t="s">
        <v>230</v>
      </c>
      <c r="K12" s="12" t="s">
        <v>231</v>
      </c>
      <c r="L12" s="12" t="s">
        <v>232</v>
      </c>
    </row>
    <row r="13" spans="1:12">
      <c r="A13" s="108">
        <v>1</v>
      </c>
      <c r="B13" s="108">
        <v>2</v>
      </c>
      <c r="C13" s="108">
        <v>3</v>
      </c>
      <c r="D13" s="109">
        <v>4</v>
      </c>
      <c r="E13" s="108">
        <v>5</v>
      </c>
      <c r="F13" s="108"/>
      <c r="G13" s="108">
        <v>5</v>
      </c>
      <c r="H13" s="108"/>
      <c r="I13" s="108">
        <v>6</v>
      </c>
      <c r="J13" s="108">
        <v>7</v>
      </c>
      <c r="K13" s="108">
        <v>8</v>
      </c>
      <c r="L13" s="108">
        <v>7</v>
      </c>
    </row>
    <row r="14" spans="1:12" ht="15" customHeight="1">
      <c r="A14" s="182" t="s">
        <v>61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4"/>
    </row>
    <row r="15" spans="1:12" ht="15" customHeight="1">
      <c r="A15" s="172" t="s">
        <v>4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4"/>
    </row>
    <row r="16" spans="1:12" ht="15.75" customHeight="1">
      <c r="A16" s="96">
        <v>1</v>
      </c>
      <c r="B16" s="69" t="s">
        <v>114</v>
      </c>
      <c r="C16" s="70" t="s">
        <v>92</v>
      </c>
      <c r="D16" s="69" t="s">
        <v>233</v>
      </c>
      <c r="E16" s="71">
        <v>43.36</v>
      </c>
      <c r="F16" s="72">
        <f>SUM(E16*156/100)</f>
        <v>67.641599999999997</v>
      </c>
      <c r="G16" s="72">
        <v>230</v>
      </c>
      <c r="H16" s="73">
        <f t="shared" ref="H16:H25" si="0">SUM(F16*G16/1000)</f>
        <v>15.557568</v>
      </c>
      <c r="I16" s="10">
        <f>F16/12*G16</f>
        <v>1296.4639999999999</v>
      </c>
      <c r="J16" s="10">
        <f>F16/12*G16</f>
        <v>1296.4639999999999</v>
      </c>
      <c r="K16" s="10">
        <f>F16/12*G16</f>
        <v>1296.4639999999999</v>
      </c>
      <c r="L16" s="121">
        <f>SUM(I16)</f>
        <v>1296.4639999999999</v>
      </c>
    </row>
    <row r="17" spans="1:12" ht="15.75" customHeight="1">
      <c r="A17" s="22">
        <v>2</v>
      </c>
      <c r="B17" s="69" t="s">
        <v>116</v>
      </c>
      <c r="C17" s="70" t="s">
        <v>92</v>
      </c>
      <c r="D17" s="69" t="s">
        <v>234</v>
      </c>
      <c r="E17" s="71">
        <v>173.44</v>
      </c>
      <c r="F17" s="72">
        <f>SUM(E17*104/100)</f>
        <v>180.37759999999997</v>
      </c>
      <c r="G17" s="72">
        <v>230</v>
      </c>
      <c r="H17" s="73">
        <f t="shared" si="0"/>
        <v>41.486847999999988</v>
      </c>
      <c r="I17" s="10">
        <f>F17/12*G17</f>
        <v>3457.237333333333</v>
      </c>
      <c r="J17" s="10">
        <f>F17/12*G17</f>
        <v>3457.237333333333</v>
      </c>
      <c r="K17" s="10">
        <f>F17/12*G17</f>
        <v>3457.237333333333</v>
      </c>
      <c r="L17" s="121">
        <f t="shared" ref="L17:L27" si="1">SUM(I17)</f>
        <v>3457.237333333333</v>
      </c>
    </row>
    <row r="18" spans="1:12" ht="15.75" customHeight="1">
      <c r="A18" s="22">
        <v>3</v>
      </c>
      <c r="B18" s="69" t="s">
        <v>118</v>
      </c>
      <c r="C18" s="70" t="s">
        <v>92</v>
      </c>
      <c r="D18" s="69" t="s">
        <v>235</v>
      </c>
      <c r="E18" s="71">
        <f>SUM(E16+E17)</f>
        <v>216.8</v>
      </c>
      <c r="F18" s="72">
        <f>SUM(E18*24/100)</f>
        <v>52.032000000000011</v>
      </c>
      <c r="G18" s="72">
        <v>661.67</v>
      </c>
      <c r="H18" s="73">
        <f t="shared" si="0"/>
        <v>34.428013440000001</v>
      </c>
      <c r="I18" s="10">
        <f>F18/12*G18</f>
        <v>2869.0011200000008</v>
      </c>
      <c r="J18" s="10">
        <f>F18/12*G18</f>
        <v>2869.0011200000008</v>
      </c>
      <c r="K18" s="10">
        <f>F18/12*G18</f>
        <v>2869.0011200000008</v>
      </c>
      <c r="L18" s="121">
        <f t="shared" si="1"/>
        <v>2869.0011200000008</v>
      </c>
    </row>
    <row r="19" spans="1:12" ht="15.75" hidden="1" customHeight="1">
      <c r="A19" s="22">
        <v>4</v>
      </c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223.17</v>
      </c>
      <c r="H19" s="73">
        <f t="shared" si="0"/>
        <v>0.89267999999999992</v>
      </c>
      <c r="I19" s="10">
        <v>0</v>
      </c>
      <c r="J19" s="10">
        <f>F19/2*G19</f>
        <v>446.34</v>
      </c>
      <c r="K19" s="10">
        <v>0</v>
      </c>
      <c r="L19" s="121">
        <f t="shared" si="1"/>
        <v>0</v>
      </c>
    </row>
    <row r="20" spans="1:12" ht="15.75" hidden="1" customHeight="1">
      <c r="A20" s="22">
        <v>4</v>
      </c>
      <c r="B20" s="69" t="s">
        <v>122</v>
      </c>
      <c r="C20" s="70" t="s">
        <v>92</v>
      </c>
      <c r="D20" s="69" t="s">
        <v>43</v>
      </c>
      <c r="E20" s="71">
        <v>10.5</v>
      </c>
      <c r="F20" s="72">
        <f>SUM(E20*2/100)</f>
        <v>0.21</v>
      </c>
      <c r="G20" s="72">
        <v>285.76</v>
      </c>
      <c r="H20" s="73">
        <f t="shared" si="0"/>
        <v>6.0009599999999996E-2</v>
      </c>
      <c r="I20" s="10">
        <v>0</v>
      </c>
      <c r="J20" s="10">
        <f>F20/12*G20</f>
        <v>5.000799999999999</v>
      </c>
      <c r="K20" s="10">
        <f>F20/12*G20</f>
        <v>5.000799999999999</v>
      </c>
      <c r="L20" s="121">
        <f t="shared" si="1"/>
        <v>0</v>
      </c>
    </row>
    <row r="21" spans="1:12" ht="15.75" hidden="1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283.44</v>
      </c>
      <c r="H21" s="73">
        <f t="shared" si="0"/>
        <v>4.5917280000000012E-2</v>
      </c>
      <c r="I21" s="10">
        <v>0</v>
      </c>
      <c r="J21" s="10">
        <v>0</v>
      </c>
      <c r="K21" s="10">
        <f>F21/6*G21</f>
        <v>7.6528800000000015</v>
      </c>
      <c r="L21" s="121">
        <f t="shared" si="1"/>
        <v>0</v>
      </c>
    </row>
    <row r="22" spans="1:12" ht="15.75" hidden="1" customHeight="1">
      <c r="A22" s="22">
        <v>7</v>
      </c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353.14</v>
      </c>
      <c r="H22" s="73">
        <f t="shared" si="0"/>
        <v>1.2607097999999999</v>
      </c>
      <c r="I22" s="10">
        <v>0</v>
      </c>
      <c r="J22" s="10">
        <f>F22*G22</f>
        <v>1260.7097999999999</v>
      </c>
      <c r="K22" s="10">
        <v>0</v>
      </c>
      <c r="L22" s="121">
        <f t="shared" si="1"/>
        <v>0</v>
      </c>
    </row>
    <row r="23" spans="1:12" ht="15.75" hidden="1" customHeight="1">
      <c r="A23" s="22">
        <v>8</v>
      </c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58.08</v>
      </c>
      <c r="H23" s="73">
        <f t="shared" si="0"/>
        <v>2.2442112E-2</v>
      </c>
      <c r="I23" s="10">
        <v>0</v>
      </c>
      <c r="J23" s="10">
        <f t="shared" ref="J23:J25" si="2">F23*G23</f>
        <v>22.442112000000002</v>
      </c>
      <c r="K23" s="10">
        <v>0</v>
      </c>
      <c r="L23" s="121">
        <f t="shared" si="1"/>
        <v>0</v>
      </c>
    </row>
    <row r="24" spans="1:12" ht="15.75" hidden="1" customHeight="1">
      <c r="A24" s="22">
        <v>9</v>
      </c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511.12</v>
      </c>
      <c r="H24" s="73">
        <f t="shared" si="0"/>
        <v>7.6667999999999986E-2</v>
      </c>
      <c r="I24" s="10">
        <v>0</v>
      </c>
      <c r="J24" s="10">
        <f t="shared" si="2"/>
        <v>76.667999999999992</v>
      </c>
      <c r="K24" s="10">
        <v>0</v>
      </c>
      <c r="L24" s="121">
        <f t="shared" si="1"/>
        <v>0</v>
      </c>
    </row>
    <row r="25" spans="1:12" ht="15.75" hidden="1" customHeight="1">
      <c r="A25" s="22">
        <v>10</v>
      </c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683.05</v>
      </c>
      <c r="H25" s="73">
        <f t="shared" si="0"/>
        <v>4.3578589999999993E-2</v>
      </c>
      <c r="I25" s="10">
        <v>0</v>
      </c>
      <c r="J25" s="10">
        <f t="shared" si="2"/>
        <v>43.578589999999991</v>
      </c>
      <c r="K25" s="10">
        <v>0</v>
      </c>
      <c r="L25" s="121">
        <f t="shared" si="1"/>
        <v>0</v>
      </c>
    </row>
    <row r="26" spans="1:12" ht="15.75" customHeight="1">
      <c r="A26" s="22">
        <v>4</v>
      </c>
      <c r="B26" s="69" t="s">
        <v>66</v>
      </c>
      <c r="C26" s="70" t="s">
        <v>32</v>
      </c>
      <c r="D26" s="69" t="s">
        <v>236</v>
      </c>
      <c r="E26" s="71">
        <v>0.1</v>
      </c>
      <c r="F26" s="72">
        <f>SUM(E26*182)</f>
        <v>18.2</v>
      </c>
      <c r="G26" s="72">
        <v>264.85000000000002</v>
      </c>
      <c r="H26" s="73">
        <f t="shared" ref="H26:H27" si="3">SUM(F26*G26/1000)</f>
        <v>4.8202700000000007</v>
      </c>
      <c r="I26" s="10">
        <f>F26/12*G26</f>
        <v>401.68916666666667</v>
      </c>
      <c r="J26" s="10">
        <f>F26/12*G26</f>
        <v>401.68916666666667</v>
      </c>
      <c r="K26" s="10">
        <f>F26/12*G26</f>
        <v>401.68916666666667</v>
      </c>
      <c r="L26" s="121">
        <f t="shared" si="1"/>
        <v>401.68916666666667</v>
      </c>
    </row>
    <row r="27" spans="1:12" ht="15.75" customHeight="1">
      <c r="A27" s="94">
        <v>5</v>
      </c>
      <c r="B27" s="77" t="s">
        <v>23</v>
      </c>
      <c r="C27" s="70" t="s">
        <v>24</v>
      </c>
      <c r="D27" s="77" t="s">
        <v>158</v>
      </c>
      <c r="E27" s="71">
        <v>2579.4</v>
      </c>
      <c r="F27" s="72">
        <f>SUM(E27*12)</f>
        <v>30952.800000000003</v>
      </c>
      <c r="G27" s="72">
        <v>3.34</v>
      </c>
      <c r="H27" s="73">
        <f t="shared" si="3"/>
        <v>103.382352</v>
      </c>
      <c r="I27" s="10">
        <f>F27/12*G27</f>
        <v>8615.1959999999999</v>
      </c>
      <c r="J27" s="10">
        <f>F27/12*G27</f>
        <v>8615.1959999999999</v>
      </c>
      <c r="K27" s="10">
        <f>F27/12*G27</f>
        <v>8615.1959999999999</v>
      </c>
      <c r="L27" s="121">
        <f t="shared" si="1"/>
        <v>8615.1959999999999</v>
      </c>
    </row>
    <row r="28" spans="1:12" ht="15.75" customHeight="1">
      <c r="A28" s="172" t="s">
        <v>89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6"/>
    </row>
    <row r="29" spans="1:12" ht="15.75" customHeight="1">
      <c r="A29" s="96"/>
      <c r="B29" s="97" t="s">
        <v>27</v>
      </c>
      <c r="C29" s="98"/>
      <c r="D29" s="99"/>
      <c r="E29" s="100"/>
      <c r="F29" s="101"/>
      <c r="G29" s="101"/>
      <c r="H29" s="102"/>
      <c r="I29" s="103"/>
      <c r="J29" s="101"/>
      <c r="K29" s="102"/>
      <c r="L29" s="103"/>
    </row>
    <row r="30" spans="1:12" ht="15" customHeight="1">
      <c r="A30" s="22">
        <v>6</v>
      </c>
      <c r="B30" s="69" t="s">
        <v>100</v>
      </c>
      <c r="C30" s="70" t="s">
        <v>94</v>
      </c>
      <c r="D30" s="69" t="s">
        <v>237</v>
      </c>
      <c r="E30" s="72">
        <v>124.74</v>
      </c>
      <c r="F30" s="72">
        <f>SUM(E30*52/1000)</f>
        <v>6.4864799999999994</v>
      </c>
      <c r="G30" s="72">
        <v>204.44</v>
      </c>
      <c r="H30" s="73">
        <f t="shared" ref="H30:H35" si="4">SUM(F30*G30/1000)</f>
        <v>1.3260959712</v>
      </c>
      <c r="I30" s="10">
        <f>F30/6*G30</f>
        <v>221.01599519999996</v>
      </c>
      <c r="J30" s="10">
        <f>F30/6*G30</f>
        <v>221.01599519999996</v>
      </c>
      <c r="K30" s="10">
        <f>F30/6*G30</f>
        <v>221.01599519999996</v>
      </c>
      <c r="L30" s="121">
        <f t="shared" ref="L30:L33" si="5">SUM(I30)</f>
        <v>221.01599519999996</v>
      </c>
    </row>
    <row r="31" spans="1:12" ht="31.5" customHeight="1">
      <c r="A31" s="22">
        <v>7</v>
      </c>
      <c r="B31" s="69" t="s">
        <v>173</v>
      </c>
      <c r="C31" s="70" t="s">
        <v>94</v>
      </c>
      <c r="D31" s="69" t="s">
        <v>238</v>
      </c>
      <c r="E31" s="72">
        <v>31.4</v>
      </c>
      <c r="F31" s="72">
        <f>SUM(E31*52/1000)</f>
        <v>1.6328</v>
      </c>
      <c r="G31" s="72">
        <v>339.21</v>
      </c>
      <c r="H31" s="73">
        <f t="shared" si="4"/>
        <v>0.55386208799999992</v>
      </c>
      <c r="I31" s="10">
        <f t="shared" ref="I31:I33" si="6">F31/6*G31</f>
        <v>92.310347999999991</v>
      </c>
      <c r="J31" s="10">
        <f t="shared" ref="J31:J33" si="7">F31/6*G31</f>
        <v>92.310347999999991</v>
      </c>
      <c r="K31" s="10">
        <f t="shared" ref="K31:K33" si="8">F31/6*G31</f>
        <v>92.310347999999991</v>
      </c>
      <c r="L31" s="121">
        <f t="shared" si="5"/>
        <v>92.310347999999991</v>
      </c>
    </row>
    <row r="32" spans="1:12" ht="15.75" hidden="1" customHeight="1">
      <c r="A32" s="22">
        <v>8</v>
      </c>
      <c r="B32" s="69" t="s">
        <v>26</v>
      </c>
      <c r="C32" s="70" t="s">
        <v>94</v>
      </c>
      <c r="D32" s="69" t="s">
        <v>55</v>
      </c>
      <c r="E32" s="72">
        <v>124.7</v>
      </c>
      <c r="F32" s="72">
        <f>SUM(E32/1000)</f>
        <v>0.12470000000000001</v>
      </c>
      <c r="G32" s="72">
        <v>3961.23</v>
      </c>
      <c r="H32" s="73">
        <f t="shared" si="4"/>
        <v>0.49396538100000004</v>
      </c>
      <c r="I32" s="10">
        <f t="shared" si="6"/>
        <v>82.327563500000011</v>
      </c>
      <c r="J32" s="10">
        <f>F32*G32</f>
        <v>493.96538100000004</v>
      </c>
      <c r="K32" s="10">
        <v>0</v>
      </c>
      <c r="L32" s="121">
        <f t="shared" si="5"/>
        <v>82.327563500000011</v>
      </c>
    </row>
    <row r="33" spans="1:12" ht="15.75" customHeight="1">
      <c r="A33" s="22">
        <v>8</v>
      </c>
      <c r="B33" s="69" t="s">
        <v>99</v>
      </c>
      <c r="C33" s="70" t="s">
        <v>30</v>
      </c>
      <c r="D33" s="69" t="s">
        <v>65</v>
      </c>
      <c r="E33" s="76">
        <f>1/3</f>
        <v>0.33333333333333331</v>
      </c>
      <c r="F33" s="72">
        <f>155/3</f>
        <v>51.666666666666664</v>
      </c>
      <c r="G33" s="72">
        <v>74.349999999999994</v>
      </c>
      <c r="H33" s="73">
        <f t="shared" si="4"/>
        <v>3.841416666666666</v>
      </c>
      <c r="I33" s="10">
        <f t="shared" si="6"/>
        <v>640.23611111111109</v>
      </c>
      <c r="J33" s="10">
        <f t="shared" si="7"/>
        <v>640.23611111111109</v>
      </c>
      <c r="K33" s="10">
        <f t="shared" si="8"/>
        <v>640.23611111111109</v>
      </c>
      <c r="L33" s="121">
        <f t="shared" si="5"/>
        <v>640.23611111111109</v>
      </c>
    </row>
    <row r="34" spans="1:12" ht="15.75" hidden="1" customHeight="1">
      <c r="A34" s="22"/>
      <c r="B34" s="69" t="s">
        <v>67</v>
      </c>
      <c r="C34" s="70" t="s">
        <v>32</v>
      </c>
      <c r="D34" s="69" t="s">
        <v>69</v>
      </c>
      <c r="E34" s="71"/>
      <c r="F34" s="72">
        <v>2</v>
      </c>
      <c r="G34" s="72">
        <v>250.92</v>
      </c>
      <c r="H34" s="73">
        <f t="shared" si="4"/>
        <v>0.50183999999999995</v>
      </c>
      <c r="I34" s="10">
        <v>0</v>
      </c>
      <c r="J34" s="10">
        <v>0</v>
      </c>
      <c r="K34" s="10">
        <v>0</v>
      </c>
      <c r="L34" s="121">
        <f t="shared" ref="L34:L35" si="9">SUM(I34:K34)</f>
        <v>0</v>
      </c>
    </row>
    <row r="35" spans="1:12" ht="15.75" hidden="1" customHeight="1">
      <c r="A35" s="22"/>
      <c r="B35" s="69" t="s">
        <v>68</v>
      </c>
      <c r="C35" s="70" t="s">
        <v>31</v>
      </c>
      <c r="D35" s="69" t="s">
        <v>69</v>
      </c>
      <c r="E35" s="71"/>
      <c r="F35" s="72">
        <v>1</v>
      </c>
      <c r="G35" s="72">
        <v>1490.31</v>
      </c>
      <c r="H35" s="73">
        <f t="shared" si="4"/>
        <v>1.49031</v>
      </c>
      <c r="I35" s="10">
        <v>0</v>
      </c>
      <c r="J35" s="10">
        <v>0</v>
      </c>
      <c r="K35" s="10">
        <v>0</v>
      </c>
      <c r="L35" s="121">
        <f t="shared" si="9"/>
        <v>0</v>
      </c>
    </row>
    <row r="36" spans="1:12" ht="15.75" hidden="1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  <c r="J36" s="112"/>
      <c r="K36" s="112"/>
      <c r="L36" s="112"/>
    </row>
    <row r="37" spans="1:12" ht="15.75" hidden="1" customHeight="1">
      <c r="A37" s="22">
        <v>17</v>
      </c>
      <c r="B37" s="69" t="s">
        <v>25</v>
      </c>
      <c r="C37" s="70" t="s">
        <v>31</v>
      </c>
      <c r="D37" s="69"/>
      <c r="E37" s="71"/>
      <c r="F37" s="72">
        <v>6</v>
      </c>
      <c r="G37" s="72">
        <v>2003</v>
      </c>
      <c r="H37" s="73">
        <f>SUM(F37*G37/1000)</f>
        <v>12.018000000000001</v>
      </c>
      <c r="I37" s="10">
        <v>0</v>
      </c>
      <c r="J37" s="10">
        <v>0</v>
      </c>
      <c r="K37" s="10">
        <v>0</v>
      </c>
      <c r="L37" s="121">
        <f t="shared" ref="L37:L43" si="10">SUM(I37:K37)</f>
        <v>0</v>
      </c>
    </row>
    <row r="38" spans="1:12" ht="15.75" hidden="1" customHeight="1">
      <c r="A38" s="22">
        <v>18</v>
      </c>
      <c r="B38" s="69" t="s">
        <v>70</v>
      </c>
      <c r="C38" s="70" t="s">
        <v>28</v>
      </c>
      <c r="D38" s="69" t="s">
        <v>111</v>
      </c>
      <c r="E38" s="72">
        <v>26.07</v>
      </c>
      <c r="F38" s="72">
        <f>SUM(E38*30/1000)</f>
        <v>0.78210000000000002</v>
      </c>
      <c r="G38" s="72">
        <v>2757.78</v>
      </c>
      <c r="H38" s="73">
        <f t="shared" ref="H38:H43" si="11">SUM(F38*G38/1000)</f>
        <v>2.1568597380000001</v>
      </c>
      <c r="I38" s="10">
        <v>0</v>
      </c>
      <c r="J38" s="10">
        <v>0</v>
      </c>
      <c r="K38" s="10">
        <v>0</v>
      </c>
      <c r="L38" s="121">
        <f t="shared" si="10"/>
        <v>0</v>
      </c>
    </row>
    <row r="39" spans="1:12" ht="15.75" hidden="1" customHeight="1">
      <c r="A39" s="22">
        <v>19</v>
      </c>
      <c r="B39" s="69" t="s">
        <v>71</v>
      </c>
      <c r="C39" s="70" t="s">
        <v>28</v>
      </c>
      <c r="D39" s="69" t="s">
        <v>93</v>
      </c>
      <c r="E39" s="72">
        <v>31.4</v>
      </c>
      <c r="F39" s="72">
        <f>SUM(E39*155/1000)</f>
        <v>4.867</v>
      </c>
      <c r="G39" s="72">
        <v>460.02</v>
      </c>
      <c r="H39" s="73">
        <f t="shared" si="11"/>
        <v>2.23891734</v>
      </c>
      <c r="I39" s="10">
        <v>0</v>
      </c>
      <c r="J39" s="10">
        <v>0</v>
      </c>
      <c r="K39" s="10">
        <v>0</v>
      </c>
      <c r="L39" s="121">
        <f t="shared" si="10"/>
        <v>0</v>
      </c>
    </row>
    <row r="40" spans="1:12" ht="15.75" hidden="1" customHeight="1">
      <c r="A40" s="22">
        <v>20</v>
      </c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314</v>
      </c>
      <c r="H40" s="73">
        <f t="shared" si="11"/>
        <v>34.54</v>
      </c>
      <c r="I40" s="10">
        <v>0</v>
      </c>
      <c r="J40" s="10">
        <v>0</v>
      </c>
      <c r="K40" s="10">
        <v>0</v>
      </c>
      <c r="L40" s="121">
        <f t="shared" si="10"/>
        <v>0</v>
      </c>
    </row>
    <row r="41" spans="1:12" ht="47.25" hidden="1" customHeight="1">
      <c r="A41" s="22">
        <v>21</v>
      </c>
      <c r="B41" s="69" t="s">
        <v>87</v>
      </c>
      <c r="C41" s="70" t="s">
        <v>94</v>
      </c>
      <c r="D41" s="69" t="s">
        <v>111</v>
      </c>
      <c r="E41" s="72">
        <v>26.07</v>
      </c>
      <c r="F41" s="72">
        <f>SUM(E41*30/1000)</f>
        <v>0.78210000000000002</v>
      </c>
      <c r="G41" s="72">
        <v>7611.16</v>
      </c>
      <c r="H41" s="73">
        <f t="shared" si="11"/>
        <v>5.9526882360000002</v>
      </c>
      <c r="I41" s="10">
        <v>0</v>
      </c>
      <c r="J41" s="10">
        <v>0</v>
      </c>
      <c r="K41" s="10">
        <v>0</v>
      </c>
      <c r="L41" s="121">
        <f t="shared" si="10"/>
        <v>0</v>
      </c>
    </row>
    <row r="42" spans="1:12" ht="15.75" hidden="1" customHeight="1">
      <c r="A42" s="22">
        <v>22</v>
      </c>
      <c r="B42" s="69" t="s">
        <v>95</v>
      </c>
      <c r="C42" s="70" t="s">
        <v>94</v>
      </c>
      <c r="D42" s="69" t="s">
        <v>239</v>
      </c>
      <c r="E42" s="72">
        <v>26.07</v>
      </c>
      <c r="F42" s="72">
        <f>SUM(E42*24/1000)</f>
        <v>0.62568000000000001</v>
      </c>
      <c r="G42" s="72">
        <v>562.25</v>
      </c>
      <c r="H42" s="73">
        <f t="shared" si="11"/>
        <v>0.35178858000000002</v>
      </c>
      <c r="I42" s="10">
        <v>0</v>
      </c>
      <c r="J42" s="10">
        <v>0</v>
      </c>
      <c r="K42" s="10">
        <v>0</v>
      </c>
      <c r="L42" s="121">
        <f t="shared" si="10"/>
        <v>0</v>
      </c>
    </row>
    <row r="43" spans="1:12" ht="15.75" hidden="1" customHeight="1">
      <c r="A43" s="94">
        <v>23</v>
      </c>
      <c r="B43" s="69" t="s">
        <v>73</v>
      </c>
      <c r="C43" s="70" t="s">
        <v>32</v>
      </c>
      <c r="D43" s="69"/>
      <c r="E43" s="71"/>
      <c r="F43" s="72">
        <v>0.3</v>
      </c>
      <c r="G43" s="72">
        <v>974.83</v>
      </c>
      <c r="H43" s="73">
        <f t="shared" si="11"/>
        <v>0.29244900000000001</v>
      </c>
      <c r="I43" s="10">
        <v>0</v>
      </c>
      <c r="J43" s="10">
        <v>0</v>
      </c>
      <c r="K43" s="10">
        <v>0</v>
      </c>
      <c r="L43" s="121">
        <f t="shared" si="10"/>
        <v>0</v>
      </c>
    </row>
    <row r="44" spans="1:12" ht="15.75" customHeight="1">
      <c r="A44" s="172" t="s">
        <v>150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6"/>
    </row>
    <row r="45" spans="1:12" ht="15.75" hidden="1" customHeight="1">
      <c r="A45" s="96">
        <v>11</v>
      </c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1172.4100000000001</v>
      </c>
      <c r="H45" s="73">
        <f t="shared" ref="H45:H55" si="12">SUM(F45*G45/1000)</f>
        <v>2.6013433080000006</v>
      </c>
      <c r="I45" s="10">
        <v>0</v>
      </c>
      <c r="J45" s="10">
        <v>0</v>
      </c>
      <c r="K45" s="10">
        <f>F45/2*G45</f>
        <v>1300.6716540000002</v>
      </c>
      <c r="L45" s="121">
        <f t="shared" ref="L45:L50" si="13">SUM(I45:K45)</f>
        <v>1300.6716540000002</v>
      </c>
    </row>
    <row r="46" spans="1:12" ht="15.75" hidden="1" customHeight="1">
      <c r="A46" s="22">
        <v>12</v>
      </c>
      <c r="B46" s="69" t="s">
        <v>35</v>
      </c>
      <c r="C46" s="70" t="s">
        <v>94</v>
      </c>
      <c r="D46" s="69" t="s">
        <v>43</v>
      </c>
      <c r="E46" s="71">
        <v>66</v>
      </c>
      <c r="F46" s="72">
        <f>SUM(E46*2/1000)</f>
        <v>0.13200000000000001</v>
      </c>
      <c r="G46" s="10">
        <v>4419.05</v>
      </c>
      <c r="H46" s="73">
        <f t="shared" si="12"/>
        <v>0.58331460000000002</v>
      </c>
      <c r="I46" s="10">
        <v>0</v>
      </c>
      <c r="J46" s="10">
        <v>0</v>
      </c>
      <c r="K46" s="10">
        <f>F46/2*G46</f>
        <v>291.65730000000002</v>
      </c>
      <c r="L46" s="121">
        <f t="shared" si="13"/>
        <v>291.65730000000002</v>
      </c>
    </row>
    <row r="47" spans="1:12" ht="15.75" hidden="1" customHeight="1">
      <c r="A47" s="22">
        <v>13</v>
      </c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1803.69</v>
      </c>
      <c r="H47" s="73">
        <f t="shared" si="12"/>
        <v>5.6393269695000008</v>
      </c>
      <c r="I47" s="10">
        <v>0</v>
      </c>
      <c r="J47" s="10">
        <v>0</v>
      </c>
      <c r="K47" s="10">
        <f>F47/2*G47</f>
        <v>2819.6634847500004</v>
      </c>
      <c r="L47" s="121">
        <f t="shared" si="13"/>
        <v>2819.6634847500004</v>
      </c>
    </row>
    <row r="48" spans="1:12" ht="15.75" hidden="1" customHeight="1">
      <c r="A48" s="22">
        <v>14</v>
      </c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1243.43</v>
      </c>
      <c r="H48" s="73">
        <f t="shared" si="12"/>
        <v>4.0277184559999997</v>
      </c>
      <c r="I48" s="10">
        <v>0</v>
      </c>
      <c r="J48" s="10">
        <v>0</v>
      </c>
      <c r="K48" s="10">
        <f>F48/2*G48</f>
        <v>2013.859228</v>
      </c>
      <c r="L48" s="121">
        <f t="shared" si="13"/>
        <v>2013.859228</v>
      </c>
    </row>
    <row r="49" spans="1:12" ht="15.75" hidden="1" customHeight="1">
      <c r="A49" s="22">
        <v>15</v>
      </c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1352.76</v>
      </c>
      <c r="H49" s="73">
        <f t="shared" si="12"/>
        <v>2.3224183680000001</v>
      </c>
      <c r="I49" s="10">
        <v>0</v>
      </c>
      <c r="J49" s="10">
        <v>0</v>
      </c>
      <c r="K49" s="10">
        <f>F49/2*G49</f>
        <v>1161.2091840000001</v>
      </c>
      <c r="L49" s="121">
        <f t="shared" si="13"/>
        <v>1161.2091840000001</v>
      </c>
    </row>
    <row r="50" spans="1:12" ht="15.75" hidden="1" customHeight="1">
      <c r="A50" s="22">
        <v>16</v>
      </c>
      <c r="B50" s="69" t="s">
        <v>58</v>
      </c>
      <c r="C50" s="70" t="s">
        <v>94</v>
      </c>
      <c r="D50" s="69" t="s">
        <v>174</v>
      </c>
      <c r="E50" s="71">
        <v>2579.4</v>
      </c>
      <c r="F50" s="72">
        <f>SUM(E50*5/1000)</f>
        <v>12.897</v>
      </c>
      <c r="G50" s="10">
        <v>1803.69</v>
      </c>
      <c r="H50" s="73">
        <f t="shared" si="12"/>
        <v>23.262189930000002</v>
      </c>
      <c r="I50" s="10">
        <v>0</v>
      </c>
      <c r="J50" s="10">
        <v>0</v>
      </c>
      <c r="K50" s="10">
        <f>F50/5*G50</f>
        <v>4652.4379860000008</v>
      </c>
      <c r="L50" s="121">
        <f t="shared" si="13"/>
        <v>4652.4379860000008</v>
      </c>
    </row>
    <row r="51" spans="1:12" ht="31.5" customHeight="1">
      <c r="A51" s="22">
        <v>9</v>
      </c>
      <c r="B51" s="69" t="s">
        <v>96</v>
      </c>
      <c r="C51" s="70" t="s">
        <v>94</v>
      </c>
      <c r="D51" s="69" t="s">
        <v>43</v>
      </c>
      <c r="E51" s="71">
        <v>2579.4</v>
      </c>
      <c r="F51" s="72">
        <f>SUM(E51*2/1000)</f>
        <v>5.1588000000000003</v>
      </c>
      <c r="G51" s="10">
        <v>1591.6</v>
      </c>
      <c r="H51" s="73">
        <f t="shared" si="12"/>
        <v>8.2107460800000016</v>
      </c>
      <c r="I51" s="10">
        <f>F51/2*G51</f>
        <v>4105.3730400000004</v>
      </c>
      <c r="J51" s="10">
        <v>0</v>
      </c>
      <c r="K51" s="10">
        <f>F51/2*G51</f>
        <v>4105.3730400000004</v>
      </c>
      <c r="L51" s="121">
        <f t="shared" ref="L51:L55" si="14">SUM(I51)</f>
        <v>4105.3730400000004</v>
      </c>
    </row>
    <row r="52" spans="1:12" ht="31.5" customHeight="1">
      <c r="A52" s="22">
        <v>10</v>
      </c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4058.32</v>
      </c>
      <c r="H52" s="73">
        <f t="shared" si="12"/>
        <v>1.6233280000000001</v>
      </c>
      <c r="I52" s="10">
        <f t="shared" ref="I52:I53" si="15">F52/2*G52</f>
        <v>811.6640000000001</v>
      </c>
      <c r="J52" s="10">
        <v>0</v>
      </c>
      <c r="K52" s="10">
        <f>F52/2*G52</f>
        <v>811.6640000000001</v>
      </c>
      <c r="L52" s="121">
        <f t="shared" si="14"/>
        <v>811.6640000000001</v>
      </c>
    </row>
    <row r="53" spans="1:12" ht="15.75" customHeight="1">
      <c r="A53" s="22">
        <v>11</v>
      </c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7412.92</v>
      </c>
      <c r="H53" s="73">
        <f t="shared" si="12"/>
        <v>0.14825839999999998</v>
      </c>
      <c r="I53" s="10">
        <f t="shared" si="15"/>
        <v>74.129199999999997</v>
      </c>
      <c r="J53" s="10">
        <v>0</v>
      </c>
      <c r="K53" s="10">
        <f>F53/2*G53</f>
        <v>74.129199999999997</v>
      </c>
      <c r="L53" s="121">
        <f t="shared" si="14"/>
        <v>74.129199999999997</v>
      </c>
    </row>
    <row r="54" spans="1:12" ht="15.75" hidden="1" customHeight="1">
      <c r="A54" s="22">
        <v>17</v>
      </c>
      <c r="B54" s="69" t="s">
        <v>108</v>
      </c>
      <c r="C54" s="70" t="s">
        <v>102</v>
      </c>
      <c r="D54" s="69" t="s">
        <v>74</v>
      </c>
      <c r="E54" s="71">
        <v>62</v>
      </c>
      <c r="F54" s="72">
        <f>SUM(E54*3)</f>
        <v>186</v>
      </c>
      <c r="G54" s="10">
        <v>185.08</v>
      </c>
      <c r="H54" s="73">
        <f t="shared" si="12"/>
        <v>34.424880000000002</v>
      </c>
      <c r="I54" s="10">
        <v>0</v>
      </c>
      <c r="J54" s="10">
        <v>0</v>
      </c>
      <c r="K54" s="10">
        <f>E54*G54</f>
        <v>11474.960000000001</v>
      </c>
      <c r="L54" s="121">
        <f t="shared" si="14"/>
        <v>0</v>
      </c>
    </row>
    <row r="55" spans="1:12" ht="15.75" hidden="1" customHeight="1">
      <c r="A55" s="94">
        <v>18</v>
      </c>
      <c r="B55" s="69" t="s">
        <v>42</v>
      </c>
      <c r="C55" s="70" t="s">
        <v>102</v>
      </c>
      <c r="D55" s="69" t="s">
        <v>74</v>
      </c>
      <c r="E55" s="71">
        <v>124</v>
      </c>
      <c r="F55" s="72">
        <f>SUM(E55)*3</f>
        <v>372</v>
      </c>
      <c r="G55" s="10">
        <v>86.15</v>
      </c>
      <c r="H55" s="73">
        <f t="shared" si="12"/>
        <v>32.047800000000002</v>
      </c>
      <c r="I55" s="10">
        <v>0</v>
      </c>
      <c r="J55" s="10">
        <v>0</v>
      </c>
      <c r="K55" s="10">
        <f>E55*G55</f>
        <v>10682.6</v>
      </c>
      <c r="L55" s="121">
        <f t="shared" si="14"/>
        <v>0</v>
      </c>
    </row>
    <row r="56" spans="1:12" ht="15.75" customHeight="1">
      <c r="A56" s="172" t="s">
        <v>151</v>
      </c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6"/>
    </row>
    <row r="57" spans="1:12" ht="15.75" hidden="1" customHeight="1">
      <c r="A57" s="96"/>
      <c r="B57" s="97" t="s">
        <v>44</v>
      </c>
      <c r="C57" s="98"/>
      <c r="D57" s="99"/>
      <c r="E57" s="100"/>
      <c r="F57" s="101"/>
      <c r="G57" s="101"/>
      <c r="H57" s="102"/>
      <c r="I57" s="10"/>
      <c r="J57" s="112"/>
      <c r="K57" s="112"/>
      <c r="L57" s="112"/>
    </row>
    <row r="58" spans="1:12" ht="31.5" hidden="1" customHeight="1">
      <c r="A58" s="22">
        <v>35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2029.3</v>
      </c>
      <c r="H58" s="73">
        <f>SUM(F58*G58/1000)</f>
        <v>15.455960519999998</v>
      </c>
      <c r="I58" s="10">
        <v>0</v>
      </c>
      <c r="J58" s="10">
        <v>0</v>
      </c>
      <c r="K58" s="10">
        <v>0</v>
      </c>
      <c r="L58" s="121">
        <f t="shared" ref="L58:L77" si="16">SUM(I58:K58)</f>
        <v>0</v>
      </c>
    </row>
    <row r="59" spans="1:12" ht="31.5" hidden="1" customHeight="1">
      <c r="A59" s="22">
        <v>36</v>
      </c>
      <c r="B59" s="69" t="s">
        <v>82</v>
      </c>
      <c r="C59" s="70" t="s">
        <v>92</v>
      </c>
      <c r="D59" s="69" t="s">
        <v>29</v>
      </c>
      <c r="E59" s="16">
        <v>19.899999999999999</v>
      </c>
      <c r="F59" s="72">
        <f>SUM(E59*6/100)</f>
        <v>1.194</v>
      </c>
      <c r="G59" s="72">
        <v>2029.3</v>
      </c>
      <c r="H59" s="73">
        <f t="shared" ref="H59:H60" si="17">SUM(F59*G59/1000)</f>
        <v>2.4229841999999997</v>
      </c>
      <c r="I59" s="10">
        <v>0</v>
      </c>
      <c r="J59" s="10">
        <v>0</v>
      </c>
      <c r="K59" s="10">
        <v>0</v>
      </c>
      <c r="L59" s="121">
        <f t="shared" si="16"/>
        <v>0</v>
      </c>
    </row>
    <row r="60" spans="1:12" ht="15" hidden="1" customHeight="1">
      <c r="A60" s="22">
        <v>37</v>
      </c>
      <c r="B60" s="81" t="s">
        <v>142</v>
      </c>
      <c r="C60" s="80" t="s">
        <v>143</v>
      </c>
      <c r="D60" s="81" t="s">
        <v>69</v>
      </c>
      <c r="E60" s="130"/>
      <c r="F60" s="83">
        <v>3</v>
      </c>
      <c r="G60" s="72">
        <v>1582.05</v>
      </c>
      <c r="H60" s="73">
        <f t="shared" si="17"/>
        <v>4.7461499999999992</v>
      </c>
      <c r="I60" s="10">
        <v>0</v>
      </c>
      <c r="J60" s="10">
        <v>0</v>
      </c>
      <c r="K60" s="10">
        <v>0</v>
      </c>
      <c r="L60" s="121">
        <f t="shared" si="16"/>
        <v>0</v>
      </c>
    </row>
    <row r="61" spans="1:12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3"/>
      <c r="J61" s="103"/>
      <c r="K61" s="103"/>
      <c r="L61" s="103"/>
    </row>
    <row r="62" spans="1:12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450</v>
      </c>
      <c r="F62" s="72">
        <f>SUM(E62/100)</f>
        <v>4.5</v>
      </c>
      <c r="G62" s="10">
        <v>1040.8399999999999</v>
      </c>
      <c r="H62" s="85">
        <v>7.6349999999999998</v>
      </c>
      <c r="I62" s="10">
        <v>0</v>
      </c>
      <c r="J62" s="10">
        <v>0</v>
      </c>
      <c r="K62" s="10">
        <v>0</v>
      </c>
      <c r="L62" s="121">
        <f t="shared" si="16"/>
        <v>0</v>
      </c>
    </row>
    <row r="63" spans="1:12" ht="15.75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  <c r="J63" s="10"/>
      <c r="K63" s="10"/>
      <c r="L63" s="10"/>
    </row>
    <row r="64" spans="1:12" ht="15.75" customHeight="1">
      <c r="A64" s="22">
        <v>12</v>
      </c>
      <c r="B64" s="11" t="s">
        <v>48</v>
      </c>
      <c r="C64" s="13" t="s">
        <v>102</v>
      </c>
      <c r="D64" s="11" t="s">
        <v>69</v>
      </c>
      <c r="E64" s="16">
        <v>5</v>
      </c>
      <c r="F64" s="72">
        <f>E64</f>
        <v>5</v>
      </c>
      <c r="G64" s="10">
        <v>291.68</v>
      </c>
      <c r="H64" s="68">
        <f t="shared" ref="H64:H71" si="18">SUM(F64*G64/1000)</f>
        <v>1.4584000000000001</v>
      </c>
      <c r="I64" s="10">
        <f>G64*5</f>
        <v>1458.4</v>
      </c>
      <c r="J64" s="10">
        <v>0</v>
      </c>
      <c r="K64" s="10">
        <v>0</v>
      </c>
      <c r="L64" s="121">
        <f t="shared" ref="L64" si="19">SUM(I64)</f>
        <v>1458.4</v>
      </c>
    </row>
    <row r="65" spans="1:12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2</v>
      </c>
      <c r="F65" s="72">
        <f>E65</f>
        <v>2</v>
      </c>
      <c r="G65" s="10">
        <v>100.01</v>
      </c>
      <c r="H65" s="68">
        <f t="shared" si="18"/>
        <v>0.20002</v>
      </c>
      <c r="I65" s="10">
        <v>0</v>
      </c>
      <c r="J65" s="10">
        <v>0</v>
      </c>
      <c r="K65" s="10">
        <v>0</v>
      </c>
      <c r="L65" s="121">
        <f t="shared" si="16"/>
        <v>0</v>
      </c>
    </row>
    <row r="66" spans="1:12" ht="15.75" hidden="1" customHeight="1">
      <c r="A66" s="22">
        <v>38</v>
      </c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278.24</v>
      </c>
      <c r="H66" s="68">
        <f t="shared" si="18"/>
        <v>37.042091200000002</v>
      </c>
      <c r="I66" s="10">
        <v>0</v>
      </c>
      <c r="J66" s="10">
        <f>F66*G66</f>
        <v>37042.091200000003</v>
      </c>
      <c r="K66" s="10">
        <v>0</v>
      </c>
      <c r="L66" s="121">
        <f t="shared" si="16"/>
        <v>37042.091200000003</v>
      </c>
    </row>
    <row r="67" spans="1:12" ht="15.75" hidden="1" customHeight="1">
      <c r="A67" s="22">
        <v>39</v>
      </c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216.68</v>
      </c>
      <c r="H67" s="68">
        <f t="shared" si="18"/>
        <v>2.88466084</v>
      </c>
      <c r="I67" s="10">
        <v>0</v>
      </c>
      <c r="J67" s="10">
        <f t="shared" ref="J67:J70" si="20">F67*G67</f>
        <v>2884.66084</v>
      </c>
      <c r="K67" s="10">
        <v>0</v>
      </c>
      <c r="L67" s="121">
        <f t="shared" si="16"/>
        <v>2884.66084</v>
      </c>
    </row>
    <row r="68" spans="1:12" ht="15.75" hidden="1" customHeight="1">
      <c r="A68" s="22">
        <v>40</v>
      </c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2720.94</v>
      </c>
      <c r="H68" s="68">
        <f t="shared" si="18"/>
        <v>59.425329599999998</v>
      </c>
      <c r="I68" s="10">
        <v>0</v>
      </c>
      <c r="J68" s="10">
        <f t="shared" si="20"/>
        <v>59425.329599999997</v>
      </c>
      <c r="K68" s="10">
        <v>0</v>
      </c>
      <c r="L68" s="121">
        <f t="shared" si="16"/>
        <v>59425.329599999997</v>
      </c>
    </row>
    <row r="69" spans="1:12" ht="15.75" hidden="1" customHeight="1">
      <c r="A69" s="22">
        <v>41</v>
      </c>
      <c r="B69" s="87" t="s">
        <v>105</v>
      </c>
      <c r="C69" s="13" t="s">
        <v>32</v>
      </c>
      <c r="D69" s="11"/>
      <c r="E69" s="71">
        <v>12.2</v>
      </c>
      <c r="F69" s="10">
        <f>SUM(E69)</f>
        <v>12.2</v>
      </c>
      <c r="G69" s="10">
        <v>42.61</v>
      </c>
      <c r="H69" s="68">
        <f t="shared" si="18"/>
        <v>0.51984200000000003</v>
      </c>
      <c r="I69" s="10">
        <v>0</v>
      </c>
      <c r="J69" s="10">
        <f t="shared" si="20"/>
        <v>519.84199999999998</v>
      </c>
      <c r="K69" s="10">
        <v>0</v>
      </c>
      <c r="L69" s="121">
        <f t="shared" si="16"/>
        <v>519.84199999999998</v>
      </c>
    </row>
    <row r="70" spans="1:12" ht="15.75" hidden="1" customHeight="1">
      <c r="A70" s="22">
        <v>42</v>
      </c>
      <c r="B70" s="87" t="s">
        <v>159</v>
      </c>
      <c r="C70" s="13" t="s">
        <v>32</v>
      </c>
      <c r="D70" s="11"/>
      <c r="E70" s="71">
        <v>12.2</v>
      </c>
      <c r="F70" s="10">
        <f>SUM(E70)</f>
        <v>12.2</v>
      </c>
      <c r="G70" s="10">
        <v>46.04</v>
      </c>
      <c r="H70" s="68">
        <f t="shared" si="18"/>
        <v>0.56168799999999997</v>
      </c>
      <c r="I70" s="10">
        <v>0</v>
      </c>
      <c r="J70" s="10">
        <f t="shared" si="20"/>
        <v>561.68799999999999</v>
      </c>
      <c r="K70" s="10">
        <v>0</v>
      </c>
      <c r="L70" s="121">
        <f t="shared" si="16"/>
        <v>561.68799999999999</v>
      </c>
    </row>
    <row r="71" spans="1:12" ht="15.75" hidden="1" customHeight="1">
      <c r="A71" s="22">
        <v>19</v>
      </c>
      <c r="B71" s="11" t="s">
        <v>59</v>
      </c>
      <c r="C71" s="13" t="s">
        <v>60</v>
      </c>
      <c r="D71" s="11" t="s">
        <v>55</v>
      </c>
      <c r="E71" s="16">
        <v>3</v>
      </c>
      <c r="F71" s="72">
        <v>3</v>
      </c>
      <c r="G71" s="10">
        <v>65.42</v>
      </c>
      <c r="H71" s="68">
        <f t="shared" si="18"/>
        <v>0.19625999999999999</v>
      </c>
      <c r="I71" s="10">
        <v>0</v>
      </c>
      <c r="J71" s="10">
        <v>0</v>
      </c>
      <c r="K71" s="10">
        <f>G71*5</f>
        <v>327.10000000000002</v>
      </c>
      <c r="L71" s="121">
        <f t="shared" si="16"/>
        <v>327.10000000000002</v>
      </c>
    </row>
    <row r="72" spans="1:12" ht="15.75" customHeight="1">
      <c r="A72" s="22"/>
      <c r="B72" s="128" t="s">
        <v>75</v>
      </c>
      <c r="C72" s="13"/>
      <c r="D72" s="11"/>
      <c r="E72" s="16"/>
      <c r="F72" s="10"/>
      <c r="G72" s="10"/>
      <c r="H72" s="68" t="s">
        <v>158</v>
      </c>
      <c r="I72" s="10"/>
      <c r="J72" s="10"/>
      <c r="K72" s="10"/>
      <c r="L72" s="10"/>
    </row>
    <row r="73" spans="1:12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1</v>
      </c>
      <c r="F73" s="10">
        <v>1</v>
      </c>
      <c r="G73" s="10">
        <v>1029.1199999999999</v>
      </c>
      <c r="H73" s="68">
        <f t="shared" ref="H73:H76" si="21">SUM(F73*G73/1000)</f>
        <v>1.0291199999999998</v>
      </c>
      <c r="I73" s="10">
        <v>0</v>
      </c>
      <c r="J73" s="10">
        <v>0</v>
      </c>
      <c r="K73" s="10">
        <v>0</v>
      </c>
      <c r="L73" s="121">
        <f t="shared" si="16"/>
        <v>0</v>
      </c>
    </row>
    <row r="74" spans="1:12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735</v>
      </c>
      <c r="H74" s="68">
        <f t="shared" si="21"/>
        <v>0.73499999999999999</v>
      </c>
      <c r="I74" s="10">
        <v>0</v>
      </c>
      <c r="J74" s="10">
        <v>0</v>
      </c>
      <c r="K74" s="10">
        <v>0</v>
      </c>
      <c r="L74" s="121">
        <f t="shared" si="16"/>
        <v>0</v>
      </c>
    </row>
    <row r="75" spans="1:12" ht="15.75" hidden="1" customHeight="1">
      <c r="A75" s="22">
        <v>20</v>
      </c>
      <c r="B75" s="11" t="s">
        <v>76</v>
      </c>
      <c r="C75" s="13" t="s">
        <v>77</v>
      </c>
      <c r="D75" s="11" t="s">
        <v>69</v>
      </c>
      <c r="E75" s="16">
        <v>3</v>
      </c>
      <c r="F75" s="10">
        <v>0.2</v>
      </c>
      <c r="G75" s="10">
        <v>657.87</v>
      </c>
      <c r="H75" s="68">
        <f t="shared" si="21"/>
        <v>0.13157400000000002</v>
      </c>
      <c r="I75" s="10">
        <v>0</v>
      </c>
      <c r="J75" s="10">
        <v>0</v>
      </c>
      <c r="K75" s="10">
        <f>G75*0.2</f>
        <v>131.57400000000001</v>
      </c>
      <c r="L75" s="121">
        <f t="shared" si="16"/>
        <v>131.57400000000001</v>
      </c>
    </row>
    <row r="76" spans="1:12" ht="15.75" hidden="1" customHeight="1">
      <c r="A76" s="22"/>
      <c r="B76" s="11" t="s">
        <v>139</v>
      </c>
      <c r="C76" s="13" t="s">
        <v>102</v>
      </c>
      <c r="D76" s="11" t="s">
        <v>69</v>
      </c>
      <c r="E76" s="16">
        <v>1</v>
      </c>
      <c r="F76" s="72">
        <f>SUM(E76)</f>
        <v>1</v>
      </c>
      <c r="G76" s="10">
        <v>1118.72</v>
      </c>
      <c r="H76" s="68">
        <f t="shared" si="21"/>
        <v>1.1187199999999999</v>
      </c>
      <c r="I76" s="10">
        <v>0</v>
      </c>
      <c r="J76" s="10">
        <v>0</v>
      </c>
      <c r="K76" s="10">
        <v>0</v>
      </c>
      <c r="L76" s="121">
        <f t="shared" si="16"/>
        <v>0</v>
      </c>
    </row>
    <row r="77" spans="1:12" ht="15.75" hidden="1" customHeight="1">
      <c r="A77" s="22">
        <v>20</v>
      </c>
      <c r="B77" s="43" t="s">
        <v>240</v>
      </c>
      <c r="C77" s="44" t="s">
        <v>102</v>
      </c>
      <c r="D77" s="11" t="s">
        <v>69</v>
      </c>
      <c r="E77" s="16">
        <v>1</v>
      </c>
      <c r="F77" s="60">
        <v>1</v>
      </c>
      <c r="G77" s="10">
        <v>1605.83</v>
      </c>
      <c r="H77" s="68">
        <f>SUM(F77*G77/1000)</f>
        <v>1.6058299999999999</v>
      </c>
      <c r="I77" s="10">
        <v>0</v>
      </c>
      <c r="J77" s="10">
        <f>G77</f>
        <v>1605.83</v>
      </c>
      <c r="K77" s="10">
        <v>0</v>
      </c>
      <c r="L77" s="121">
        <f t="shared" si="16"/>
        <v>1605.83</v>
      </c>
    </row>
    <row r="78" spans="1:12" ht="15.75" customHeight="1">
      <c r="A78" s="22">
        <v>13</v>
      </c>
      <c r="B78" s="43" t="s">
        <v>241</v>
      </c>
      <c r="C78" s="44" t="s">
        <v>102</v>
      </c>
      <c r="D78" s="11" t="s">
        <v>29</v>
      </c>
      <c r="E78" s="16">
        <v>1</v>
      </c>
      <c r="F78" s="72">
        <v>12</v>
      </c>
      <c r="G78" s="10">
        <v>53.42</v>
      </c>
      <c r="H78" s="68">
        <f t="shared" ref="H78" si="22">SUM(F78*G78/1000)</f>
        <v>0.64103999999999994</v>
      </c>
      <c r="I78" s="10">
        <f>G78</f>
        <v>53.42</v>
      </c>
      <c r="J78" s="10"/>
      <c r="K78" s="10"/>
      <c r="L78" s="121">
        <f t="shared" ref="L78" si="23">SUM(I78)</f>
        <v>53.42</v>
      </c>
    </row>
    <row r="79" spans="1:12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  <c r="J79" s="10"/>
      <c r="K79" s="10"/>
      <c r="L79" s="10"/>
    </row>
    <row r="80" spans="1:12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ref="H80" si="24">SUM(F80*G80/1000)</f>
        <v>0.294985</v>
      </c>
      <c r="I80" s="10">
        <v>0</v>
      </c>
      <c r="J80" s="10">
        <v>0</v>
      </c>
      <c r="K80" s="10">
        <v>0</v>
      </c>
      <c r="L80" s="121">
        <f t="shared" ref="L80:L84" si="25">SUM(I80:K80)</f>
        <v>0</v>
      </c>
    </row>
    <row r="81" spans="1:12" ht="15.75" customHeight="1">
      <c r="A81" s="22"/>
      <c r="B81" s="131" t="s">
        <v>242</v>
      </c>
      <c r="C81" s="44"/>
      <c r="D81" s="11"/>
      <c r="E81" s="16"/>
      <c r="F81" s="60"/>
      <c r="G81" s="10"/>
      <c r="H81" s="68"/>
      <c r="I81" s="10"/>
      <c r="J81" s="10"/>
      <c r="K81" s="10"/>
      <c r="L81" s="121"/>
    </row>
    <row r="82" spans="1:12" ht="15.75" customHeight="1">
      <c r="A82" s="22">
        <v>14</v>
      </c>
      <c r="B82" s="11" t="s">
        <v>243</v>
      </c>
      <c r="C82" s="22" t="s">
        <v>244</v>
      </c>
      <c r="D82" s="11" t="s">
        <v>69</v>
      </c>
      <c r="E82" s="16">
        <v>2579.4</v>
      </c>
      <c r="F82" s="10">
        <f>SUM(E82*12)</f>
        <v>30952.800000000003</v>
      </c>
      <c r="G82" s="10">
        <v>2.2799999999999998</v>
      </c>
      <c r="H82" s="68">
        <f t="shared" ref="H82" si="26">SUM(F82*G82/1000)</f>
        <v>70.572384</v>
      </c>
      <c r="I82" s="10">
        <f>F82/12*G82</f>
        <v>5881.0320000000002</v>
      </c>
      <c r="J82" s="10"/>
      <c r="K82" s="10"/>
      <c r="L82" s="121">
        <f t="shared" ref="L82" si="27">SUM(I82)</f>
        <v>5881.0320000000002</v>
      </c>
    </row>
    <row r="83" spans="1:12" ht="15.75" hidden="1" customHeight="1">
      <c r="A83" s="22"/>
      <c r="B83" s="128" t="s">
        <v>98</v>
      </c>
      <c r="C83" s="89"/>
      <c r="D83" s="24"/>
      <c r="E83" s="25"/>
      <c r="F83" s="75"/>
      <c r="G83" s="75"/>
      <c r="H83" s="90">
        <f>SUM(H58:H80)</f>
        <v>138.10465536000004</v>
      </c>
      <c r="I83" s="75"/>
      <c r="J83" s="75"/>
      <c r="K83" s="75"/>
      <c r="L83" s="75"/>
    </row>
    <row r="84" spans="1:12" ht="15.75" hidden="1" customHeight="1">
      <c r="A84" s="94">
        <v>43</v>
      </c>
      <c r="B84" s="69" t="s">
        <v>245</v>
      </c>
      <c r="C84" s="13"/>
      <c r="D84" s="11"/>
      <c r="E84" s="11"/>
      <c r="F84" s="10">
        <v>1</v>
      </c>
      <c r="G84" s="10">
        <v>20408</v>
      </c>
      <c r="H84" s="68">
        <f>G84*F84/1000</f>
        <v>20.408000000000001</v>
      </c>
      <c r="I84" s="10">
        <v>0</v>
      </c>
      <c r="J84" s="10">
        <f>G84</f>
        <v>20408</v>
      </c>
      <c r="K84" s="10">
        <v>0</v>
      </c>
      <c r="L84" s="121">
        <f t="shared" si="25"/>
        <v>20408</v>
      </c>
    </row>
    <row r="85" spans="1:12" ht="15.75" hidden="1" customHeight="1">
      <c r="A85" s="132"/>
      <c r="B85" s="69" t="s">
        <v>246</v>
      </c>
      <c r="C85" s="13"/>
      <c r="D85" s="11"/>
      <c r="E85" s="11"/>
      <c r="F85" s="10">
        <v>62</v>
      </c>
      <c r="G85" s="10">
        <v>700</v>
      </c>
      <c r="H85" s="68">
        <f t="shared" ref="H85" si="28">G85*F85/1000</f>
        <v>43.4</v>
      </c>
      <c r="I85" s="10">
        <v>1</v>
      </c>
      <c r="J85" s="10">
        <f>G85</f>
        <v>700</v>
      </c>
      <c r="K85" s="10">
        <v>1</v>
      </c>
      <c r="L85" s="121">
        <f t="shared" ref="L85" si="29">SUM(I85:K85)</f>
        <v>702</v>
      </c>
    </row>
    <row r="86" spans="1:12" ht="15.75" customHeight="1">
      <c r="A86" s="172" t="s">
        <v>152</v>
      </c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6"/>
    </row>
    <row r="87" spans="1:12" ht="15.75" customHeight="1">
      <c r="A87" s="96">
        <v>15</v>
      </c>
      <c r="B87" s="69" t="s">
        <v>107</v>
      </c>
      <c r="C87" s="13" t="s">
        <v>56</v>
      </c>
      <c r="D87" s="40" t="s">
        <v>57</v>
      </c>
      <c r="E87" s="10">
        <v>2579.4</v>
      </c>
      <c r="F87" s="10">
        <f>SUM(E87*12)</f>
        <v>30952.800000000003</v>
      </c>
      <c r="G87" s="10">
        <v>3.1</v>
      </c>
      <c r="H87" s="68">
        <f t="shared" ref="H87" si="30">G87*F87/1000</f>
        <v>95.953680000000006</v>
      </c>
      <c r="I87" s="10">
        <f>F87/12*G87</f>
        <v>7996.14</v>
      </c>
      <c r="J87" s="10">
        <f>F87/12*G87</f>
        <v>7996.14</v>
      </c>
      <c r="K87" s="10">
        <f>F87/12*G87</f>
        <v>7996.14</v>
      </c>
      <c r="L87" s="121">
        <f t="shared" ref="L87:L88" si="31">SUM(I87)</f>
        <v>7996.14</v>
      </c>
    </row>
    <row r="88" spans="1:12" ht="31.5" customHeight="1">
      <c r="A88" s="22">
        <v>16</v>
      </c>
      <c r="B88" s="11" t="s">
        <v>80</v>
      </c>
      <c r="C88" s="13"/>
      <c r="D88" s="40" t="s">
        <v>57</v>
      </c>
      <c r="E88" s="71">
        <v>2579.4</v>
      </c>
      <c r="F88" s="10">
        <f>E88*12</f>
        <v>30952.800000000003</v>
      </c>
      <c r="G88" s="10">
        <v>3.5</v>
      </c>
      <c r="H88" s="68">
        <f>F88*G88/1000</f>
        <v>108.33480000000002</v>
      </c>
      <c r="I88" s="10">
        <f>F88/12*G88</f>
        <v>9027.9</v>
      </c>
      <c r="J88" s="10">
        <f>F88/12*G88</f>
        <v>9027.9</v>
      </c>
      <c r="K88" s="10">
        <f>F88/12*G88</f>
        <v>9027.9</v>
      </c>
      <c r="L88" s="121">
        <f t="shared" si="31"/>
        <v>9027.9</v>
      </c>
    </row>
    <row r="89" spans="1:12" ht="15.75" customHeight="1">
      <c r="A89" s="22"/>
      <c r="B89" s="29" t="s">
        <v>84</v>
      </c>
      <c r="C89" s="13"/>
      <c r="D89" s="40"/>
      <c r="E89" s="61"/>
      <c r="F89" s="10"/>
      <c r="G89" s="10"/>
      <c r="H89" s="68"/>
      <c r="I89" s="10"/>
      <c r="J89" s="112"/>
      <c r="K89" s="112"/>
      <c r="L89" s="122">
        <f>L16+L17+L18+L26+L27+L30+L31+L33+L51+L52+L53+L64+L78+L82+L87+L88</f>
        <v>47001.208314311109</v>
      </c>
    </row>
    <row r="90" spans="1:12" ht="15.75" customHeight="1">
      <c r="A90" s="183" t="s">
        <v>62</v>
      </c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5"/>
    </row>
    <row r="91" spans="1:12" ht="31.5" customHeight="1">
      <c r="A91" s="22">
        <v>17</v>
      </c>
      <c r="B91" s="43" t="s">
        <v>247</v>
      </c>
      <c r="C91" s="44" t="s">
        <v>201</v>
      </c>
      <c r="D91" s="37"/>
      <c r="E91" s="10"/>
      <c r="F91" s="10">
        <v>1</v>
      </c>
      <c r="G91" s="10">
        <v>1046.06</v>
      </c>
      <c r="H91" s="68">
        <f t="shared" ref="H91:H102" si="32">G91*F91/1000</f>
        <v>1.04606</v>
      </c>
      <c r="I91" s="10">
        <f>G91</f>
        <v>1046.06</v>
      </c>
      <c r="J91" s="10">
        <v>0</v>
      </c>
      <c r="K91" s="10">
        <f>G91</f>
        <v>1046.06</v>
      </c>
      <c r="L91" s="121">
        <f t="shared" ref="L91:L106" si="33">SUM(I91)</f>
        <v>1046.06</v>
      </c>
    </row>
    <row r="92" spans="1:12" ht="31.5" customHeight="1">
      <c r="A92" s="22">
        <v>18</v>
      </c>
      <c r="B92" s="43" t="s">
        <v>248</v>
      </c>
      <c r="C92" s="44" t="s">
        <v>201</v>
      </c>
      <c r="D92" s="37"/>
      <c r="E92" s="10"/>
      <c r="F92" s="10">
        <v>1</v>
      </c>
      <c r="G92" s="10">
        <v>832.06</v>
      </c>
      <c r="H92" s="68">
        <f t="shared" si="32"/>
        <v>0.83205999999999991</v>
      </c>
      <c r="I92" s="10">
        <f t="shared" ref="I92:I106" si="34">G92</f>
        <v>832.06</v>
      </c>
      <c r="J92" s="10">
        <f>G92</f>
        <v>832.06</v>
      </c>
      <c r="K92" s="10">
        <v>0</v>
      </c>
      <c r="L92" s="121">
        <f t="shared" si="33"/>
        <v>832.06</v>
      </c>
    </row>
    <row r="93" spans="1:12" ht="15.75" customHeight="1">
      <c r="A93" s="22">
        <v>19</v>
      </c>
      <c r="B93" s="43" t="s">
        <v>249</v>
      </c>
      <c r="C93" s="44" t="s">
        <v>102</v>
      </c>
      <c r="D93" s="11"/>
      <c r="E93" s="16"/>
      <c r="F93" s="10">
        <v>2</v>
      </c>
      <c r="G93" s="10">
        <v>140</v>
      </c>
      <c r="H93" s="68">
        <f t="shared" si="32"/>
        <v>0.28000000000000003</v>
      </c>
      <c r="I93" s="10">
        <f>G93*2</f>
        <v>280</v>
      </c>
      <c r="J93" s="10">
        <f>G93*2</f>
        <v>280</v>
      </c>
      <c r="K93" s="10">
        <f>G93*1.5</f>
        <v>210</v>
      </c>
      <c r="L93" s="121">
        <f t="shared" si="33"/>
        <v>280</v>
      </c>
    </row>
    <row r="94" spans="1:12" ht="15.75" customHeight="1">
      <c r="A94" s="22">
        <v>20</v>
      </c>
      <c r="B94" s="43" t="s">
        <v>250</v>
      </c>
      <c r="C94" s="44" t="s">
        <v>102</v>
      </c>
      <c r="D94" s="11"/>
      <c r="E94" s="16"/>
      <c r="F94" s="10">
        <v>2</v>
      </c>
      <c r="G94" s="10">
        <v>70</v>
      </c>
      <c r="H94" s="68">
        <f t="shared" si="32"/>
        <v>0.14000000000000001</v>
      </c>
      <c r="I94" s="10">
        <f>G94*2</f>
        <v>140</v>
      </c>
      <c r="J94" s="10">
        <v>0</v>
      </c>
      <c r="K94" s="10">
        <v>0</v>
      </c>
      <c r="L94" s="121">
        <f t="shared" si="33"/>
        <v>140</v>
      </c>
    </row>
    <row r="95" spans="1:12" ht="15.75" customHeight="1">
      <c r="A95" s="22">
        <v>21</v>
      </c>
      <c r="B95" s="43" t="s">
        <v>251</v>
      </c>
      <c r="C95" s="44" t="s">
        <v>102</v>
      </c>
      <c r="D95" s="37"/>
      <c r="E95" s="10"/>
      <c r="F95" s="10">
        <v>3</v>
      </c>
      <c r="G95" s="10">
        <v>112</v>
      </c>
      <c r="H95" s="68">
        <f t="shared" si="32"/>
        <v>0.33600000000000002</v>
      </c>
      <c r="I95" s="10">
        <f>G95*3</f>
        <v>336</v>
      </c>
      <c r="J95" s="10">
        <v>0</v>
      </c>
      <c r="K95" s="10">
        <f>G95*5</f>
        <v>560</v>
      </c>
      <c r="L95" s="121">
        <f t="shared" si="33"/>
        <v>336</v>
      </c>
    </row>
    <row r="96" spans="1:12" ht="15.75" customHeight="1">
      <c r="A96" s="22">
        <v>22</v>
      </c>
      <c r="B96" s="43" t="s">
        <v>260</v>
      </c>
      <c r="C96" s="44" t="s">
        <v>102</v>
      </c>
      <c r="D96" s="37"/>
      <c r="E96" s="10"/>
      <c r="F96" s="10">
        <v>1</v>
      </c>
      <c r="G96" s="10">
        <v>82</v>
      </c>
      <c r="H96" s="68">
        <f t="shared" si="32"/>
        <v>8.2000000000000003E-2</v>
      </c>
      <c r="I96" s="10">
        <f t="shared" si="34"/>
        <v>82</v>
      </c>
      <c r="J96" s="10">
        <v>0</v>
      </c>
      <c r="K96" s="10">
        <v>0</v>
      </c>
      <c r="L96" s="121">
        <f t="shared" si="33"/>
        <v>82</v>
      </c>
    </row>
    <row r="97" spans="1:12" ht="15.75" customHeight="1">
      <c r="A97" s="22">
        <v>23</v>
      </c>
      <c r="B97" s="133" t="s">
        <v>252</v>
      </c>
      <c r="C97" s="44" t="s">
        <v>102</v>
      </c>
      <c r="D97" s="11"/>
      <c r="E97" s="16"/>
      <c r="F97" s="10">
        <v>2</v>
      </c>
      <c r="G97" s="10">
        <v>108</v>
      </c>
      <c r="H97" s="10">
        <f t="shared" si="32"/>
        <v>0.216</v>
      </c>
      <c r="I97" s="10">
        <f>G97*2</f>
        <v>216</v>
      </c>
      <c r="J97" s="10">
        <v>0</v>
      </c>
      <c r="K97" s="10">
        <f>G97*0.01</f>
        <v>1.08</v>
      </c>
      <c r="L97" s="121">
        <f t="shared" si="33"/>
        <v>216</v>
      </c>
    </row>
    <row r="98" spans="1:12" ht="15.75" customHeight="1">
      <c r="A98" s="22">
        <v>24</v>
      </c>
      <c r="B98" s="43" t="s">
        <v>253</v>
      </c>
      <c r="C98" s="44" t="s">
        <v>102</v>
      </c>
      <c r="D98" s="11"/>
      <c r="E98" s="16"/>
      <c r="F98" s="10">
        <v>1</v>
      </c>
      <c r="G98" s="10">
        <v>20</v>
      </c>
      <c r="H98" s="68">
        <f t="shared" si="32"/>
        <v>0.02</v>
      </c>
      <c r="I98" s="10">
        <f t="shared" si="34"/>
        <v>20</v>
      </c>
      <c r="J98" s="10">
        <v>0</v>
      </c>
      <c r="K98" s="10">
        <v>0</v>
      </c>
      <c r="L98" s="121">
        <f t="shared" si="33"/>
        <v>20</v>
      </c>
    </row>
    <row r="99" spans="1:12" ht="31.5" customHeight="1">
      <c r="A99" s="22">
        <v>25</v>
      </c>
      <c r="B99" s="43" t="s">
        <v>254</v>
      </c>
      <c r="C99" s="44" t="s">
        <v>85</v>
      </c>
      <c r="D99" s="37"/>
      <c r="E99" s="10"/>
      <c r="F99" s="10">
        <v>1</v>
      </c>
      <c r="G99" s="10">
        <v>1206</v>
      </c>
      <c r="H99" s="68">
        <f t="shared" si="32"/>
        <v>1.206</v>
      </c>
      <c r="I99" s="10">
        <f t="shared" si="34"/>
        <v>1206</v>
      </c>
      <c r="J99" s="10">
        <f>G99*2</f>
        <v>2412</v>
      </c>
      <c r="K99" s="10">
        <v>0</v>
      </c>
      <c r="L99" s="121">
        <f t="shared" si="33"/>
        <v>1206</v>
      </c>
    </row>
    <row r="100" spans="1:12" ht="15.75" customHeight="1">
      <c r="A100" s="22">
        <v>26</v>
      </c>
      <c r="B100" s="43" t="s">
        <v>255</v>
      </c>
      <c r="C100" s="44" t="s">
        <v>201</v>
      </c>
      <c r="D100" s="37"/>
      <c r="E100" s="10"/>
      <c r="F100" s="10">
        <v>1</v>
      </c>
      <c r="G100" s="10">
        <v>954.24</v>
      </c>
      <c r="H100" s="68">
        <f t="shared" si="32"/>
        <v>0.95423999999999998</v>
      </c>
      <c r="I100" s="10">
        <f t="shared" si="34"/>
        <v>954.24</v>
      </c>
      <c r="J100" s="10">
        <f>G100</f>
        <v>954.24</v>
      </c>
      <c r="K100" s="10">
        <v>0</v>
      </c>
      <c r="L100" s="121">
        <f t="shared" si="33"/>
        <v>954.24</v>
      </c>
    </row>
    <row r="101" spans="1:12" ht="15.75" customHeight="1">
      <c r="A101" s="22">
        <v>27</v>
      </c>
      <c r="B101" s="43" t="s">
        <v>256</v>
      </c>
      <c r="C101" s="44" t="s">
        <v>257</v>
      </c>
      <c r="D101" s="11"/>
      <c r="E101" s="16"/>
      <c r="F101" s="10">
        <v>1</v>
      </c>
      <c r="G101" s="10">
        <v>3300.56</v>
      </c>
      <c r="H101" s="68">
        <f t="shared" si="32"/>
        <v>3.3005599999999999</v>
      </c>
      <c r="I101" s="10">
        <f t="shared" si="34"/>
        <v>3300.56</v>
      </c>
      <c r="J101" s="10">
        <f>G101*0.001</f>
        <v>3.3005599999999999</v>
      </c>
      <c r="K101" s="10">
        <v>0</v>
      </c>
      <c r="L101" s="121">
        <f t="shared" si="33"/>
        <v>3300.56</v>
      </c>
    </row>
    <row r="102" spans="1:12" ht="15.75" customHeight="1">
      <c r="A102" s="22">
        <v>28</v>
      </c>
      <c r="B102" s="43" t="s">
        <v>258</v>
      </c>
      <c r="C102" s="44" t="s">
        <v>102</v>
      </c>
      <c r="D102" s="11"/>
      <c r="E102" s="16"/>
      <c r="F102" s="10">
        <v>1</v>
      </c>
      <c r="G102" s="10">
        <v>2347.02</v>
      </c>
      <c r="H102" s="68">
        <f t="shared" si="32"/>
        <v>2.3470200000000001</v>
      </c>
      <c r="I102" s="10">
        <f t="shared" si="34"/>
        <v>2347.02</v>
      </c>
      <c r="J102" s="10">
        <f>G102</f>
        <v>2347.02</v>
      </c>
      <c r="K102" s="10">
        <f>G102</f>
        <v>2347.02</v>
      </c>
      <c r="L102" s="121">
        <f t="shared" si="33"/>
        <v>2347.02</v>
      </c>
    </row>
    <row r="103" spans="1:12" ht="15.75" customHeight="1">
      <c r="A103" s="22">
        <v>29</v>
      </c>
      <c r="B103" s="43" t="s">
        <v>86</v>
      </c>
      <c r="C103" s="44" t="s">
        <v>102</v>
      </c>
      <c r="D103" s="22"/>
      <c r="E103" s="16"/>
      <c r="F103" s="16">
        <v>2</v>
      </c>
      <c r="G103" s="16">
        <v>189.88</v>
      </c>
      <c r="H103" s="65">
        <f>G103*F103/1000</f>
        <v>0.37975999999999999</v>
      </c>
      <c r="I103" s="10">
        <f>G103*2</f>
        <v>379.76</v>
      </c>
      <c r="J103" s="95">
        <v>0</v>
      </c>
      <c r="K103" s="95">
        <f>G103*(3/10)</f>
        <v>56.963999999999999</v>
      </c>
      <c r="L103" s="121">
        <f t="shared" si="33"/>
        <v>379.76</v>
      </c>
    </row>
    <row r="104" spans="1:12" ht="15.75" customHeight="1">
      <c r="A104" s="22">
        <v>30</v>
      </c>
      <c r="B104" s="43" t="s">
        <v>165</v>
      </c>
      <c r="C104" s="44" t="s">
        <v>166</v>
      </c>
      <c r="D104" s="22"/>
      <c r="E104" s="16"/>
      <c r="F104" s="16">
        <v>0.01</v>
      </c>
      <c r="G104" s="16">
        <v>7412.92</v>
      </c>
      <c r="H104" s="65">
        <f>G104*F104/1000</f>
        <v>7.4129199999999992E-2</v>
      </c>
      <c r="I104" s="10">
        <f t="shared" si="34"/>
        <v>7412.92</v>
      </c>
      <c r="J104" s="95"/>
      <c r="K104" s="95"/>
      <c r="L104" s="121">
        <f t="shared" si="33"/>
        <v>7412.92</v>
      </c>
    </row>
    <row r="105" spans="1:12" ht="31.5" customHeight="1">
      <c r="A105" s="22">
        <v>31</v>
      </c>
      <c r="B105" s="43" t="s">
        <v>261</v>
      </c>
      <c r="C105" s="44" t="s">
        <v>203</v>
      </c>
      <c r="D105" s="22"/>
      <c r="E105" s="16"/>
      <c r="F105" s="16">
        <v>5</v>
      </c>
      <c r="G105" s="16">
        <v>143.97999999999999</v>
      </c>
      <c r="H105" s="65">
        <f>G105*F105/1000</f>
        <v>0.71989999999999998</v>
      </c>
      <c r="I105" s="10">
        <f>G105*5</f>
        <v>719.9</v>
      </c>
      <c r="J105" s="95"/>
      <c r="K105" s="95"/>
      <c r="L105" s="121">
        <f t="shared" si="33"/>
        <v>719.9</v>
      </c>
    </row>
    <row r="106" spans="1:12" ht="15.75" customHeight="1">
      <c r="A106" s="22">
        <v>32</v>
      </c>
      <c r="B106" s="67" t="s">
        <v>259</v>
      </c>
      <c r="C106" s="91" t="s">
        <v>102</v>
      </c>
      <c r="D106" s="37"/>
      <c r="E106" s="10"/>
      <c r="F106" s="10">
        <v>1</v>
      </c>
      <c r="G106" s="10">
        <v>170.63</v>
      </c>
      <c r="H106" s="68">
        <f>G106*F106/1000</f>
        <v>0.17063</v>
      </c>
      <c r="I106" s="10">
        <f t="shared" si="34"/>
        <v>170.63</v>
      </c>
      <c r="J106" s="95"/>
      <c r="K106" s="95"/>
      <c r="L106" s="121">
        <f t="shared" si="33"/>
        <v>170.63</v>
      </c>
    </row>
    <row r="107" spans="1:12" ht="15.75" customHeight="1">
      <c r="A107" s="22"/>
      <c r="B107" s="29" t="s">
        <v>84</v>
      </c>
      <c r="C107" s="89"/>
      <c r="D107" s="88"/>
      <c r="E107" s="75"/>
      <c r="F107" s="75"/>
      <c r="G107" s="75"/>
      <c r="H107" s="75"/>
      <c r="I107" s="75"/>
      <c r="J107" s="75"/>
      <c r="K107" s="112"/>
      <c r="L107" s="75">
        <f>SUM(L91:L106)</f>
        <v>19443.150000000005</v>
      </c>
    </row>
    <row r="108" spans="1:12" ht="15.75" customHeight="1">
      <c r="A108" s="22"/>
      <c r="B108" s="37" t="s">
        <v>81</v>
      </c>
      <c r="C108" s="12"/>
      <c r="D108" s="12"/>
      <c r="E108" s="32"/>
      <c r="F108" s="32"/>
      <c r="G108" s="33"/>
      <c r="H108" s="33"/>
      <c r="I108" s="33"/>
      <c r="J108" s="33"/>
      <c r="K108" s="112"/>
      <c r="L108" s="15">
        <v>0</v>
      </c>
    </row>
    <row r="109" spans="1:12" ht="15.75" customHeight="1">
      <c r="A109" s="39"/>
      <c r="B109" s="36" t="s">
        <v>266</v>
      </c>
      <c r="C109" s="26"/>
      <c r="D109" s="26"/>
      <c r="E109" s="26"/>
      <c r="F109" s="26"/>
      <c r="G109" s="26"/>
      <c r="H109" s="26"/>
      <c r="I109" s="26"/>
      <c r="J109" s="26"/>
      <c r="K109" s="112"/>
      <c r="L109" s="34">
        <f>L89+L107</f>
        <v>66444.358314311117</v>
      </c>
    </row>
    <row r="110" spans="1:12" ht="15.75" customHeight="1">
      <c r="A110" s="178" t="s">
        <v>262</v>
      </c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</row>
    <row r="111" spans="1:12" ht="15.75" customHeight="1">
      <c r="A111" s="113"/>
      <c r="B111" s="166" t="s">
        <v>263</v>
      </c>
      <c r="C111" s="166"/>
      <c r="D111" s="166"/>
      <c r="E111" s="166"/>
      <c r="F111" s="166"/>
      <c r="G111" s="166"/>
      <c r="H111" s="127"/>
      <c r="I111" s="127"/>
      <c r="J111" s="127"/>
      <c r="K111" s="127"/>
      <c r="L111" s="115"/>
    </row>
    <row r="112" spans="1:12" ht="15.75" customHeight="1">
      <c r="A112" s="111"/>
      <c r="B112" s="167" t="s">
        <v>6</v>
      </c>
      <c r="C112" s="167"/>
      <c r="D112" s="167"/>
      <c r="E112" s="167"/>
      <c r="F112" s="167"/>
      <c r="G112" s="167"/>
      <c r="H112" s="116"/>
      <c r="I112" s="116"/>
      <c r="J112" s="116"/>
      <c r="K112" s="116"/>
      <c r="L112" s="115"/>
    </row>
    <row r="113" spans="1:12" ht="15.75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</row>
    <row r="114" spans="1:12" ht="15.75" customHeight="1">
      <c r="A114" s="168" t="s">
        <v>7</v>
      </c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</row>
    <row r="115" spans="1:12" ht="15.75">
      <c r="A115" s="169" t="s">
        <v>8</v>
      </c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</row>
    <row r="116" spans="1:12" ht="15.75" customHeight="1">
      <c r="A116" s="164" t="s">
        <v>191</v>
      </c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</row>
    <row r="117" spans="1:12" ht="15.75">
      <c r="A117" s="8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ht="15.75">
      <c r="A118" s="170" t="s">
        <v>9</v>
      </c>
      <c r="B118" s="170"/>
      <c r="C118" s="170"/>
      <c r="D118" s="170"/>
      <c r="E118" s="170"/>
      <c r="F118" s="170"/>
      <c r="G118" s="170"/>
      <c r="H118" s="170"/>
      <c r="I118" s="170"/>
      <c r="J118" s="170"/>
      <c r="K118" s="170"/>
      <c r="L118" s="170"/>
    </row>
    <row r="119" spans="1:12" ht="15.75">
      <c r="A119" s="3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ht="15.75" customHeight="1">
      <c r="A120" s="164" t="s">
        <v>10</v>
      </c>
      <c r="B120" s="164"/>
      <c r="C120" s="177" t="s">
        <v>147</v>
      </c>
      <c r="D120" s="177"/>
      <c r="E120" s="177"/>
      <c r="F120" s="177"/>
      <c r="G120" s="177"/>
      <c r="H120" s="134"/>
      <c r="I120" s="134"/>
      <c r="J120" s="117"/>
      <c r="K120" s="160"/>
      <c r="L120" s="161"/>
    </row>
    <row r="121" spans="1:12" ht="15.75" customHeight="1">
      <c r="A121" s="118"/>
      <c r="B121" s="119"/>
      <c r="C121" s="162" t="s">
        <v>11</v>
      </c>
      <c r="D121" s="162"/>
      <c r="E121" s="162"/>
      <c r="F121" s="162"/>
      <c r="G121" s="162"/>
      <c r="H121" s="134"/>
      <c r="I121" s="134"/>
      <c r="K121" s="162" t="s">
        <v>12</v>
      </c>
      <c r="L121" s="163"/>
    </row>
    <row r="122" spans="1:12" ht="15.75" customHeight="1">
      <c r="A122" s="120"/>
      <c r="B122" s="119"/>
      <c r="F122" s="9"/>
      <c r="G122" s="9"/>
      <c r="I122" s="9"/>
      <c r="J122" s="9"/>
      <c r="K122" s="9"/>
    </row>
    <row r="123" spans="1:12" ht="15.75" customHeight="1">
      <c r="A123" s="164" t="s">
        <v>13</v>
      </c>
      <c r="B123" s="164"/>
      <c r="C123" s="186"/>
      <c r="D123" s="186"/>
      <c r="E123" s="186"/>
      <c r="F123" s="186"/>
      <c r="G123" s="186"/>
      <c r="H123" s="134"/>
      <c r="I123" s="134"/>
      <c r="K123" s="161"/>
      <c r="L123" s="161"/>
    </row>
    <row r="124" spans="1:12">
      <c r="A124" s="129"/>
      <c r="C124" s="162" t="s">
        <v>11</v>
      </c>
      <c r="D124" s="162"/>
      <c r="E124" s="162"/>
      <c r="F124" s="162"/>
      <c r="G124" s="162"/>
      <c r="H124" s="4"/>
      <c r="I124" s="4"/>
      <c r="K124" s="162" t="s">
        <v>12</v>
      </c>
      <c r="L124" s="163"/>
    </row>
    <row r="125" spans="1:12" ht="15.75">
      <c r="A125" s="3" t="s">
        <v>14</v>
      </c>
    </row>
    <row r="126" spans="1:12">
      <c r="A126" s="165" t="s">
        <v>15</v>
      </c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</row>
    <row r="127" spans="1:12" ht="45" customHeight="1">
      <c r="A127" s="159" t="s">
        <v>16</v>
      </c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</row>
    <row r="128" spans="1:12" ht="30" customHeight="1">
      <c r="A128" s="159" t="s">
        <v>17</v>
      </c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</row>
    <row r="129" spans="1:12" ht="30" customHeight="1">
      <c r="A129" s="159" t="s">
        <v>21</v>
      </c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</row>
    <row r="130" spans="1:12" ht="15" customHeight="1">
      <c r="A130" s="159" t="s">
        <v>20</v>
      </c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</row>
  </sheetData>
  <mergeCells count="34">
    <mergeCell ref="A90:L90"/>
    <mergeCell ref="A3:L3"/>
    <mergeCell ref="A4:L4"/>
    <mergeCell ref="A5:L5"/>
    <mergeCell ref="A8:L8"/>
    <mergeCell ref="A10:L10"/>
    <mergeCell ref="A14:L14"/>
    <mergeCell ref="A15:L15"/>
    <mergeCell ref="A28:L28"/>
    <mergeCell ref="A44:L44"/>
    <mergeCell ref="A56:L56"/>
    <mergeCell ref="A86:L86"/>
    <mergeCell ref="A118:L118"/>
    <mergeCell ref="A120:B120"/>
    <mergeCell ref="K120:L120"/>
    <mergeCell ref="K121:L121"/>
    <mergeCell ref="A110:L110"/>
    <mergeCell ref="B111:G111"/>
    <mergeCell ref="B112:G112"/>
    <mergeCell ref="A114:L114"/>
    <mergeCell ref="A115:L115"/>
    <mergeCell ref="A116:L116"/>
    <mergeCell ref="A127:L127"/>
    <mergeCell ref="A128:L128"/>
    <mergeCell ref="A129:L129"/>
    <mergeCell ref="A130:L130"/>
    <mergeCell ref="C120:G120"/>
    <mergeCell ref="C121:G121"/>
    <mergeCell ref="C123:G123"/>
    <mergeCell ref="C124:G124"/>
    <mergeCell ref="A123:B123"/>
    <mergeCell ref="K123:L123"/>
    <mergeCell ref="K124:L124"/>
    <mergeCell ref="A126:L126"/>
  </mergeCells>
  <printOptions horizontalCentered="1"/>
  <pageMargins left="0.51181102362204722" right="0.31496062992125984" top="0.27559055118110237" bottom="0.27559055118110237" header="0.31496062992125984" footer="0.31496062992125984"/>
  <pageSetup paperSize="9" scale="5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155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265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51"/>
      <c r="C6" s="51"/>
      <c r="D6" s="51"/>
      <c r="E6" s="51"/>
      <c r="F6" s="51"/>
      <c r="G6" s="51"/>
      <c r="H6" s="51"/>
      <c r="I6" s="23">
        <v>42766</v>
      </c>
    </row>
    <row r="7" spans="1:9" ht="15.75">
      <c r="B7" s="47"/>
      <c r="C7" s="47"/>
      <c r="D7" s="47"/>
      <c r="E7" s="2"/>
      <c r="F7" s="2"/>
      <c r="G7" s="2"/>
      <c r="H7" s="2"/>
    </row>
    <row r="8" spans="1:9" ht="78.75" customHeight="1">
      <c r="A8" s="180" t="s">
        <v>148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31.5" customHeight="1">
      <c r="A16" s="22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</row>
    <row r="17" spans="1:9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</row>
    <row r="18" spans="1:9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</row>
    <row r="19" spans="1:9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v>0</v>
      </c>
    </row>
    <row r="20" spans="1:9" ht="15.75" customHeight="1">
      <c r="A20" s="22">
        <v>4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</row>
    <row r="21" spans="1:9" ht="15.75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f>F21/6*G21</f>
        <v>6.2378100000000014</v>
      </c>
    </row>
    <row r="22" spans="1:9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v>0</v>
      </c>
    </row>
    <row r="23" spans="1:9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v>0</v>
      </c>
    </row>
    <row r="24" spans="1:9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v>0</v>
      </c>
    </row>
    <row r="25" spans="1:9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v>0</v>
      </c>
    </row>
    <row r="26" spans="1:9" ht="15.75" customHeight="1">
      <c r="A26" s="22">
        <v>6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>SUM(F26*G26/1000)</f>
        <v>5.737070000000001</v>
      </c>
      <c r="I26" s="10">
        <f>F26/12*G26</f>
        <v>478.08916666666664</v>
      </c>
    </row>
    <row r="27" spans="1:9" ht="15.75" customHeight="1">
      <c r="A27" s="22">
        <v>7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>SUM(F27*G27/1000)</f>
        <v>163.78560000000002</v>
      </c>
      <c r="I27" s="10">
        <f>F27/12*G27</f>
        <v>13648.8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hidden="1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31.5" hidden="1" customHeight="1">
      <c r="A30" s="22">
        <v>8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1">SUM(F30*G30/1000)</f>
        <v>1.080971892</v>
      </c>
      <c r="I30" s="10">
        <f>F30/6*G30</f>
        <v>180.16198199999997</v>
      </c>
    </row>
    <row r="31" spans="1:9" ht="31.5" hidden="1" customHeight="1">
      <c r="A31" s="22">
        <v>9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1"/>
        <v>1.0523934719999999</v>
      </c>
      <c r="I31" s="10">
        <f t="shared" ref="I31:I33" si="2">F31/6*G31</f>
        <v>175.398912</v>
      </c>
    </row>
    <row r="32" spans="1:9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1"/>
        <v>1.1979879792000001</v>
      </c>
      <c r="I32" s="10">
        <f>F32*G32</f>
        <v>1197.9879792000002</v>
      </c>
    </row>
    <row r="33" spans="1:9" ht="15.75" hidden="1" customHeight="1">
      <c r="A33" s="22">
        <v>10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157</v>
      </c>
      <c r="E34" s="71"/>
      <c r="F34" s="72">
        <v>3</v>
      </c>
      <c r="G34" s="72">
        <v>204.32</v>
      </c>
      <c r="H34" s="73">
        <f t="shared" si="1"/>
        <v>0.61296000000000006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157</v>
      </c>
      <c r="E35" s="71"/>
      <c r="F35" s="72">
        <v>2</v>
      </c>
      <c r="G35" s="72">
        <v>1214.73</v>
      </c>
      <c r="H35" s="73">
        <f t="shared" si="1"/>
        <v>2.4294600000000002</v>
      </c>
      <c r="I35" s="10">
        <v>0</v>
      </c>
    </row>
    <row r="36" spans="1:9" ht="15.75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customHeight="1">
      <c r="A37" s="22">
        <v>8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</row>
    <row r="38" spans="1:9" ht="15.75" customHeight="1">
      <c r="A38" s="22">
        <v>9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3">SUM(F38*G38/1000)</f>
        <v>2.9313559799999998</v>
      </c>
      <c r="I38" s="10">
        <f>F38/6*G38</f>
        <v>488.55932999999993</v>
      </c>
    </row>
    <row r="39" spans="1:9" ht="15.75" customHeight="1">
      <c r="A39" s="22">
        <v>10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3"/>
        <v>2.8361217999999999</v>
      </c>
      <c r="I39" s="10">
        <f>F39/6*G39</f>
        <v>472.68696666666665</v>
      </c>
    </row>
    <row r="40" spans="1:9" ht="15.75" hidden="1" customHeight="1">
      <c r="A40" s="22"/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3"/>
        <v>23.452000000000002</v>
      </c>
      <c r="I40" s="10">
        <v>0</v>
      </c>
    </row>
    <row r="41" spans="1:9" ht="47.25" customHeight="1">
      <c r="A41" s="22">
        <v>11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3"/>
        <v>9.4386193649999992</v>
      </c>
      <c r="I41" s="10">
        <f>F41/6*G41</f>
        <v>1573.1032275</v>
      </c>
    </row>
    <row r="42" spans="1:9" ht="15.75" customHeight="1">
      <c r="A42" s="22">
        <v>12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3"/>
        <v>0.89646442199999987</v>
      </c>
      <c r="I42" s="10">
        <f>F42/6*G42</f>
        <v>149.41073699999998</v>
      </c>
    </row>
    <row r="43" spans="1:9" ht="15.75" customHeight="1">
      <c r="A43" s="22">
        <v>13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3"/>
        <v>0.76775400000000005</v>
      </c>
      <c r="I43" s="10">
        <f>F43/6*G43</f>
        <v>127.95899999999999</v>
      </c>
    </row>
    <row r="44" spans="1:9" ht="15.75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hidden="1" customHeight="1">
      <c r="A45" s="22"/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4">SUM(F45*G45/1000)</f>
        <v>1.9206154680000005</v>
      </c>
      <c r="I45" s="10">
        <v>0</v>
      </c>
    </row>
    <row r="46" spans="1:9" ht="15.75" hidden="1" customHeight="1">
      <c r="A46" s="22"/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4"/>
        <v>0.13132552</v>
      </c>
      <c r="I46" s="10">
        <v>0</v>
      </c>
    </row>
    <row r="47" spans="1:9" ht="15.75" hidden="1" customHeight="1">
      <c r="A47" s="22"/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4"/>
        <v>1.9367726630000004</v>
      </c>
      <c r="I47" s="10">
        <v>0</v>
      </c>
    </row>
    <row r="48" spans="1:9" ht="15.75" hidden="1" customHeight="1">
      <c r="A48" s="22"/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4"/>
        <v>2.1010746879999997</v>
      </c>
      <c r="I48" s="10">
        <v>0</v>
      </c>
    </row>
    <row r="49" spans="1:9" ht="15.75" hidden="1" customHeight="1">
      <c r="A49" s="22"/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4"/>
        <v>0.13363571200000002</v>
      </c>
      <c r="I49" s="10">
        <v>0</v>
      </c>
    </row>
    <row r="50" spans="1:9" ht="15.75" customHeight="1">
      <c r="A50" s="22">
        <v>14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4"/>
        <v>5.7761391999999994</v>
      </c>
      <c r="I50" s="10">
        <f>F50/5*G50</f>
        <v>1155.22784</v>
      </c>
    </row>
    <row r="51" spans="1:9" ht="31.5" hidden="1" customHeight="1">
      <c r="A51" s="22"/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4"/>
        <v>2.31045568</v>
      </c>
      <c r="I51" s="10">
        <v>0</v>
      </c>
    </row>
    <row r="52" spans="1:9" ht="31.5" hidden="1" customHeight="1">
      <c r="A52" s="22"/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4"/>
        <v>1.167556</v>
      </c>
      <c r="I52" s="10">
        <v>0</v>
      </c>
    </row>
    <row r="53" spans="1:9" ht="15.75" hidden="1" customHeight="1">
      <c r="A53" s="22"/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4"/>
        <v>0.1208424</v>
      </c>
      <c r="I53" s="10">
        <v>0</v>
      </c>
    </row>
    <row r="54" spans="1:9" ht="15.75" customHeight="1">
      <c r="A54" s="22">
        <v>15</v>
      </c>
      <c r="B54" s="69" t="s">
        <v>108</v>
      </c>
      <c r="C54" s="70" t="s">
        <v>102</v>
      </c>
      <c r="D54" s="69" t="s">
        <v>74</v>
      </c>
      <c r="E54" s="71">
        <v>62</v>
      </c>
      <c r="F54" s="72">
        <f>SUM(E54*4)</f>
        <v>248</v>
      </c>
      <c r="G54" s="10">
        <v>150.86000000000001</v>
      </c>
      <c r="H54" s="73">
        <f t="shared" si="4"/>
        <v>37.413280000000007</v>
      </c>
      <c r="I54" s="10">
        <f>E54*G54</f>
        <v>9353.3200000000015</v>
      </c>
    </row>
    <row r="55" spans="1:9" ht="15.75" customHeight="1">
      <c r="A55" s="22">
        <v>16</v>
      </c>
      <c r="B55" s="69" t="s">
        <v>42</v>
      </c>
      <c r="C55" s="70" t="s">
        <v>102</v>
      </c>
      <c r="D55" s="69" t="s">
        <v>74</v>
      </c>
      <c r="E55" s="71">
        <v>124</v>
      </c>
      <c r="F55" s="72">
        <f>SUM(E55)*3</f>
        <v>372</v>
      </c>
      <c r="G55" s="10">
        <v>70.209999999999994</v>
      </c>
      <c r="H55" s="73">
        <f t="shared" si="4"/>
        <v>26.118119999999998</v>
      </c>
      <c r="I55" s="10">
        <f>E55*G55</f>
        <v>8706.0399999999991</v>
      </c>
    </row>
    <row r="56" spans="1:9" ht="15.75" customHeight="1">
      <c r="A56" s="190" t="s">
        <v>151</v>
      </c>
      <c r="B56" s="191"/>
      <c r="C56" s="191"/>
      <c r="D56" s="191"/>
      <c r="E56" s="191"/>
      <c r="F56" s="191"/>
      <c r="G56" s="191"/>
      <c r="H56" s="191"/>
      <c r="I56" s="192"/>
    </row>
    <row r="57" spans="1:9" ht="15.75" customHeight="1">
      <c r="A57" s="22"/>
      <c r="B57" s="92" t="s">
        <v>44</v>
      </c>
      <c r="C57" s="70"/>
      <c r="D57" s="69"/>
      <c r="E57" s="71"/>
      <c r="F57" s="72"/>
      <c r="G57" s="72"/>
      <c r="H57" s="73"/>
      <c r="I57" s="10"/>
    </row>
    <row r="58" spans="1:9" ht="31.5" customHeight="1">
      <c r="A58" s="22">
        <v>17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</row>
    <row r="59" spans="1:9" ht="31.5" customHeight="1">
      <c r="A59" s="22">
        <v>18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</row>
    <row r="60" spans="1:9" ht="31.5" customHeight="1">
      <c r="A60" s="22">
        <v>19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</row>
    <row r="61" spans="1:9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"/>
    </row>
    <row r="62" spans="1:9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</row>
    <row r="63" spans="1:9" ht="15.75" hidden="1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80" si="5">SUM(F64*G64/1000)</f>
        <v>2.3774000000000002</v>
      </c>
      <c r="I64" s="10">
        <v>0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5"/>
        <v>0.24453000000000003</v>
      </c>
      <c r="I65" s="10">
        <v>0</v>
      </c>
    </row>
    <row r="66" spans="1:9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5"/>
        <v>30.192552699999997</v>
      </c>
      <c r="I66" s="10">
        <v>0</v>
      </c>
    </row>
    <row r="67" spans="1:9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5"/>
        <v>2.3512089300000003</v>
      </c>
      <c r="I67" s="10">
        <v>0</v>
      </c>
    </row>
    <row r="68" spans="1:9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5"/>
        <v>48.436315200000003</v>
      </c>
      <c r="I68" s="10">
        <v>0</v>
      </c>
    </row>
    <row r="69" spans="1:9" ht="15.75" hidden="1" customHeight="1">
      <c r="A69" s="22"/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5"/>
        <v>0.49497199999999997</v>
      </c>
      <c r="I69" s="10">
        <v>0</v>
      </c>
    </row>
    <row r="70" spans="1:9" ht="15.75" hidden="1" customHeight="1">
      <c r="A70" s="22"/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5"/>
        <v>0.46179599999999998</v>
      </c>
      <c r="I70" s="10">
        <v>0</v>
      </c>
    </row>
    <row r="71" spans="1:9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5"/>
        <v>0.2666</v>
      </c>
      <c r="I71" s="10">
        <v>0</v>
      </c>
    </row>
    <row r="72" spans="1:9" ht="15.75" hidden="1" customHeight="1">
      <c r="A72" s="22"/>
      <c r="B72" s="52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si="5"/>
        <v>1.6776199999999999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5"/>
        <v>1</v>
      </c>
      <c r="I74" s="10">
        <v>0</v>
      </c>
    </row>
    <row r="75" spans="1:9" ht="15.75" hidden="1" customHeight="1">
      <c r="A75" s="22"/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5"/>
        <v>0.10724600000000001</v>
      </c>
      <c r="I75" s="10">
        <v>0</v>
      </c>
    </row>
    <row r="76" spans="1:9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5"/>
        <v>0.91185000000000005</v>
      </c>
      <c r="I76" s="10">
        <v>0</v>
      </c>
    </row>
    <row r="77" spans="1:9" ht="15.75" hidden="1" customHeight="1">
      <c r="A77" s="22"/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5"/>
        <v>0.38324999999999998</v>
      </c>
      <c r="I77" s="10">
        <v>0</v>
      </c>
    </row>
    <row r="78" spans="1:9" ht="15.75" hidden="1" customHeight="1">
      <c r="A78" s="22"/>
      <c r="B78" s="11" t="s">
        <v>160</v>
      </c>
      <c r="C78" s="13" t="s">
        <v>161</v>
      </c>
      <c r="D78" s="11"/>
      <c r="E78" s="16"/>
      <c r="F78" s="10"/>
      <c r="G78" s="10">
        <v>31.54</v>
      </c>
      <c r="H78" s="68">
        <f t="shared" si="5"/>
        <v>0</v>
      </c>
      <c r="I78" s="10"/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si="5"/>
        <v>0.294985</v>
      </c>
      <c r="I80" s="10">
        <v>0</v>
      </c>
    </row>
    <row r="81" spans="1:9" ht="15.75" hidden="1" customHeight="1">
      <c r="A81" s="22"/>
      <c r="B81" s="52" t="s">
        <v>98</v>
      </c>
      <c r="C81" s="89"/>
      <c r="D81" s="24"/>
      <c r="E81" s="25"/>
      <c r="F81" s="75"/>
      <c r="G81" s="75"/>
      <c r="H81" s="90">
        <f>SUM(H58:H80)</f>
        <v>112.00861796600002</v>
      </c>
      <c r="I81" s="75"/>
    </row>
    <row r="82" spans="1:9" ht="15.75" hidden="1" customHeight="1">
      <c r="A82" s="22"/>
      <c r="B82" s="69" t="s">
        <v>106</v>
      </c>
      <c r="C82" s="13"/>
      <c r="D82" s="11"/>
      <c r="E82" s="61"/>
      <c r="F82" s="10">
        <v>1</v>
      </c>
      <c r="G82" s="10">
        <v>18972</v>
      </c>
      <c r="H82" s="68">
        <f>G82*F82/1000</f>
        <v>18.972000000000001</v>
      </c>
      <c r="I82" s="10">
        <v>0</v>
      </c>
    </row>
    <row r="83" spans="1:9" ht="15.75" customHeight="1">
      <c r="A83" s="190" t="s">
        <v>152</v>
      </c>
      <c r="B83" s="191"/>
      <c r="C83" s="191"/>
      <c r="D83" s="191"/>
      <c r="E83" s="191"/>
      <c r="F83" s="191"/>
      <c r="G83" s="191"/>
      <c r="H83" s="191"/>
      <c r="I83" s="192"/>
    </row>
    <row r="84" spans="1:9" ht="15.75" customHeight="1">
      <c r="A84" s="22">
        <v>20</v>
      </c>
      <c r="B84" s="69" t="s">
        <v>107</v>
      </c>
      <c r="C84" s="13" t="s">
        <v>56</v>
      </c>
      <c r="D84" s="40" t="s">
        <v>57</v>
      </c>
      <c r="E84" s="10">
        <v>2820</v>
      </c>
      <c r="F84" s="10">
        <f>SUM(E84*12)</f>
        <v>33840</v>
      </c>
      <c r="G84" s="10">
        <v>2.54</v>
      </c>
      <c r="H84" s="68">
        <f>SUM(F84*G84/1000)</f>
        <v>85.953600000000009</v>
      </c>
      <c r="I84" s="10">
        <f>F84/12*G84</f>
        <v>7162.8</v>
      </c>
    </row>
    <row r="85" spans="1:9" ht="31.5" customHeight="1">
      <c r="A85" s="22">
        <v>21</v>
      </c>
      <c r="B85" s="11" t="s">
        <v>80</v>
      </c>
      <c r="C85" s="13"/>
      <c r="D85" s="40" t="s">
        <v>57</v>
      </c>
      <c r="E85" s="71">
        <f>E84</f>
        <v>2820</v>
      </c>
      <c r="F85" s="10">
        <f>E85*12</f>
        <v>33840</v>
      </c>
      <c r="G85" s="10">
        <v>2.0499999999999998</v>
      </c>
      <c r="H85" s="68">
        <f>F85*G85/1000</f>
        <v>69.372</v>
      </c>
      <c r="I85" s="10">
        <f>F85/12*G85</f>
        <v>5780.9999999999991</v>
      </c>
    </row>
    <row r="86" spans="1:9" ht="15.75" customHeight="1">
      <c r="A86" s="22"/>
      <c r="B86" s="29" t="s">
        <v>84</v>
      </c>
      <c r="C86" s="89"/>
      <c r="D86" s="88"/>
      <c r="E86" s="75"/>
      <c r="F86" s="75"/>
      <c r="G86" s="75"/>
      <c r="H86" s="90">
        <f>SUM(H85)</f>
        <v>69.372</v>
      </c>
      <c r="I86" s="75">
        <f>I16+I17+I18+I20+I21+I26+I27+I37+I38+I39+I41+I42+I43+I50+I54+I55+I58+I59+I60+I84+I85</f>
        <v>60318.787228500005</v>
      </c>
    </row>
    <row r="87" spans="1:9" ht="15.75" customHeight="1">
      <c r="A87" s="194" t="s">
        <v>62</v>
      </c>
      <c r="B87" s="195"/>
      <c r="C87" s="195"/>
      <c r="D87" s="195"/>
      <c r="E87" s="195"/>
      <c r="F87" s="195"/>
      <c r="G87" s="195"/>
      <c r="H87" s="195"/>
      <c r="I87" s="196"/>
    </row>
    <row r="88" spans="1:9" ht="31.5" customHeight="1">
      <c r="A88" s="22">
        <v>22</v>
      </c>
      <c r="B88" s="43" t="s">
        <v>193</v>
      </c>
      <c r="C88" s="44" t="s">
        <v>85</v>
      </c>
      <c r="D88" s="37"/>
      <c r="E88" s="10"/>
      <c r="F88" s="10">
        <v>1</v>
      </c>
      <c r="G88" s="10">
        <v>1272</v>
      </c>
      <c r="H88" s="68">
        <f t="shared" ref="H88:H92" si="6">G88*F88/1000</f>
        <v>1.272</v>
      </c>
      <c r="I88" s="10">
        <f>G88</f>
        <v>1272</v>
      </c>
    </row>
    <row r="89" spans="1:9" ht="31.5" customHeight="1">
      <c r="A89" s="22">
        <v>23</v>
      </c>
      <c r="B89" s="66" t="s">
        <v>194</v>
      </c>
      <c r="C89" s="22" t="s">
        <v>164</v>
      </c>
      <c r="D89" s="22"/>
      <c r="E89" s="16"/>
      <c r="F89" s="16">
        <v>1</v>
      </c>
      <c r="G89" s="16">
        <v>403.69</v>
      </c>
      <c r="H89" s="65">
        <f t="shared" si="6"/>
        <v>0.40368999999999999</v>
      </c>
      <c r="I89" s="10">
        <f>G89</f>
        <v>403.69</v>
      </c>
    </row>
    <row r="90" spans="1:9" ht="15.75" customHeight="1">
      <c r="A90" s="22">
        <v>24</v>
      </c>
      <c r="B90" s="41" t="s">
        <v>195</v>
      </c>
      <c r="C90" s="42" t="s">
        <v>110</v>
      </c>
      <c r="D90" s="22"/>
      <c r="E90" s="16"/>
      <c r="F90" s="16">
        <f>(3+3+3+3+3+3+3+3+15+20+15+20+10+10+20+15+10+20+3)/3</f>
        <v>60.666666666666664</v>
      </c>
      <c r="G90" s="16">
        <v>1120.8900000000001</v>
      </c>
      <c r="H90" s="65">
        <f t="shared" si="6"/>
        <v>68.000660000000011</v>
      </c>
      <c r="I90" s="10">
        <f>G90</f>
        <v>1120.8900000000001</v>
      </c>
    </row>
    <row r="91" spans="1:9" ht="31.5" customHeight="1">
      <c r="A91" s="22">
        <v>25</v>
      </c>
      <c r="B91" s="43" t="s">
        <v>83</v>
      </c>
      <c r="C91" s="22" t="s">
        <v>30</v>
      </c>
      <c r="D91" s="22"/>
      <c r="E91" s="16"/>
      <c r="F91" s="16">
        <v>2</v>
      </c>
      <c r="G91" s="16">
        <v>83.36</v>
      </c>
      <c r="H91" s="65">
        <f t="shared" si="6"/>
        <v>0.16672000000000001</v>
      </c>
      <c r="I91" s="10">
        <f>G91</f>
        <v>83.36</v>
      </c>
    </row>
    <row r="92" spans="1:9" ht="15.75" customHeight="1">
      <c r="A92" s="22">
        <v>26</v>
      </c>
      <c r="B92" s="123" t="s">
        <v>142</v>
      </c>
      <c r="C92" s="22" t="s">
        <v>30</v>
      </c>
      <c r="D92" s="22"/>
      <c r="E92" s="16"/>
      <c r="F92" s="16">
        <v>11.5</v>
      </c>
      <c r="G92" s="16">
        <v>1582</v>
      </c>
      <c r="H92" s="65">
        <f t="shared" si="6"/>
        <v>18.193000000000001</v>
      </c>
      <c r="I92" s="10">
        <f>G92</f>
        <v>1582</v>
      </c>
    </row>
    <row r="93" spans="1:9">
      <c r="A93" s="22"/>
      <c r="B93" s="35" t="s">
        <v>53</v>
      </c>
      <c r="C93" s="31"/>
      <c r="D93" s="38"/>
      <c r="E93" s="31">
        <v>1</v>
      </c>
      <c r="F93" s="31"/>
      <c r="G93" s="31"/>
      <c r="H93" s="31"/>
      <c r="I93" s="25">
        <f>SUM(I88:I92)</f>
        <v>4461.9400000000005</v>
      </c>
    </row>
    <row r="94" spans="1:9" ht="15.75" customHeight="1">
      <c r="A94" s="22"/>
      <c r="B94" s="37" t="s">
        <v>81</v>
      </c>
      <c r="C94" s="12"/>
      <c r="D94" s="12"/>
      <c r="E94" s="32"/>
      <c r="F94" s="32"/>
      <c r="G94" s="33"/>
      <c r="H94" s="33"/>
      <c r="I94" s="15">
        <v>0</v>
      </c>
    </row>
    <row r="95" spans="1:9" ht="15.75" customHeight="1">
      <c r="A95" s="39"/>
      <c r="B95" s="36" t="s">
        <v>270</v>
      </c>
      <c r="C95" s="26"/>
      <c r="D95" s="26"/>
      <c r="E95" s="26"/>
      <c r="F95" s="26"/>
      <c r="G95" s="26"/>
      <c r="H95" s="26"/>
      <c r="I95" s="34">
        <f>I86+I93</f>
        <v>64780.727228500007</v>
      </c>
    </row>
    <row r="96" spans="1:9" ht="15.75" customHeight="1">
      <c r="A96" s="193" t="s">
        <v>267</v>
      </c>
      <c r="B96" s="193"/>
      <c r="C96" s="193"/>
      <c r="D96" s="193"/>
      <c r="E96" s="193"/>
      <c r="F96" s="193"/>
      <c r="G96" s="193"/>
      <c r="H96" s="193"/>
      <c r="I96" s="193"/>
    </row>
    <row r="97" spans="1:9" ht="15.75" customHeight="1">
      <c r="A97" s="53"/>
      <c r="B97" s="199" t="s">
        <v>268</v>
      </c>
      <c r="C97" s="199"/>
      <c r="D97" s="199"/>
      <c r="E97" s="199"/>
      <c r="F97" s="199"/>
      <c r="G97" s="199"/>
      <c r="H97" s="64"/>
      <c r="I97" s="2"/>
    </row>
    <row r="98" spans="1:9" ht="15.75" customHeight="1">
      <c r="A98" s="50"/>
      <c r="B98" s="162" t="s">
        <v>6</v>
      </c>
      <c r="C98" s="162"/>
      <c r="D98" s="162"/>
      <c r="E98" s="162"/>
      <c r="F98" s="162"/>
      <c r="G98" s="162"/>
      <c r="H98" s="17"/>
      <c r="I98" s="4"/>
    </row>
    <row r="99" spans="1:9">
      <c r="A99" s="7"/>
      <c r="B99" s="7"/>
      <c r="C99" s="7"/>
      <c r="D99" s="7"/>
      <c r="E99" s="7"/>
      <c r="F99" s="7"/>
      <c r="G99" s="7"/>
      <c r="H99" s="7"/>
      <c r="I99" s="7"/>
    </row>
    <row r="100" spans="1:9" ht="15.75" customHeight="1">
      <c r="A100" s="168" t="s">
        <v>7</v>
      </c>
      <c r="B100" s="168"/>
      <c r="C100" s="168"/>
      <c r="D100" s="168"/>
      <c r="E100" s="168"/>
      <c r="F100" s="168"/>
      <c r="G100" s="168"/>
      <c r="H100" s="168"/>
      <c r="I100" s="168"/>
    </row>
    <row r="101" spans="1:9" ht="15.75">
      <c r="A101" s="168" t="s">
        <v>8</v>
      </c>
      <c r="B101" s="168"/>
      <c r="C101" s="168"/>
      <c r="D101" s="168"/>
      <c r="E101" s="168"/>
      <c r="F101" s="168"/>
      <c r="G101" s="168"/>
      <c r="H101" s="168"/>
      <c r="I101" s="168"/>
    </row>
    <row r="102" spans="1:9" ht="15.75">
      <c r="A102" s="164" t="s">
        <v>63</v>
      </c>
      <c r="B102" s="164"/>
      <c r="C102" s="164"/>
      <c r="D102" s="164"/>
      <c r="E102" s="164"/>
      <c r="F102" s="164"/>
      <c r="G102" s="164"/>
      <c r="H102" s="164"/>
      <c r="I102" s="164"/>
    </row>
    <row r="103" spans="1:9" ht="15.75">
      <c r="A103" s="8"/>
    </row>
    <row r="104" spans="1:9" ht="15.75">
      <c r="A104" s="170" t="s">
        <v>9</v>
      </c>
      <c r="B104" s="170"/>
      <c r="C104" s="170"/>
      <c r="D104" s="170"/>
      <c r="E104" s="170"/>
      <c r="F104" s="170"/>
      <c r="G104" s="170"/>
      <c r="H104" s="170"/>
      <c r="I104" s="170"/>
    </row>
    <row r="105" spans="1:9" ht="15.75">
      <c r="A105" s="3"/>
    </row>
    <row r="106" spans="1:9" ht="15.75" customHeight="1">
      <c r="B106" s="47" t="s">
        <v>10</v>
      </c>
      <c r="C106" s="197" t="s">
        <v>147</v>
      </c>
      <c r="D106" s="197"/>
      <c r="E106" s="197"/>
      <c r="F106" s="62"/>
      <c r="I106" s="49"/>
    </row>
    <row r="107" spans="1:9" ht="15.75" customHeight="1">
      <c r="A107" s="50"/>
      <c r="C107" s="162" t="s">
        <v>11</v>
      </c>
      <c r="D107" s="162"/>
      <c r="E107" s="162"/>
      <c r="F107" s="17"/>
      <c r="I107" s="48" t="s">
        <v>12</v>
      </c>
    </row>
    <row r="108" spans="1:9" ht="15.75" customHeight="1">
      <c r="A108" s="18"/>
      <c r="C108" s="9"/>
      <c r="D108" s="9"/>
      <c r="G108" s="9"/>
      <c r="H108" s="9"/>
    </row>
    <row r="109" spans="1:9" ht="15.75" customHeight="1">
      <c r="B109" s="47" t="s">
        <v>13</v>
      </c>
      <c r="C109" s="177"/>
      <c r="D109" s="177"/>
      <c r="E109" s="177"/>
      <c r="F109" s="63"/>
      <c r="I109" s="49"/>
    </row>
    <row r="110" spans="1:9">
      <c r="A110" s="50"/>
      <c r="C110" s="198" t="s">
        <v>11</v>
      </c>
      <c r="D110" s="198"/>
      <c r="E110" s="198"/>
      <c r="F110" s="50"/>
      <c r="I110" s="48" t="s">
        <v>12</v>
      </c>
    </row>
    <row r="111" spans="1:9" ht="15.75">
      <c r="A111" s="3" t="s">
        <v>14</v>
      </c>
    </row>
    <row r="112" spans="1:9">
      <c r="A112" s="165" t="s">
        <v>15</v>
      </c>
      <c r="B112" s="165"/>
      <c r="C112" s="165"/>
      <c r="D112" s="165"/>
      <c r="E112" s="165"/>
      <c r="F112" s="165"/>
      <c r="G112" s="165"/>
      <c r="H112" s="165"/>
      <c r="I112" s="165"/>
    </row>
    <row r="113" spans="1:9" ht="45" customHeight="1">
      <c r="A113" s="159" t="s">
        <v>16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30" customHeight="1">
      <c r="A114" s="159" t="s">
        <v>17</v>
      </c>
      <c r="B114" s="159"/>
      <c r="C114" s="159"/>
      <c r="D114" s="159"/>
      <c r="E114" s="159"/>
      <c r="F114" s="159"/>
      <c r="G114" s="159"/>
      <c r="H114" s="159"/>
      <c r="I114" s="159"/>
    </row>
    <row r="115" spans="1:9" ht="30" customHeight="1">
      <c r="A115" s="159" t="s">
        <v>21</v>
      </c>
      <c r="B115" s="159"/>
      <c r="C115" s="159"/>
      <c r="D115" s="159"/>
      <c r="E115" s="159"/>
      <c r="F115" s="159"/>
      <c r="G115" s="159"/>
      <c r="H115" s="159"/>
      <c r="I115" s="159"/>
    </row>
    <row r="116" spans="1:9" ht="15" customHeight="1">
      <c r="A116" s="159" t="s">
        <v>20</v>
      </c>
      <c r="B116" s="159"/>
      <c r="C116" s="159"/>
      <c r="D116" s="159"/>
      <c r="E116" s="159"/>
      <c r="F116" s="159"/>
      <c r="G116" s="159"/>
      <c r="H116" s="159"/>
      <c r="I116" s="159"/>
    </row>
  </sheetData>
  <mergeCells count="28">
    <mergeCell ref="A114:I114"/>
    <mergeCell ref="A115:I115"/>
    <mergeCell ref="A116:I116"/>
    <mergeCell ref="A44:I44"/>
    <mergeCell ref="A56:I56"/>
    <mergeCell ref="A83:I83"/>
    <mergeCell ref="C106:E106"/>
    <mergeCell ref="C107:E107"/>
    <mergeCell ref="C109:E109"/>
    <mergeCell ref="C110:E110"/>
    <mergeCell ref="A112:I112"/>
    <mergeCell ref="A113:I113"/>
    <mergeCell ref="B97:G97"/>
    <mergeCell ref="B98:G98"/>
    <mergeCell ref="A100:I100"/>
    <mergeCell ref="A101:I101"/>
    <mergeCell ref="A102:I102"/>
    <mergeCell ref="A104:I104"/>
    <mergeCell ref="A15:I15"/>
    <mergeCell ref="A28:I28"/>
    <mergeCell ref="A96:I96"/>
    <mergeCell ref="A87:I87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4"/>
  <sheetViews>
    <sheetView topLeftCell="A59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175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269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51"/>
      <c r="C6" s="51"/>
      <c r="D6" s="51"/>
      <c r="E6" s="51"/>
      <c r="F6" s="51"/>
      <c r="G6" s="51"/>
      <c r="H6" s="51"/>
      <c r="I6" s="23">
        <v>42794</v>
      </c>
    </row>
    <row r="7" spans="1:9" ht="15.75">
      <c r="B7" s="47"/>
      <c r="C7" s="47"/>
      <c r="D7" s="47"/>
      <c r="E7" s="2"/>
      <c r="F7" s="2"/>
      <c r="G7" s="2"/>
      <c r="H7" s="2"/>
    </row>
    <row r="8" spans="1:9" ht="78.75" customHeight="1">
      <c r="A8" s="180" t="s">
        <v>148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31.5" customHeight="1">
      <c r="A16" s="22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</row>
    <row r="17" spans="1:9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</row>
    <row r="18" spans="1:9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</row>
    <row r="19" spans="1:9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v>0</v>
      </c>
    </row>
    <row r="20" spans="1:9" ht="15.75" customHeight="1">
      <c r="A20" s="22">
        <v>4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</row>
    <row r="21" spans="1:9" ht="15.75" hidden="1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f>F21/6*G21</f>
        <v>6.2378100000000014</v>
      </c>
    </row>
    <row r="22" spans="1:9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v>0</v>
      </c>
    </row>
    <row r="23" spans="1:9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v>0</v>
      </c>
    </row>
    <row r="24" spans="1:9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v>0</v>
      </c>
    </row>
    <row r="25" spans="1:9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v>0</v>
      </c>
    </row>
    <row r="26" spans="1:9" ht="15.75" customHeight="1">
      <c r="A26" s="22">
        <v>5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>SUM(F26*G26/1000)</f>
        <v>5.737070000000001</v>
      </c>
      <c r="I26" s="10">
        <f>F26/12*G26</f>
        <v>478.08916666666664</v>
      </c>
    </row>
    <row r="27" spans="1:9" ht="15.75" customHeight="1">
      <c r="A27" s="22">
        <v>6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>SUM(F27*G27/1000)</f>
        <v>163.78560000000002</v>
      </c>
      <c r="I27" s="10">
        <f>F27/12*G27</f>
        <v>13648.8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hidden="1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31.5" hidden="1" customHeight="1">
      <c r="A30" s="22">
        <v>8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1">SUM(F30*G30/1000)</f>
        <v>1.080971892</v>
      </c>
      <c r="I30" s="10">
        <f>F30/6*G30</f>
        <v>180.16198199999997</v>
      </c>
    </row>
    <row r="31" spans="1:9" ht="31.5" hidden="1" customHeight="1">
      <c r="A31" s="22">
        <v>9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1"/>
        <v>1.0523934719999999</v>
      </c>
      <c r="I31" s="10">
        <f t="shared" ref="I31:I33" si="2">F31/6*G31</f>
        <v>175.398912</v>
      </c>
    </row>
    <row r="32" spans="1:9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1"/>
        <v>1.1979879792000001</v>
      </c>
      <c r="I32" s="10">
        <f>F32*G32</f>
        <v>1197.9879792000002</v>
      </c>
    </row>
    <row r="33" spans="1:9" ht="15.75" hidden="1" customHeight="1">
      <c r="A33" s="22">
        <v>10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157</v>
      </c>
      <c r="E34" s="71"/>
      <c r="F34" s="72">
        <v>3</v>
      </c>
      <c r="G34" s="72">
        <v>204.32</v>
      </c>
      <c r="H34" s="73">
        <f t="shared" si="1"/>
        <v>0.61296000000000006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157</v>
      </c>
      <c r="E35" s="71"/>
      <c r="F35" s="72">
        <v>2</v>
      </c>
      <c r="G35" s="72">
        <v>1214.73</v>
      </c>
      <c r="H35" s="73">
        <f t="shared" si="1"/>
        <v>2.4294600000000002</v>
      </c>
      <c r="I35" s="10">
        <v>0</v>
      </c>
    </row>
    <row r="36" spans="1:9" ht="15.75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customHeight="1">
      <c r="A37" s="22">
        <v>7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</row>
    <row r="38" spans="1:9" ht="15.75" customHeight="1">
      <c r="A38" s="22">
        <v>8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3">SUM(F38*G38/1000)</f>
        <v>2.9313559799999998</v>
      </c>
      <c r="I38" s="10">
        <f>F38/6*G38</f>
        <v>488.55932999999993</v>
      </c>
    </row>
    <row r="39" spans="1:9" ht="15.75" customHeight="1">
      <c r="A39" s="22">
        <v>9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3"/>
        <v>2.8361217999999999</v>
      </c>
      <c r="I39" s="10">
        <f>F39/6*G39</f>
        <v>472.68696666666665</v>
      </c>
    </row>
    <row r="40" spans="1:9" ht="15.75" hidden="1" customHeight="1">
      <c r="A40" s="22"/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3"/>
        <v>23.452000000000002</v>
      </c>
      <c r="I40" s="10">
        <v>0</v>
      </c>
    </row>
    <row r="41" spans="1:9" ht="47.25" customHeight="1">
      <c r="A41" s="22">
        <v>10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3"/>
        <v>9.4386193649999992</v>
      </c>
      <c r="I41" s="10">
        <f>F41/6*G41</f>
        <v>1573.1032275</v>
      </c>
    </row>
    <row r="42" spans="1:9" ht="15.75" customHeight="1">
      <c r="A42" s="22">
        <v>11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3"/>
        <v>0.89646442199999987</v>
      </c>
      <c r="I42" s="10">
        <f>F42/6*G42</f>
        <v>149.41073699999998</v>
      </c>
    </row>
    <row r="43" spans="1:9" ht="15.75" customHeight="1">
      <c r="A43" s="22">
        <v>12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3"/>
        <v>0.76775400000000005</v>
      </c>
      <c r="I43" s="10">
        <f>F43/6*G43</f>
        <v>127.95899999999999</v>
      </c>
    </row>
    <row r="44" spans="1:9" ht="15.75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hidden="1" customHeight="1">
      <c r="A45" s="22"/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4">SUM(F45*G45/1000)</f>
        <v>1.9206154680000005</v>
      </c>
      <c r="I45" s="10">
        <v>0</v>
      </c>
    </row>
    <row r="46" spans="1:9" ht="15.75" hidden="1" customHeight="1">
      <c r="A46" s="22"/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4"/>
        <v>0.13132552</v>
      </c>
      <c r="I46" s="10">
        <v>0</v>
      </c>
    </row>
    <row r="47" spans="1:9" ht="15.75" hidden="1" customHeight="1">
      <c r="A47" s="22"/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4"/>
        <v>1.9367726630000004</v>
      </c>
      <c r="I47" s="10">
        <v>0</v>
      </c>
    </row>
    <row r="48" spans="1:9" ht="15.75" hidden="1" customHeight="1">
      <c r="A48" s="22"/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4"/>
        <v>2.1010746879999997</v>
      </c>
      <c r="I48" s="10">
        <v>0</v>
      </c>
    </row>
    <row r="49" spans="1:9" ht="15.75" hidden="1" customHeight="1">
      <c r="A49" s="22"/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4"/>
        <v>0.13363571200000002</v>
      </c>
      <c r="I49" s="10">
        <v>0</v>
      </c>
    </row>
    <row r="50" spans="1:9" ht="15.75" customHeight="1">
      <c r="A50" s="22">
        <v>13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4"/>
        <v>5.7761391999999994</v>
      </c>
      <c r="I50" s="10">
        <f>F50/5*G50</f>
        <v>1155.22784</v>
      </c>
    </row>
    <row r="51" spans="1:9" ht="31.5" hidden="1" customHeight="1">
      <c r="A51" s="22"/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4"/>
        <v>2.31045568</v>
      </c>
      <c r="I51" s="10">
        <v>0</v>
      </c>
    </row>
    <row r="52" spans="1:9" ht="31.5" hidden="1" customHeight="1">
      <c r="A52" s="22"/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4"/>
        <v>1.167556</v>
      </c>
      <c r="I52" s="10">
        <v>0</v>
      </c>
    </row>
    <row r="53" spans="1:9" ht="15.75" hidden="1" customHeight="1">
      <c r="A53" s="22"/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4"/>
        <v>0.1208424</v>
      </c>
      <c r="I53" s="10">
        <v>0</v>
      </c>
    </row>
    <row r="54" spans="1:9" ht="15.75" hidden="1" customHeight="1">
      <c r="A54" s="22">
        <v>15</v>
      </c>
      <c r="B54" s="69" t="s">
        <v>108</v>
      </c>
      <c r="C54" s="70" t="s">
        <v>102</v>
      </c>
      <c r="D54" s="69" t="s">
        <v>41</v>
      </c>
      <c r="E54" s="71">
        <v>62</v>
      </c>
      <c r="F54" s="72">
        <f>SUM(E54*4)</f>
        <v>248</v>
      </c>
      <c r="G54" s="10">
        <v>150.86000000000001</v>
      </c>
      <c r="H54" s="73">
        <f t="shared" si="4"/>
        <v>37.413280000000007</v>
      </c>
      <c r="I54" s="10">
        <f>E54*G54</f>
        <v>9353.3200000000015</v>
      </c>
    </row>
    <row r="55" spans="1:9" ht="15.75" hidden="1" customHeight="1">
      <c r="A55" s="22">
        <v>16</v>
      </c>
      <c r="B55" s="69" t="s">
        <v>42</v>
      </c>
      <c r="C55" s="70" t="s">
        <v>102</v>
      </c>
      <c r="D55" s="69" t="s">
        <v>74</v>
      </c>
      <c r="E55" s="71">
        <v>124</v>
      </c>
      <c r="F55" s="72">
        <f>SUM(E55)*3</f>
        <v>372</v>
      </c>
      <c r="G55" s="10">
        <v>70.209999999999994</v>
      </c>
      <c r="H55" s="73">
        <f t="shared" si="4"/>
        <v>26.118119999999998</v>
      </c>
      <c r="I55" s="10">
        <f>E55*G55</f>
        <v>8706.0399999999991</v>
      </c>
    </row>
    <row r="56" spans="1:9" ht="15.75" customHeight="1">
      <c r="A56" s="190" t="s">
        <v>151</v>
      </c>
      <c r="B56" s="191"/>
      <c r="C56" s="191"/>
      <c r="D56" s="191"/>
      <c r="E56" s="191"/>
      <c r="F56" s="191"/>
      <c r="G56" s="191"/>
      <c r="H56" s="191"/>
      <c r="I56" s="192"/>
    </row>
    <row r="57" spans="1:9" ht="15.75" customHeight="1">
      <c r="A57" s="22"/>
      <c r="B57" s="92" t="s">
        <v>44</v>
      </c>
      <c r="C57" s="70"/>
      <c r="D57" s="69"/>
      <c r="E57" s="71"/>
      <c r="F57" s="72"/>
      <c r="G57" s="72"/>
      <c r="H57" s="73"/>
      <c r="I57" s="10"/>
    </row>
    <row r="58" spans="1:9" ht="31.5" customHeight="1">
      <c r="A58" s="22">
        <v>14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</row>
    <row r="59" spans="1:9" ht="31.5" customHeight="1">
      <c r="A59" s="22">
        <v>15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</row>
    <row r="60" spans="1:9" ht="31.5" customHeight="1">
      <c r="A60" s="22">
        <v>16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</row>
    <row r="61" spans="1:9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"/>
    </row>
    <row r="62" spans="1:9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</row>
    <row r="63" spans="1:9" ht="15.75" hidden="1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80" si="5">SUM(F64*G64/1000)</f>
        <v>2.3774000000000002</v>
      </c>
      <c r="I64" s="10">
        <v>0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5"/>
        <v>0.24453000000000003</v>
      </c>
      <c r="I65" s="10">
        <v>0</v>
      </c>
    </row>
    <row r="66" spans="1:9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5"/>
        <v>30.192552699999997</v>
      </c>
      <c r="I66" s="10">
        <v>0</v>
      </c>
    </row>
    <row r="67" spans="1:9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5"/>
        <v>2.3512089300000003</v>
      </c>
      <c r="I67" s="10">
        <v>0</v>
      </c>
    </row>
    <row r="68" spans="1:9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5"/>
        <v>48.436315200000003</v>
      </c>
      <c r="I68" s="10">
        <v>0</v>
      </c>
    </row>
    <row r="69" spans="1:9" ht="15.75" hidden="1" customHeight="1">
      <c r="A69" s="22"/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5"/>
        <v>0.49497199999999997</v>
      </c>
      <c r="I69" s="10">
        <v>0</v>
      </c>
    </row>
    <row r="70" spans="1:9" ht="15.75" hidden="1" customHeight="1">
      <c r="A70" s="22"/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5"/>
        <v>0.46179599999999998</v>
      </c>
      <c r="I70" s="10">
        <v>0</v>
      </c>
    </row>
    <row r="71" spans="1:9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5"/>
        <v>0.2666</v>
      </c>
      <c r="I71" s="10">
        <v>0</v>
      </c>
    </row>
    <row r="72" spans="1:9" ht="15.75" hidden="1" customHeight="1">
      <c r="A72" s="22"/>
      <c r="B72" s="52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si="5"/>
        <v>1.6776199999999999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5"/>
        <v>1</v>
      </c>
      <c r="I74" s="10">
        <v>0</v>
      </c>
    </row>
    <row r="75" spans="1:9" ht="15.75" hidden="1" customHeight="1">
      <c r="A75" s="22"/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5"/>
        <v>0.10724600000000001</v>
      </c>
      <c r="I75" s="10">
        <v>0</v>
      </c>
    </row>
    <row r="76" spans="1:9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5"/>
        <v>0.91185000000000005</v>
      </c>
      <c r="I76" s="10">
        <v>0</v>
      </c>
    </row>
    <row r="77" spans="1:9" ht="15.75" hidden="1" customHeight="1">
      <c r="A77" s="22"/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5"/>
        <v>0.38324999999999998</v>
      </c>
      <c r="I77" s="10">
        <v>0</v>
      </c>
    </row>
    <row r="78" spans="1:9" ht="15.75" hidden="1" customHeight="1">
      <c r="A78" s="22"/>
      <c r="B78" s="11" t="s">
        <v>160</v>
      </c>
      <c r="C78" s="13" t="s">
        <v>161</v>
      </c>
      <c r="D78" s="11"/>
      <c r="E78" s="16"/>
      <c r="F78" s="10"/>
      <c r="G78" s="10">
        <v>31.54</v>
      </c>
      <c r="H78" s="68">
        <f t="shared" si="5"/>
        <v>0</v>
      </c>
      <c r="I78" s="10"/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si="5"/>
        <v>0.294985</v>
      </c>
      <c r="I80" s="10">
        <v>0</v>
      </c>
    </row>
    <row r="81" spans="1:9" ht="15.75" hidden="1" customHeight="1">
      <c r="A81" s="22"/>
      <c r="B81" s="52" t="s">
        <v>98</v>
      </c>
      <c r="C81" s="89"/>
      <c r="D81" s="24"/>
      <c r="E81" s="25"/>
      <c r="F81" s="75"/>
      <c r="G81" s="75"/>
      <c r="H81" s="90">
        <f>SUM(H58:H80)</f>
        <v>112.00861796600002</v>
      </c>
      <c r="I81" s="75"/>
    </row>
    <row r="82" spans="1:9" ht="15.75" hidden="1" customHeight="1">
      <c r="A82" s="22"/>
      <c r="B82" s="69" t="s">
        <v>106</v>
      </c>
      <c r="C82" s="13"/>
      <c r="D82" s="11"/>
      <c r="E82" s="61"/>
      <c r="F82" s="10">
        <v>1</v>
      </c>
      <c r="G82" s="10">
        <v>18972</v>
      </c>
      <c r="H82" s="68">
        <f>G82*F82/1000</f>
        <v>18.972000000000001</v>
      </c>
      <c r="I82" s="10">
        <v>0</v>
      </c>
    </row>
    <row r="83" spans="1:9" ht="15.75" customHeight="1">
      <c r="A83" s="190" t="s">
        <v>152</v>
      </c>
      <c r="B83" s="191"/>
      <c r="C83" s="191"/>
      <c r="D83" s="191"/>
      <c r="E83" s="191"/>
      <c r="F83" s="191"/>
      <c r="G83" s="191"/>
      <c r="H83" s="191"/>
      <c r="I83" s="192"/>
    </row>
    <row r="84" spans="1:9" ht="15.75" customHeight="1">
      <c r="A84" s="22">
        <v>17</v>
      </c>
      <c r="B84" s="69" t="s">
        <v>107</v>
      </c>
      <c r="C84" s="13" t="s">
        <v>56</v>
      </c>
      <c r="D84" s="40" t="s">
        <v>57</v>
      </c>
      <c r="E84" s="10">
        <v>2820</v>
      </c>
      <c r="F84" s="10">
        <f>SUM(E84*12)</f>
        <v>33840</v>
      </c>
      <c r="G84" s="10">
        <v>2.54</v>
      </c>
      <c r="H84" s="68">
        <f>SUM(F84*G84/1000)</f>
        <v>85.953600000000009</v>
      </c>
      <c r="I84" s="10">
        <f>F84/12*G84</f>
        <v>7162.8</v>
      </c>
    </row>
    <row r="85" spans="1:9" ht="31.5" customHeight="1">
      <c r="A85" s="22">
        <v>18</v>
      </c>
      <c r="B85" s="11" t="s">
        <v>80</v>
      </c>
      <c r="C85" s="13"/>
      <c r="D85" s="40" t="s">
        <v>57</v>
      </c>
      <c r="E85" s="71">
        <f>E84</f>
        <v>2820</v>
      </c>
      <c r="F85" s="10">
        <f>E85*12</f>
        <v>33840</v>
      </c>
      <c r="G85" s="10">
        <v>2.0499999999999998</v>
      </c>
      <c r="H85" s="68">
        <f>F85*G85/1000</f>
        <v>69.372</v>
      </c>
      <c r="I85" s="10">
        <f>F85/12*G85</f>
        <v>5780.9999999999991</v>
      </c>
    </row>
    <row r="86" spans="1:9" ht="15.75" customHeight="1">
      <c r="A86" s="22"/>
      <c r="B86" s="29" t="s">
        <v>84</v>
      </c>
      <c r="C86" s="89"/>
      <c r="D86" s="88"/>
      <c r="E86" s="75"/>
      <c r="F86" s="75"/>
      <c r="G86" s="75"/>
      <c r="H86" s="90">
        <f>SUM(H85)</f>
        <v>69.372</v>
      </c>
      <c r="I86" s="75">
        <f>I16+I17+I18+I20+I26+I27+I37+I38+I39+I41+I42+I43+I50+I58+I59+I60+I84+I85</f>
        <v>42253.189418500006</v>
      </c>
    </row>
    <row r="87" spans="1:9" ht="15.75" customHeight="1">
      <c r="A87" s="194" t="s">
        <v>62</v>
      </c>
      <c r="B87" s="195"/>
      <c r="C87" s="195"/>
      <c r="D87" s="195"/>
      <c r="E87" s="195"/>
      <c r="F87" s="195"/>
      <c r="G87" s="195"/>
      <c r="H87" s="195"/>
      <c r="I87" s="196"/>
    </row>
    <row r="88" spans="1:9" ht="15.75" customHeight="1">
      <c r="A88" s="22">
        <v>19</v>
      </c>
      <c r="B88" s="41" t="s">
        <v>195</v>
      </c>
      <c r="C88" s="42" t="s">
        <v>110</v>
      </c>
      <c r="D88" s="30"/>
      <c r="E88" s="15"/>
      <c r="F88" s="137">
        <f>(3+3+3+3+3+3+3+3+15+20+15+20+10+10+20+15+10+20+3)/3</f>
        <v>60.666666666666664</v>
      </c>
      <c r="G88" s="15">
        <v>1120.8900000000001</v>
      </c>
      <c r="H88" s="138">
        <f t="shared" ref="H88:H90" si="6">G88*F88/1000</f>
        <v>68.000660000000011</v>
      </c>
      <c r="I88" s="10">
        <f>G88*7</f>
        <v>7846.2300000000005</v>
      </c>
    </row>
    <row r="89" spans="1:9" ht="15.75" customHeight="1">
      <c r="A89" s="22">
        <v>20</v>
      </c>
      <c r="B89" s="123" t="s">
        <v>142</v>
      </c>
      <c r="C89" s="22" t="s">
        <v>30</v>
      </c>
      <c r="D89" s="30"/>
      <c r="E89" s="15"/>
      <c r="F89" s="137">
        <v>11.5</v>
      </c>
      <c r="G89" s="15">
        <v>1582</v>
      </c>
      <c r="H89" s="138">
        <f t="shared" si="6"/>
        <v>18.193000000000001</v>
      </c>
      <c r="I89" s="10">
        <f>G89</f>
        <v>1582</v>
      </c>
    </row>
    <row r="90" spans="1:9" ht="15.75" customHeight="1">
      <c r="A90" s="22">
        <v>21</v>
      </c>
      <c r="B90" s="45" t="s">
        <v>196</v>
      </c>
      <c r="C90" s="46" t="s">
        <v>102</v>
      </c>
      <c r="D90" s="30"/>
      <c r="E90" s="15"/>
      <c r="F90" s="137">
        <v>2</v>
      </c>
      <c r="G90" s="15">
        <v>126.82</v>
      </c>
      <c r="H90" s="138">
        <f t="shared" si="6"/>
        <v>0.25363999999999998</v>
      </c>
      <c r="I90" s="10">
        <f>G90*2</f>
        <v>253.64</v>
      </c>
    </row>
    <row r="91" spans="1:9">
      <c r="A91" s="22"/>
      <c r="B91" s="35" t="s">
        <v>53</v>
      </c>
      <c r="C91" s="31"/>
      <c r="D91" s="38"/>
      <c r="E91" s="31">
        <v>1</v>
      </c>
      <c r="F91" s="31"/>
      <c r="G91" s="31"/>
      <c r="H91" s="31"/>
      <c r="I91" s="25">
        <f>SUM(I88:I90)</f>
        <v>9681.869999999999</v>
      </c>
    </row>
    <row r="92" spans="1:9" ht="15.75" customHeight="1">
      <c r="A92" s="22"/>
      <c r="B92" s="37" t="s">
        <v>81</v>
      </c>
      <c r="C92" s="12"/>
      <c r="D92" s="12"/>
      <c r="E92" s="32"/>
      <c r="F92" s="32"/>
      <c r="G92" s="33"/>
      <c r="H92" s="33"/>
      <c r="I92" s="15">
        <v>0</v>
      </c>
    </row>
    <row r="93" spans="1:9" ht="15.75" customHeight="1">
      <c r="A93" s="39"/>
      <c r="B93" s="36" t="s">
        <v>270</v>
      </c>
      <c r="C93" s="26"/>
      <c r="D93" s="26"/>
      <c r="E93" s="26"/>
      <c r="F93" s="26"/>
      <c r="G93" s="26"/>
      <c r="H93" s="26"/>
      <c r="I93" s="34">
        <f>I86+I91</f>
        <v>51935.059418500008</v>
      </c>
    </row>
    <row r="94" spans="1:9" ht="15.75" customHeight="1">
      <c r="A94" s="193" t="s">
        <v>271</v>
      </c>
      <c r="B94" s="193"/>
      <c r="C94" s="193"/>
      <c r="D94" s="193"/>
      <c r="E94" s="193"/>
      <c r="F94" s="193"/>
      <c r="G94" s="193"/>
      <c r="H94" s="193"/>
      <c r="I94" s="193"/>
    </row>
    <row r="95" spans="1:9" ht="15.75" customHeight="1">
      <c r="A95" s="53"/>
      <c r="B95" s="199" t="s">
        <v>272</v>
      </c>
      <c r="C95" s="199"/>
      <c r="D95" s="199"/>
      <c r="E95" s="199"/>
      <c r="F95" s="199"/>
      <c r="G95" s="199"/>
      <c r="H95" s="64"/>
      <c r="I95" s="2"/>
    </row>
    <row r="96" spans="1:9" ht="15.75" customHeight="1">
      <c r="A96" s="50"/>
      <c r="B96" s="162" t="s">
        <v>6</v>
      </c>
      <c r="C96" s="162"/>
      <c r="D96" s="162"/>
      <c r="E96" s="162"/>
      <c r="F96" s="162"/>
      <c r="G96" s="162"/>
      <c r="H96" s="17"/>
      <c r="I96" s="4"/>
    </row>
    <row r="97" spans="1:9">
      <c r="A97" s="7"/>
      <c r="B97" s="7"/>
      <c r="C97" s="7"/>
      <c r="D97" s="7"/>
      <c r="E97" s="7"/>
      <c r="F97" s="7"/>
      <c r="G97" s="7"/>
      <c r="H97" s="7"/>
      <c r="I97" s="7"/>
    </row>
    <row r="98" spans="1:9" ht="15.75" customHeight="1">
      <c r="A98" s="168" t="s">
        <v>7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68" t="s">
        <v>8</v>
      </c>
      <c r="B99" s="168"/>
      <c r="C99" s="168"/>
      <c r="D99" s="168"/>
      <c r="E99" s="168"/>
      <c r="F99" s="168"/>
      <c r="G99" s="168"/>
      <c r="H99" s="168"/>
      <c r="I99" s="168"/>
    </row>
    <row r="100" spans="1:9" ht="15.75">
      <c r="A100" s="164" t="s">
        <v>63</v>
      </c>
      <c r="B100" s="164"/>
      <c r="C100" s="164"/>
      <c r="D100" s="164"/>
      <c r="E100" s="164"/>
      <c r="F100" s="164"/>
      <c r="G100" s="164"/>
      <c r="H100" s="164"/>
      <c r="I100" s="164"/>
    </row>
    <row r="101" spans="1:9" ht="15.75">
      <c r="A101" s="8"/>
    </row>
    <row r="102" spans="1:9" ht="15.75">
      <c r="A102" s="170" t="s">
        <v>9</v>
      </c>
      <c r="B102" s="170"/>
      <c r="C102" s="170"/>
      <c r="D102" s="170"/>
      <c r="E102" s="170"/>
      <c r="F102" s="170"/>
      <c r="G102" s="170"/>
      <c r="H102" s="170"/>
      <c r="I102" s="170"/>
    </row>
    <row r="103" spans="1:9" ht="15.75">
      <c r="A103" s="3"/>
    </row>
    <row r="104" spans="1:9" ht="15.75" customHeight="1">
      <c r="B104" s="47" t="s">
        <v>10</v>
      </c>
      <c r="C104" s="197" t="s">
        <v>147</v>
      </c>
      <c r="D104" s="197"/>
      <c r="E104" s="197"/>
      <c r="F104" s="62"/>
      <c r="I104" s="49"/>
    </row>
    <row r="105" spans="1:9" ht="15.75" customHeight="1">
      <c r="A105" s="50"/>
      <c r="C105" s="162" t="s">
        <v>11</v>
      </c>
      <c r="D105" s="162"/>
      <c r="E105" s="162"/>
      <c r="F105" s="17"/>
      <c r="I105" s="48" t="s">
        <v>12</v>
      </c>
    </row>
    <row r="106" spans="1:9" ht="15.75" customHeight="1">
      <c r="A106" s="18"/>
      <c r="C106" s="9"/>
      <c r="D106" s="9"/>
      <c r="G106" s="9"/>
      <c r="H106" s="9"/>
    </row>
    <row r="107" spans="1:9" ht="15.75" customHeight="1">
      <c r="B107" s="47" t="s">
        <v>13</v>
      </c>
      <c r="C107" s="177"/>
      <c r="D107" s="177"/>
      <c r="E107" s="177"/>
      <c r="F107" s="63"/>
      <c r="I107" s="49"/>
    </row>
    <row r="108" spans="1:9">
      <c r="A108" s="50"/>
      <c r="C108" s="198" t="s">
        <v>11</v>
      </c>
      <c r="D108" s="198"/>
      <c r="E108" s="198"/>
      <c r="F108" s="50"/>
      <c r="I108" s="48" t="s">
        <v>12</v>
      </c>
    </row>
    <row r="109" spans="1:9" ht="15.75">
      <c r="A109" s="3" t="s">
        <v>14</v>
      </c>
    </row>
    <row r="110" spans="1:9">
      <c r="A110" s="165" t="s">
        <v>15</v>
      </c>
      <c r="B110" s="165"/>
      <c r="C110" s="165"/>
      <c r="D110" s="165"/>
      <c r="E110" s="165"/>
      <c r="F110" s="165"/>
      <c r="G110" s="165"/>
      <c r="H110" s="165"/>
      <c r="I110" s="165"/>
    </row>
    <row r="111" spans="1:9" ht="45" customHeight="1">
      <c r="A111" s="159" t="s">
        <v>16</v>
      </c>
      <c r="B111" s="159"/>
      <c r="C111" s="159"/>
      <c r="D111" s="159"/>
      <c r="E111" s="159"/>
      <c r="F111" s="159"/>
      <c r="G111" s="159"/>
      <c r="H111" s="159"/>
      <c r="I111" s="159"/>
    </row>
    <row r="112" spans="1:9" ht="30" customHeight="1">
      <c r="A112" s="159" t="s">
        <v>17</v>
      </c>
      <c r="B112" s="159"/>
      <c r="C112" s="159"/>
      <c r="D112" s="159"/>
      <c r="E112" s="159"/>
      <c r="F112" s="159"/>
      <c r="G112" s="159"/>
      <c r="H112" s="159"/>
      <c r="I112" s="159"/>
    </row>
    <row r="113" spans="1:9" ht="30" customHeight="1">
      <c r="A113" s="159" t="s">
        <v>21</v>
      </c>
      <c r="B113" s="159"/>
      <c r="C113" s="159"/>
      <c r="D113" s="159"/>
      <c r="E113" s="159"/>
      <c r="F113" s="159"/>
      <c r="G113" s="159"/>
      <c r="H113" s="159"/>
      <c r="I113" s="159"/>
    </row>
    <row r="114" spans="1:9" ht="15" customHeight="1">
      <c r="A114" s="159" t="s">
        <v>20</v>
      </c>
      <c r="B114" s="159"/>
      <c r="C114" s="159"/>
      <c r="D114" s="159"/>
      <c r="E114" s="159"/>
      <c r="F114" s="159"/>
      <c r="G114" s="159"/>
      <c r="H114" s="159"/>
      <c r="I114" s="159"/>
    </row>
  </sheetData>
  <mergeCells count="28">
    <mergeCell ref="A112:I112"/>
    <mergeCell ref="A113:I113"/>
    <mergeCell ref="A114:I114"/>
    <mergeCell ref="C104:E104"/>
    <mergeCell ref="C105:E105"/>
    <mergeCell ref="C107:E107"/>
    <mergeCell ref="C108:E108"/>
    <mergeCell ref="A110:I110"/>
    <mergeCell ref="A111:I111"/>
    <mergeCell ref="A102:I102"/>
    <mergeCell ref="A15:I15"/>
    <mergeCell ref="A28:I28"/>
    <mergeCell ref="A44:I44"/>
    <mergeCell ref="A56:I56"/>
    <mergeCell ref="A83:I83"/>
    <mergeCell ref="A94:I94"/>
    <mergeCell ref="B95:G95"/>
    <mergeCell ref="B96:G96"/>
    <mergeCell ref="A98:I98"/>
    <mergeCell ref="A99:I99"/>
    <mergeCell ref="A100:I100"/>
    <mergeCell ref="A87:I87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9"/>
  <sheetViews>
    <sheetView topLeftCell="A86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176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273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56"/>
      <c r="C6" s="56"/>
      <c r="D6" s="56"/>
      <c r="E6" s="56"/>
      <c r="F6" s="56"/>
      <c r="G6" s="56"/>
      <c r="H6" s="56"/>
      <c r="I6" s="23">
        <v>42825</v>
      </c>
    </row>
    <row r="7" spans="1:9" ht="15.75">
      <c r="B7" s="58"/>
      <c r="C7" s="58"/>
      <c r="D7" s="58"/>
      <c r="E7" s="2"/>
      <c r="F7" s="2"/>
      <c r="G7" s="2"/>
      <c r="H7" s="2"/>
    </row>
    <row r="8" spans="1:9" ht="78.75" customHeight="1">
      <c r="A8" s="180" t="s">
        <v>148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31.5" customHeight="1">
      <c r="A16" s="22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</row>
    <row r="17" spans="1:9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</row>
    <row r="18" spans="1:9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</row>
    <row r="19" spans="1:9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v>0</v>
      </c>
    </row>
    <row r="20" spans="1:9" ht="15.75" customHeight="1">
      <c r="A20" s="22">
        <v>4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</row>
    <row r="21" spans="1:9" ht="15.75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f>F21/6*G21</f>
        <v>6.2378100000000014</v>
      </c>
    </row>
    <row r="22" spans="1:9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v>0</v>
      </c>
    </row>
    <row r="23" spans="1:9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v>0</v>
      </c>
    </row>
    <row r="24" spans="1:9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v>0</v>
      </c>
    </row>
    <row r="25" spans="1:9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v>0</v>
      </c>
    </row>
    <row r="26" spans="1:9" ht="15.75" customHeight="1">
      <c r="A26" s="22">
        <v>6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>SUM(F26*G26/1000)</f>
        <v>5.737070000000001</v>
      </c>
      <c r="I26" s="10">
        <f>F26/12*G26</f>
        <v>478.08916666666664</v>
      </c>
    </row>
    <row r="27" spans="1:9" ht="15.75" customHeight="1">
      <c r="A27" s="22">
        <v>7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>SUM(F27*G27/1000)</f>
        <v>163.78560000000002</v>
      </c>
      <c r="I27" s="10">
        <f>F27/12*G27</f>
        <v>13648.8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hidden="1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31.5" hidden="1" customHeight="1">
      <c r="A30" s="22">
        <v>8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1">SUM(F30*G30/1000)</f>
        <v>1.080971892</v>
      </c>
      <c r="I30" s="10">
        <f>F30/6*G30</f>
        <v>180.16198199999997</v>
      </c>
    </row>
    <row r="31" spans="1:9" ht="31.5" hidden="1" customHeight="1">
      <c r="A31" s="22">
        <v>9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1"/>
        <v>1.0523934719999999</v>
      </c>
      <c r="I31" s="10">
        <f t="shared" ref="I31:I33" si="2">F31/6*G31</f>
        <v>175.398912</v>
      </c>
    </row>
    <row r="32" spans="1:9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1"/>
        <v>1.1979879792000001</v>
      </c>
      <c r="I32" s="10">
        <f>F32*G32</f>
        <v>1197.9879792000002</v>
      </c>
    </row>
    <row r="33" spans="1:9" ht="15.75" hidden="1" customHeight="1">
      <c r="A33" s="22">
        <v>10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157</v>
      </c>
      <c r="E34" s="71"/>
      <c r="F34" s="72">
        <v>3</v>
      </c>
      <c r="G34" s="72">
        <v>204.32</v>
      </c>
      <c r="H34" s="73">
        <f t="shared" si="1"/>
        <v>0.61296000000000006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157</v>
      </c>
      <c r="E35" s="71"/>
      <c r="F35" s="72">
        <v>2</v>
      </c>
      <c r="G35" s="72">
        <v>1214.73</v>
      </c>
      <c r="H35" s="73">
        <f t="shared" si="1"/>
        <v>2.4294600000000002</v>
      </c>
      <c r="I35" s="10">
        <v>0</v>
      </c>
    </row>
    <row r="36" spans="1:9" ht="15.75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customHeight="1">
      <c r="A37" s="22">
        <v>8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</row>
    <row r="38" spans="1:9" ht="15.75" customHeight="1">
      <c r="A38" s="22">
        <v>9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3">SUM(F38*G38/1000)</f>
        <v>2.9313559799999998</v>
      </c>
      <c r="I38" s="10">
        <f>F38/6*G38</f>
        <v>488.55932999999993</v>
      </c>
    </row>
    <row r="39" spans="1:9" ht="15.75" customHeight="1">
      <c r="A39" s="22">
        <v>10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3"/>
        <v>2.8361217999999999</v>
      </c>
      <c r="I39" s="10">
        <f>F39/6*G39</f>
        <v>472.68696666666665</v>
      </c>
    </row>
    <row r="40" spans="1:9" ht="15.75" hidden="1" customHeight="1">
      <c r="A40" s="22"/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3"/>
        <v>23.452000000000002</v>
      </c>
      <c r="I40" s="10">
        <v>0</v>
      </c>
    </row>
    <row r="41" spans="1:9" ht="47.25" customHeight="1">
      <c r="A41" s="22">
        <v>11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3"/>
        <v>9.4386193649999992</v>
      </c>
      <c r="I41" s="10">
        <f>F41/6*G41</f>
        <v>1573.1032275</v>
      </c>
    </row>
    <row r="42" spans="1:9" ht="15.75" customHeight="1">
      <c r="A42" s="22">
        <v>12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3"/>
        <v>0.89646442199999987</v>
      </c>
      <c r="I42" s="10">
        <f>F42/6*G42</f>
        <v>149.41073699999998</v>
      </c>
    </row>
    <row r="43" spans="1:9" ht="15.75" customHeight="1">
      <c r="A43" s="22">
        <v>13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3"/>
        <v>0.76775400000000005</v>
      </c>
      <c r="I43" s="10">
        <f>F43/6*G43</f>
        <v>127.95899999999999</v>
      </c>
    </row>
    <row r="44" spans="1:9" ht="15.75" hidden="1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hidden="1" customHeight="1">
      <c r="A45" s="22"/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4">SUM(F45*G45/1000)</f>
        <v>1.9206154680000005</v>
      </c>
      <c r="I45" s="10">
        <v>0</v>
      </c>
    </row>
    <row r="46" spans="1:9" ht="15.75" hidden="1" customHeight="1">
      <c r="A46" s="22"/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4"/>
        <v>0.13132552</v>
      </c>
      <c r="I46" s="10">
        <v>0</v>
      </c>
    </row>
    <row r="47" spans="1:9" ht="15.75" hidden="1" customHeight="1">
      <c r="A47" s="22"/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4"/>
        <v>1.9367726630000004</v>
      </c>
      <c r="I47" s="10">
        <v>0</v>
      </c>
    </row>
    <row r="48" spans="1:9" ht="15.75" hidden="1" customHeight="1">
      <c r="A48" s="22"/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4"/>
        <v>2.1010746879999997</v>
      </c>
      <c r="I48" s="10">
        <v>0</v>
      </c>
    </row>
    <row r="49" spans="1:9" ht="15.75" hidden="1" customHeight="1">
      <c r="A49" s="22"/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4"/>
        <v>0.13363571200000002</v>
      </c>
      <c r="I49" s="10">
        <v>0</v>
      </c>
    </row>
    <row r="50" spans="1:9" ht="15.75" hidden="1" customHeight="1">
      <c r="A50" s="22">
        <v>14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4"/>
        <v>5.7761391999999994</v>
      </c>
      <c r="I50" s="10">
        <f>F50/5*G50</f>
        <v>1155.22784</v>
      </c>
    </row>
    <row r="51" spans="1:9" ht="31.5" hidden="1" customHeight="1">
      <c r="A51" s="22"/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4"/>
        <v>2.31045568</v>
      </c>
      <c r="I51" s="10">
        <v>0</v>
      </c>
    </row>
    <row r="52" spans="1:9" ht="31.5" hidden="1" customHeight="1">
      <c r="A52" s="22"/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4"/>
        <v>1.167556</v>
      </c>
      <c r="I52" s="10">
        <v>0</v>
      </c>
    </row>
    <row r="53" spans="1:9" ht="15.75" hidden="1" customHeight="1">
      <c r="A53" s="22"/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4"/>
        <v>0.1208424</v>
      </c>
      <c r="I53" s="10">
        <v>0</v>
      </c>
    </row>
    <row r="54" spans="1:9" ht="15.75" hidden="1" customHeight="1">
      <c r="A54" s="22">
        <v>15</v>
      </c>
      <c r="B54" s="69" t="s">
        <v>108</v>
      </c>
      <c r="C54" s="70" t="s">
        <v>102</v>
      </c>
      <c r="D54" s="69" t="s">
        <v>41</v>
      </c>
      <c r="E54" s="71">
        <v>62</v>
      </c>
      <c r="F54" s="72">
        <f>SUM(E54*4)</f>
        <v>248</v>
      </c>
      <c r="G54" s="10">
        <v>150.86000000000001</v>
      </c>
      <c r="H54" s="73">
        <f t="shared" si="4"/>
        <v>37.413280000000007</v>
      </c>
      <c r="I54" s="10">
        <f>E54*G54</f>
        <v>9353.3200000000015</v>
      </c>
    </row>
    <row r="55" spans="1:9" ht="15.75" hidden="1" customHeight="1">
      <c r="A55" s="22">
        <v>16</v>
      </c>
      <c r="B55" s="69" t="s">
        <v>42</v>
      </c>
      <c r="C55" s="70" t="s">
        <v>102</v>
      </c>
      <c r="D55" s="69" t="s">
        <v>74</v>
      </c>
      <c r="E55" s="71">
        <v>124</v>
      </c>
      <c r="F55" s="72">
        <f>SUM(E55)*3</f>
        <v>372</v>
      </c>
      <c r="G55" s="10">
        <v>70.209999999999994</v>
      </c>
      <c r="H55" s="73">
        <f t="shared" si="4"/>
        <v>26.118119999999998</v>
      </c>
      <c r="I55" s="10">
        <f>E55*G55</f>
        <v>8706.0399999999991</v>
      </c>
    </row>
    <row r="56" spans="1:9" ht="15.75" customHeight="1">
      <c r="A56" s="190" t="s">
        <v>153</v>
      </c>
      <c r="B56" s="191"/>
      <c r="C56" s="191"/>
      <c r="D56" s="191"/>
      <c r="E56" s="191"/>
      <c r="F56" s="191"/>
      <c r="G56" s="191"/>
      <c r="H56" s="191"/>
      <c r="I56" s="192"/>
    </row>
    <row r="57" spans="1:9" ht="15.75" customHeight="1">
      <c r="A57" s="22"/>
      <c r="B57" s="92" t="s">
        <v>44</v>
      </c>
      <c r="C57" s="70"/>
      <c r="D57" s="69"/>
      <c r="E57" s="71"/>
      <c r="F57" s="72"/>
      <c r="G57" s="72"/>
      <c r="H57" s="73"/>
      <c r="I57" s="10"/>
    </row>
    <row r="58" spans="1:9" ht="31.5" customHeight="1">
      <c r="A58" s="22">
        <v>14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</row>
    <row r="59" spans="1:9" ht="31.5" customHeight="1">
      <c r="A59" s="22">
        <v>15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</row>
    <row r="60" spans="1:9" ht="31.5" customHeight="1">
      <c r="A60" s="22">
        <v>16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</row>
    <row r="61" spans="1:9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"/>
    </row>
    <row r="62" spans="1:9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</row>
    <row r="63" spans="1:9" ht="15.75" hidden="1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80" si="5">SUM(F64*G64/1000)</f>
        <v>2.3774000000000002</v>
      </c>
      <c r="I64" s="10">
        <v>0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5"/>
        <v>0.24453000000000003</v>
      </c>
      <c r="I65" s="10">
        <v>0</v>
      </c>
    </row>
    <row r="66" spans="1:9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5"/>
        <v>30.192552699999997</v>
      </c>
      <c r="I66" s="10">
        <v>0</v>
      </c>
    </row>
    <row r="67" spans="1:9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5"/>
        <v>2.3512089300000003</v>
      </c>
      <c r="I67" s="10">
        <v>0</v>
      </c>
    </row>
    <row r="68" spans="1:9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5"/>
        <v>48.436315200000003</v>
      </c>
      <c r="I68" s="10">
        <v>0</v>
      </c>
    </row>
    <row r="69" spans="1:9" ht="15.75" hidden="1" customHeight="1">
      <c r="A69" s="22"/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5"/>
        <v>0.49497199999999997</v>
      </c>
      <c r="I69" s="10">
        <v>0</v>
      </c>
    </row>
    <row r="70" spans="1:9" ht="15.75" hidden="1" customHeight="1">
      <c r="A70" s="22"/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5"/>
        <v>0.46179599999999998</v>
      </c>
      <c r="I70" s="10">
        <v>0</v>
      </c>
    </row>
    <row r="71" spans="1:9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5"/>
        <v>0.2666</v>
      </c>
      <c r="I71" s="10">
        <v>0</v>
      </c>
    </row>
    <row r="72" spans="1:9" ht="15.75" customHeight="1">
      <c r="A72" s="22"/>
      <c r="B72" s="54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si="5"/>
        <v>1.6776199999999999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5"/>
        <v>1</v>
      </c>
      <c r="I74" s="10">
        <v>0</v>
      </c>
    </row>
    <row r="75" spans="1:9" ht="15.75" customHeight="1">
      <c r="A75" s="22">
        <v>17</v>
      </c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5"/>
        <v>0.10724600000000001</v>
      </c>
      <c r="I75" s="10">
        <f>G75*0.2</f>
        <v>107.24600000000001</v>
      </c>
    </row>
    <row r="76" spans="1:9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5"/>
        <v>0.91185000000000005</v>
      </c>
      <c r="I76" s="10">
        <v>0</v>
      </c>
    </row>
    <row r="77" spans="1:9" ht="15.75" hidden="1" customHeight="1">
      <c r="A77" s="22"/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5"/>
        <v>0.38324999999999998</v>
      </c>
      <c r="I77" s="10">
        <v>0</v>
      </c>
    </row>
    <row r="78" spans="1:9" ht="15.75" hidden="1" customHeight="1">
      <c r="A78" s="22"/>
      <c r="B78" s="11" t="s">
        <v>160</v>
      </c>
      <c r="C78" s="13" t="s">
        <v>161</v>
      </c>
      <c r="D78" s="11"/>
      <c r="E78" s="16"/>
      <c r="F78" s="10"/>
      <c r="G78" s="10">
        <v>31.54</v>
      </c>
      <c r="H78" s="68">
        <f t="shared" si="5"/>
        <v>0</v>
      </c>
      <c r="I78" s="10"/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si="5"/>
        <v>0.294985</v>
      </c>
      <c r="I80" s="10">
        <v>0</v>
      </c>
    </row>
    <row r="81" spans="1:9" ht="15.75" hidden="1" customHeight="1">
      <c r="A81" s="22"/>
      <c r="B81" s="54" t="s">
        <v>98</v>
      </c>
      <c r="C81" s="89"/>
      <c r="D81" s="24"/>
      <c r="E81" s="25"/>
      <c r="F81" s="75"/>
      <c r="G81" s="75"/>
      <c r="H81" s="90">
        <f>SUM(H58:H80)</f>
        <v>112.00861796600002</v>
      </c>
      <c r="I81" s="75"/>
    </row>
    <row r="82" spans="1:9" ht="15.75" hidden="1" customHeight="1">
      <c r="A82" s="22"/>
      <c r="B82" s="69" t="s">
        <v>106</v>
      </c>
      <c r="C82" s="13"/>
      <c r="D82" s="11"/>
      <c r="E82" s="61"/>
      <c r="F82" s="10">
        <v>1</v>
      </c>
      <c r="G82" s="10">
        <v>18972</v>
      </c>
      <c r="H82" s="68">
        <f>G82*F82/1000</f>
        <v>18.972000000000001</v>
      </c>
      <c r="I82" s="10">
        <v>0</v>
      </c>
    </row>
    <row r="83" spans="1:9" ht="15.75" customHeight="1">
      <c r="A83" s="190" t="s">
        <v>154</v>
      </c>
      <c r="B83" s="191"/>
      <c r="C83" s="191"/>
      <c r="D83" s="191"/>
      <c r="E83" s="191"/>
      <c r="F83" s="191"/>
      <c r="G83" s="191"/>
      <c r="H83" s="191"/>
      <c r="I83" s="192"/>
    </row>
    <row r="84" spans="1:9" ht="15.75" customHeight="1">
      <c r="A84" s="22">
        <v>18</v>
      </c>
      <c r="B84" s="69" t="s">
        <v>107</v>
      </c>
      <c r="C84" s="13" t="s">
        <v>56</v>
      </c>
      <c r="D84" s="40" t="s">
        <v>57</v>
      </c>
      <c r="E84" s="10">
        <v>2820</v>
      </c>
      <c r="F84" s="10">
        <f>SUM(E84*12)</f>
        <v>33840</v>
      </c>
      <c r="G84" s="10">
        <v>2.54</v>
      </c>
      <c r="H84" s="68">
        <f>SUM(F84*G84/1000)</f>
        <v>85.953600000000009</v>
      </c>
      <c r="I84" s="10">
        <f>F84/12*G84</f>
        <v>7162.8</v>
      </c>
    </row>
    <row r="85" spans="1:9" ht="31.5" customHeight="1">
      <c r="A85" s="22">
        <v>19</v>
      </c>
      <c r="B85" s="11" t="s">
        <v>80</v>
      </c>
      <c r="C85" s="13"/>
      <c r="D85" s="40" t="s">
        <v>57</v>
      </c>
      <c r="E85" s="71">
        <f>E84</f>
        <v>2820</v>
      </c>
      <c r="F85" s="10">
        <f>E85*12</f>
        <v>33840</v>
      </c>
      <c r="G85" s="10">
        <v>2.0499999999999998</v>
      </c>
      <c r="H85" s="68">
        <f>F85*G85/1000</f>
        <v>69.372</v>
      </c>
      <c r="I85" s="10">
        <f>F85/12*G85</f>
        <v>5780.9999999999991</v>
      </c>
    </row>
    <row r="86" spans="1:9" ht="15.75" customHeight="1">
      <c r="A86" s="22"/>
      <c r="B86" s="29" t="s">
        <v>84</v>
      </c>
      <c r="C86" s="89"/>
      <c r="D86" s="88"/>
      <c r="E86" s="75"/>
      <c r="F86" s="75"/>
      <c r="G86" s="75"/>
      <c r="H86" s="90">
        <f>SUM(H85)</f>
        <v>69.372</v>
      </c>
      <c r="I86" s="75">
        <f>I16+I17+I18+I20+I21+I26+I27+I37+I38+I39+I41+I42+I43+I58+I59+I60+I75+I84+I85</f>
        <v>41211.445388500004</v>
      </c>
    </row>
    <row r="87" spans="1:9" ht="15.75" customHeight="1">
      <c r="A87" s="194" t="s">
        <v>62</v>
      </c>
      <c r="B87" s="195"/>
      <c r="C87" s="195"/>
      <c r="D87" s="195"/>
      <c r="E87" s="195"/>
      <c r="F87" s="195"/>
      <c r="G87" s="195"/>
      <c r="H87" s="195"/>
      <c r="I87" s="196"/>
    </row>
    <row r="88" spans="1:9" ht="15.75" customHeight="1">
      <c r="A88" s="22">
        <v>20</v>
      </c>
      <c r="B88" s="41" t="s">
        <v>195</v>
      </c>
      <c r="C88" s="42" t="s">
        <v>110</v>
      </c>
      <c r="D88" s="30"/>
      <c r="E88" s="15"/>
      <c r="F88" s="137">
        <f>(3+3+3+3+3+3+3+3+15+20+15+20+10+10+20+15+10+20+3)/3</f>
        <v>60.666666666666664</v>
      </c>
      <c r="G88" s="15">
        <v>1120.8900000000001</v>
      </c>
      <c r="H88" s="138">
        <f t="shared" ref="H88:H94" si="6">G88*F88/1000</f>
        <v>68.000660000000011</v>
      </c>
      <c r="I88" s="10">
        <f>G88*((15+20+15+20)/3)</f>
        <v>26154.100000000002</v>
      </c>
    </row>
    <row r="89" spans="1:9" ht="15.75" customHeight="1">
      <c r="A89" s="22">
        <v>21</v>
      </c>
      <c r="B89" s="123" t="s">
        <v>142</v>
      </c>
      <c r="C89" s="22" t="s">
        <v>30</v>
      </c>
      <c r="D89" s="30"/>
      <c r="E89" s="15"/>
      <c r="F89" s="137">
        <v>11.5</v>
      </c>
      <c r="G89" s="15">
        <v>1582</v>
      </c>
      <c r="H89" s="138">
        <f t="shared" si="6"/>
        <v>18.193000000000001</v>
      </c>
      <c r="I89" s="10">
        <f>G89*(1+1.5)</f>
        <v>3955</v>
      </c>
    </row>
    <row r="90" spans="1:9" ht="31.5" customHeight="1">
      <c r="A90" s="22">
        <v>22</v>
      </c>
      <c r="B90" s="43" t="s">
        <v>197</v>
      </c>
      <c r="C90" s="44" t="s">
        <v>85</v>
      </c>
      <c r="D90" s="22"/>
      <c r="E90" s="16"/>
      <c r="F90" s="16">
        <v>20.2</v>
      </c>
      <c r="G90" s="16">
        <v>1183.51</v>
      </c>
      <c r="H90" s="65">
        <f t="shared" si="6"/>
        <v>23.906901999999999</v>
      </c>
      <c r="I90" s="10">
        <f>G90*0.2</f>
        <v>236.702</v>
      </c>
    </row>
    <row r="91" spans="1:9" ht="15.75" customHeight="1">
      <c r="A91" s="22">
        <v>23</v>
      </c>
      <c r="B91" s="43" t="s">
        <v>86</v>
      </c>
      <c r="C91" s="44" t="s">
        <v>102</v>
      </c>
      <c r="D91" s="22"/>
      <c r="E91" s="16"/>
      <c r="F91" s="16">
        <v>7</v>
      </c>
      <c r="G91" s="16">
        <v>189.88</v>
      </c>
      <c r="H91" s="65">
        <f>G91*F91/1000</f>
        <v>1.3291599999999999</v>
      </c>
      <c r="I91" s="10">
        <f>G91</f>
        <v>189.88</v>
      </c>
    </row>
    <row r="92" spans="1:9" ht="31.5" customHeight="1">
      <c r="A92" s="22">
        <v>24</v>
      </c>
      <c r="B92" s="43" t="s">
        <v>198</v>
      </c>
      <c r="C92" s="44" t="s">
        <v>199</v>
      </c>
      <c r="D92" s="37"/>
      <c r="E92" s="10"/>
      <c r="F92" s="10">
        <v>4</v>
      </c>
      <c r="G92" s="10">
        <v>54.17</v>
      </c>
      <c r="H92" s="10">
        <f t="shared" si="6"/>
        <v>0.21668000000000001</v>
      </c>
      <c r="I92" s="10">
        <f t="shared" ref="I92:I94" si="7">G92</f>
        <v>54.17</v>
      </c>
    </row>
    <row r="93" spans="1:9" ht="15.75" customHeight="1">
      <c r="A93" s="22">
        <v>25</v>
      </c>
      <c r="B93" s="43" t="s">
        <v>200</v>
      </c>
      <c r="C93" s="44" t="s">
        <v>201</v>
      </c>
      <c r="D93" s="37"/>
      <c r="E93" s="10"/>
      <c r="F93" s="10">
        <v>1</v>
      </c>
      <c r="G93" s="10">
        <v>7245.64</v>
      </c>
      <c r="H93" s="68">
        <f t="shared" si="6"/>
        <v>7.2456400000000007</v>
      </c>
      <c r="I93" s="10">
        <f t="shared" si="7"/>
        <v>7245.64</v>
      </c>
    </row>
    <row r="94" spans="1:9" ht="15.75" customHeight="1">
      <c r="A94" s="22">
        <v>26</v>
      </c>
      <c r="B94" s="43" t="s">
        <v>202</v>
      </c>
      <c r="C94" s="44" t="s">
        <v>203</v>
      </c>
      <c r="D94" s="37"/>
      <c r="E94" s="10"/>
      <c r="F94" s="10">
        <v>1</v>
      </c>
      <c r="G94" s="10">
        <v>88.14</v>
      </c>
      <c r="H94" s="68">
        <f t="shared" si="6"/>
        <v>8.8139999999999996E-2</v>
      </c>
      <c r="I94" s="10">
        <f t="shared" si="7"/>
        <v>88.14</v>
      </c>
    </row>
    <row r="95" spans="1:9" ht="31.5" customHeight="1">
      <c r="A95" s="22">
        <v>27</v>
      </c>
      <c r="B95" s="43" t="s">
        <v>141</v>
      </c>
      <c r="C95" s="44" t="s">
        <v>38</v>
      </c>
      <c r="D95" s="37"/>
      <c r="E95" s="10"/>
      <c r="F95" s="10">
        <v>0.02</v>
      </c>
      <c r="G95" s="10">
        <v>3581.13</v>
      </c>
      <c r="H95" s="68">
        <f>G95*F95/1000</f>
        <v>7.1622600000000008E-2</v>
      </c>
      <c r="I95" s="10">
        <f>G95*0.01</f>
        <v>35.811300000000003</v>
      </c>
    </row>
    <row r="96" spans="1:9">
      <c r="A96" s="22"/>
      <c r="B96" s="35" t="s">
        <v>53</v>
      </c>
      <c r="C96" s="31"/>
      <c r="D96" s="38"/>
      <c r="E96" s="31">
        <v>1</v>
      </c>
      <c r="F96" s="31"/>
      <c r="G96" s="31"/>
      <c r="H96" s="31"/>
      <c r="I96" s="25">
        <f>SUM(I88:I95)</f>
        <v>37959.443300000006</v>
      </c>
    </row>
    <row r="97" spans="1:9" ht="15.75" customHeight="1">
      <c r="A97" s="22"/>
      <c r="B97" s="37" t="s">
        <v>81</v>
      </c>
      <c r="C97" s="12"/>
      <c r="D97" s="12"/>
      <c r="E97" s="32"/>
      <c r="F97" s="32"/>
      <c r="G97" s="33"/>
      <c r="H97" s="33"/>
      <c r="I97" s="15">
        <v>0</v>
      </c>
    </row>
    <row r="98" spans="1:9" ht="15.75" customHeight="1">
      <c r="A98" s="39"/>
      <c r="B98" s="36" t="s">
        <v>270</v>
      </c>
      <c r="C98" s="26"/>
      <c r="D98" s="26"/>
      <c r="E98" s="26"/>
      <c r="F98" s="26"/>
      <c r="G98" s="26"/>
      <c r="H98" s="26"/>
      <c r="I98" s="34">
        <f>I86+I96</f>
        <v>79170.88868850001</v>
      </c>
    </row>
    <row r="99" spans="1:9" ht="15.75" customHeight="1">
      <c r="A99" s="193" t="s">
        <v>274</v>
      </c>
      <c r="B99" s="193"/>
      <c r="C99" s="193"/>
      <c r="D99" s="193"/>
      <c r="E99" s="193"/>
      <c r="F99" s="193"/>
      <c r="G99" s="193"/>
      <c r="H99" s="193"/>
      <c r="I99" s="193"/>
    </row>
    <row r="100" spans="1:9" ht="15.75" customHeight="1">
      <c r="A100" s="53"/>
      <c r="B100" s="199" t="s">
        <v>275</v>
      </c>
      <c r="C100" s="199"/>
      <c r="D100" s="199"/>
      <c r="E100" s="199"/>
      <c r="F100" s="199"/>
      <c r="G100" s="199"/>
      <c r="H100" s="64"/>
      <c r="I100" s="2"/>
    </row>
    <row r="101" spans="1:9" ht="15.75" customHeight="1">
      <c r="A101" s="55"/>
      <c r="B101" s="162" t="s">
        <v>6</v>
      </c>
      <c r="C101" s="162"/>
      <c r="D101" s="162"/>
      <c r="E101" s="162"/>
      <c r="F101" s="162"/>
      <c r="G101" s="162"/>
      <c r="H101" s="17"/>
      <c r="I101" s="4"/>
    </row>
    <row r="102" spans="1:9" ht="7.5" customHeight="1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 customHeight="1">
      <c r="A103" s="168" t="s">
        <v>7</v>
      </c>
      <c r="B103" s="168"/>
      <c r="C103" s="168"/>
      <c r="D103" s="168"/>
      <c r="E103" s="168"/>
      <c r="F103" s="168"/>
      <c r="G103" s="168"/>
      <c r="H103" s="168"/>
      <c r="I103" s="168"/>
    </row>
    <row r="104" spans="1:9" ht="15.75">
      <c r="A104" s="168" t="s">
        <v>8</v>
      </c>
      <c r="B104" s="168"/>
      <c r="C104" s="168"/>
      <c r="D104" s="168"/>
      <c r="E104" s="168"/>
      <c r="F104" s="168"/>
      <c r="G104" s="168"/>
      <c r="H104" s="168"/>
      <c r="I104" s="168"/>
    </row>
    <row r="105" spans="1:9" ht="15.75">
      <c r="A105" s="164" t="s">
        <v>63</v>
      </c>
      <c r="B105" s="164"/>
      <c r="C105" s="164"/>
      <c r="D105" s="164"/>
      <c r="E105" s="164"/>
      <c r="F105" s="164"/>
      <c r="G105" s="164"/>
      <c r="H105" s="164"/>
      <c r="I105" s="164"/>
    </row>
    <row r="106" spans="1:9" ht="8.25" customHeight="1">
      <c r="A106" s="8"/>
    </row>
    <row r="107" spans="1:9" ht="15.75">
      <c r="A107" s="170" t="s">
        <v>9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ht="15.75">
      <c r="A108" s="3"/>
    </row>
    <row r="109" spans="1:9" ht="15.75" customHeight="1">
      <c r="B109" s="58" t="s">
        <v>10</v>
      </c>
      <c r="C109" s="197" t="s">
        <v>147</v>
      </c>
      <c r="D109" s="197"/>
      <c r="E109" s="197"/>
      <c r="F109" s="62"/>
      <c r="I109" s="59"/>
    </row>
    <row r="110" spans="1:9" ht="15.75" customHeight="1">
      <c r="A110" s="55"/>
      <c r="C110" s="162" t="s">
        <v>11</v>
      </c>
      <c r="D110" s="162"/>
      <c r="E110" s="162"/>
      <c r="F110" s="17"/>
      <c r="I110" s="57" t="s">
        <v>12</v>
      </c>
    </row>
    <row r="111" spans="1:9" ht="15.75" customHeight="1">
      <c r="A111" s="18"/>
      <c r="C111" s="9"/>
      <c r="D111" s="9"/>
      <c r="G111" s="9"/>
      <c r="H111" s="9"/>
    </row>
    <row r="112" spans="1:9" ht="15.75" customHeight="1">
      <c r="B112" s="58" t="s">
        <v>13</v>
      </c>
      <c r="C112" s="177"/>
      <c r="D112" s="177"/>
      <c r="E112" s="177"/>
      <c r="F112" s="63"/>
      <c r="I112" s="59"/>
    </row>
    <row r="113" spans="1:9">
      <c r="A113" s="55"/>
      <c r="C113" s="198" t="s">
        <v>11</v>
      </c>
      <c r="D113" s="198"/>
      <c r="E113" s="198"/>
      <c r="F113" s="55"/>
      <c r="I113" s="57" t="s">
        <v>12</v>
      </c>
    </row>
    <row r="114" spans="1:9" ht="15.75">
      <c r="A114" s="3" t="s">
        <v>14</v>
      </c>
    </row>
    <row r="115" spans="1:9">
      <c r="A115" s="165" t="s">
        <v>15</v>
      </c>
      <c r="B115" s="165"/>
      <c r="C115" s="165"/>
      <c r="D115" s="165"/>
      <c r="E115" s="165"/>
      <c r="F115" s="165"/>
      <c r="G115" s="165"/>
      <c r="H115" s="165"/>
      <c r="I115" s="165"/>
    </row>
    <row r="116" spans="1:9" ht="45" customHeight="1">
      <c r="A116" s="159" t="s">
        <v>16</v>
      </c>
      <c r="B116" s="159"/>
      <c r="C116" s="159"/>
      <c r="D116" s="159"/>
      <c r="E116" s="159"/>
      <c r="F116" s="159"/>
      <c r="G116" s="159"/>
      <c r="H116" s="159"/>
      <c r="I116" s="159"/>
    </row>
    <row r="117" spans="1:9" ht="30" customHeight="1">
      <c r="A117" s="159" t="s">
        <v>17</v>
      </c>
      <c r="B117" s="159"/>
      <c r="C117" s="159"/>
      <c r="D117" s="159"/>
      <c r="E117" s="159"/>
      <c r="F117" s="159"/>
      <c r="G117" s="159"/>
      <c r="H117" s="159"/>
      <c r="I117" s="159"/>
    </row>
    <row r="118" spans="1:9" ht="30" customHeight="1">
      <c r="A118" s="159" t="s">
        <v>21</v>
      </c>
      <c r="B118" s="159"/>
      <c r="C118" s="159"/>
      <c r="D118" s="159"/>
      <c r="E118" s="159"/>
      <c r="F118" s="159"/>
      <c r="G118" s="159"/>
      <c r="H118" s="159"/>
      <c r="I118" s="159"/>
    </row>
    <row r="119" spans="1:9" ht="15" customHeight="1">
      <c r="A119" s="159" t="s">
        <v>20</v>
      </c>
      <c r="B119" s="159"/>
      <c r="C119" s="159"/>
      <c r="D119" s="159"/>
      <c r="E119" s="159"/>
      <c r="F119" s="159"/>
      <c r="G119" s="159"/>
      <c r="H119" s="159"/>
      <c r="I119" s="159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8:I28"/>
    <mergeCell ref="A44:I44"/>
    <mergeCell ref="A56:I56"/>
    <mergeCell ref="A83:I83"/>
    <mergeCell ref="A99:I99"/>
    <mergeCell ref="B100:G100"/>
    <mergeCell ref="B101:G101"/>
    <mergeCell ref="A103:I103"/>
    <mergeCell ref="A104:I104"/>
    <mergeCell ref="A105:I105"/>
    <mergeCell ref="A87:I87"/>
    <mergeCell ref="A117:I117"/>
    <mergeCell ref="A118:I118"/>
    <mergeCell ref="A119:I119"/>
    <mergeCell ref="C109:E109"/>
    <mergeCell ref="C110:E110"/>
    <mergeCell ref="C112:E112"/>
    <mergeCell ref="C113:E113"/>
    <mergeCell ref="A115:I115"/>
    <mergeCell ref="A116:I116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9"/>
  <sheetViews>
    <sheetView topLeftCell="A86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177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276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56"/>
      <c r="C6" s="56"/>
      <c r="D6" s="56"/>
      <c r="E6" s="56"/>
      <c r="F6" s="56"/>
      <c r="G6" s="56"/>
      <c r="H6" s="56"/>
      <c r="I6" s="23">
        <v>42855</v>
      </c>
    </row>
    <row r="7" spans="1:9" ht="15.75">
      <c r="B7" s="58"/>
      <c r="C7" s="58"/>
      <c r="D7" s="58"/>
      <c r="E7" s="2"/>
      <c r="F7" s="2"/>
      <c r="G7" s="2"/>
      <c r="H7" s="2"/>
    </row>
    <row r="8" spans="1:9" ht="78.75" customHeight="1">
      <c r="A8" s="180" t="s">
        <v>148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31.5" customHeight="1">
      <c r="A16" s="22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</row>
    <row r="17" spans="1:9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</row>
    <row r="18" spans="1:9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</row>
    <row r="19" spans="1:9" ht="15.75" hidden="1" customHeight="1">
      <c r="A19" s="22"/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v>0</v>
      </c>
    </row>
    <row r="20" spans="1:9" ht="15.75" customHeight="1">
      <c r="A20" s="22">
        <v>4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</row>
    <row r="21" spans="1:9" ht="15.75" hidden="1" customHeight="1">
      <c r="A21" s="22">
        <v>5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f>F21/6*G21</f>
        <v>6.2378100000000014</v>
      </c>
    </row>
    <row r="22" spans="1:9" ht="15.75" hidden="1" customHeight="1">
      <c r="A22" s="22"/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v>0</v>
      </c>
    </row>
    <row r="23" spans="1:9" ht="15.75" hidden="1" customHeight="1">
      <c r="A23" s="22"/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v>0</v>
      </c>
    </row>
    <row r="24" spans="1:9" ht="15.75" hidden="1" customHeight="1">
      <c r="A24" s="22"/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v>0</v>
      </c>
    </row>
    <row r="25" spans="1:9" ht="15.75" hidden="1" customHeight="1">
      <c r="A25" s="22"/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v>0</v>
      </c>
    </row>
    <row r="26" spans="1:9" ht="15.75" customHeight="1">
      <c r="A26" s="22">
        <v>5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>SUM(F26*G26/1000)</f>
        <v>5.737070000000001</v>
      </c>
      <c r="I26" s="10">
        <f>F26/12*G26</f>
        <v>478.08916666666664</v>
      </c>
    </row>
    <row r="27" spans="1:9" ht="15.75" customHeight="1">
      <c r="A27" s="22">
        <v>6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>SUM(F27*G27/1000)</f>
        <v>163.78560000000002</v>
      </c>
      <c r="I27" s="10">
        <f>F27/12*G27</f>
        <v>13648.8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hidden="1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31.5" hidden="1" customHeight="1">
      <c r="A30" s="22">
        <v>8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1">SUM(F30*G30/1000)</f>
        <v>1.080971892</v>
      </c>
      <c r="I30" s="10">
        <f>F30/6*G30</f>
        <v>180.16198199999997</v>
      </c>
    </row>
    <row r="31" spans="1:9" ht="31.5" hidden="1" customHeight="1">
      <c r="A31" s="22">
        <v>9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1"/>
        <v>1.0523934719999999</v>
      </c>
      <c r="I31" s="10">
        <f t="shared" ref="I31:I33" si="2">F31/6*G31</f>
        <v>175.398912</v>
      </c>
    </row>
    <row r="32" spans="1:9" ht="15.75" hidden="1" customHeight="1">
      <c r="A32" s="22"/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1"/>
        <v>1.1979879792000001</v>
      </c>
      <c r="I32" s="10">
        <f>F32*G32</f>
        <v>1197.9879792000002</v>
      </c>
    </row>
    <row r="33" spans="1:9" ht="15.75" hidden="1" customHeight="1">
      <c r="A33" s="22">
        <v>10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>SUM(G33*155/3/1000)</f>
        <v>3.1309999999999998</v>
      </c>
      <c r="I33" s="10">
        <f t="shared" si="2"/>
        <v>521.83333333333337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157</v>
      </c>
      <c r="E34" s="71"/>
      <c r="F34" s="72">
        <v>3</v>
      </c>
      <c r="G34" s="72">
        <v>204.32</v>
      </c>
      <c r="H34" s="73">
        <f t="shared" si="1"/>
        <v>0.61296000000000006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157</v>
      </c>
      <c r="E35" s="71"/>
      <c r="F35" s="72">
        <v>2</v>
      </c>
      <c r="G35" s="72">
        <v>1214.73</v>
      </c>
      <c r="H35" s="73">
        <f t="shared" si="1"/>
        <v>2.4294600000000002</v>
      </c>
      <c r="I35" s="10">
        <v>0</v>
      </c>
    </row>
    <row r="36" spans="1:9" ht="15.75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customHeight="1">
      <c r="A37" s="22">
        <v>7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</row>
    <row r="38" spans="1:9" ht="15.75" customHeight="1">
      <c r="A38" s="22">
        <v>8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3">SUM(F38*G38/1000)</f>
        <v>2.9313559799999998</v>
      </c>
      <c r="I38" s="10">
        <f>F38/6*G38</f>
        <v>488.55932999999993</v>
      </c>
    </row>
    <row r="39" spans="1:9" ht="15.75" customHeight="1">
      <c r="A39" s="22">
        <v>9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3"/>
        <v>2.8361217999999999</v>
      </c>
      <c r="I39" s="10">
        <f>F39/6*G39</f>
        <v>472.68696666666665</v>
      </c>
    </row>
    <row r="40" spans="1:9" ht="15.75" customHeight="1">
      <c r="A40" s="22">
        <v>10</v>
      </c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3"/>
        <v>23.452000000000002</v>
      </c>
      <c r="I40" s="10">
        <f>G40*39</f>
        <v>8314.7999999999993</v>
      </c>
    </row>
    <row r="41" spans="1:9" ht="47.25" customHeight="1">
      <c r="A41" s="22">
        <v>11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3"/>
        <v>9.4386193649999992</v>
      </c>
      <c r="I41" s="10">
        <f>F41/6*G41</f>
        <v>1573.1032275</v>
      </c>
    </row>
    <row r="42" spans="1:9" ht="15.75" customHeight="1">
      <c r="A42" s="22">
        <v>12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3"/>
        <v>0.89646442199999987</v>
      </c>
      <c r="I42" s="10">
        <f>F42/6*G42</f>
        <v>149.41073699999998</v>
      </c>
    </row>
    <row r="43" spans="1:9" ht="15.75" customHeight="1">
      <c r="A43" s="139">
        <v>13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3"/>
        <v>0.76775400000000005</v>
      </c>
      <c r="I43" s="10">
        <f>F43/6*G43</f>
        <v>127.95899999999999</v>
      </c>
    </row>
    <row r="44" spans="1:9" ht="15.75" hidden="1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hidden="1" customHeight="1">
      <c r="A45" s="22"/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4">SUM(F45*G45/1000)</f>
        <v>1.9206154680000005</v>
      </c>
      <c r="I45" s="10">
        <v>0</v>
      </c>
    </row>
    <row r="46" spans="1:9" ht="15.75" hidden="1" customHeight="1">
      <c r="A46" s="22"/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4"/>
        <v>0.13132552</v>
      </c>
      <c r="I46" s="10">
        <v>0</v>
      </c>
    </row>
    <row r="47" spans="1:9" ht="15.75" hidden="1" customHeight="1">
      <c r="A47" s="22"/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4"/>
        <v>1.9367726630000004</v>
      </c>
      <c r="I47" s="10">
        <v>0</v>
      </c>
    </row>
    <row r="48" spans="1:9" ht="15.75" hidden="1" customHeight="1">
      <c r="A48" s="22"/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4"/>
        <v>2.1010746879999997</v>
      </c>
      <c r="I48" s="10">
        <v>0</v>
      </c>
    </row>
    <row r="49" spans="1:9" ht="15.75" hidden="1" customHeight="1">
      <c r="A49" s="22"/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4"/>
        <v>0.13363571200000002</v>
      </c>
      <c r="I49" s="10">
        <v>0</v>
      </c>
    </row>
    <row r="50" spans="1:9" ht="15.75" hidden="1" customHeight="1">
      <c r="A50" s="22">
        <v>14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4"/>
        <v>5.7761391999999994</v>
      </c>
      <c r="I50" s="10">
        <f>F50/5*G50</f>
        <v>1155.22784</v>
      </c>
    </row>
    <row r="51" spans="1:9" ht="31.5" hidden="1" customHeight="1">
      <c r="A51" s="22"/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4"/>
        <v>2.31045568</v>
      </c>
      <c r="I51" s="10">
        <v>0</v>
      </c>
    </row>
    <row r="52" spans="1:9" ht="31.5" hidden="1" customHeight="1">
      <c r="A52" s="22"/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4"/>
        <v>1.167556</v>
      </c>
      <c r="I52" s="10">
        <v>0</v>
      </c>
    </row>
    <row r="53" spans="1:9" ht="15.75" hidden="1" customHeight="1">
      <c r="A53" s="22"/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4"/>
        <v>0.1208424</v>
      </c>
      <c r="I53" s="10">
        <v>0</v>
      </c>
    </row>
    <row r="54" spans="1:9" ht="15.75" hidden="1" customHeight="1">
      <c r="A54" s="22">
        <v>13</v>
      </c>
      <c r="B54" s="69" t="s">
        <v>108</v>
      </c>
      <c r="C54" s="70" t="s">
        <v>102</v>
      </c>
      <c r="D54" s="69" t="s">
        <v>74</v>
      </c>
      <c r="E54" s="71">
        <v>62</v>
      </c>
      <c r="F54" s="72">
        <f>SUM(E54*4)</f>
        <v>248</v>
      </c>
      <c r="G54" s="10">
        <v>150.86000000000001</v>
      </c>
      <c r="H54" s="73">
        <f t="shared" si="4"/>
        <v>37.413280000000007</v>
      </c>
      <c r="I54" s="10">
        <f>E54*G54</f>
        <v>9353.3200000000015</v>
      </c>
    </row>
    <row r="55" spans="1:9" ht="15.75" hidden="1" customHeight="1">
      <c r="A55" s="22">
        <v>14</v>
      </c>
      <c r="B55" s="69" t="s">
        <v>42</v>
      </c>
      <c r="C55" s="70" t="s">
        <v>102</v>
      </c>
      <c r="D55" s="69" t="s">
        <v>74</v>
      </c>
      <c r="E55" s="71">
        <v>124</v>
      </c>
      <c r="F55" s="72">
        <f>SUM(E55)*3</f>
        <v>372</v>
      </c>
      <c r="G55" s="10">
        <v>70.209999999999994</v>
      </c>
      <c r="H55" s="73">
        <f t="shared" si="4"/>
        <v>26.118119999999998</v>
      </c>
      <c r="I55" s="10">
        <f>E55*G55</f>
        <v>8706.0399999999991</v>
      </c>
    </row>
    <row r="56" spans="1:9" ht="15.75" customHeight="1">
      <c r="A56" s="190" t="s">
        <v>153</v>
      </c>
      <c r="B56" s="191"/>
      <c r="C56" s="191"/>
      <c r="D56" s="191"/>
      <c r="E56" s="191"/>
      <c r="F56" s="191"/>
      <c r="G56" s="191"/>
      <c r="H56" s="191"/>
      <c r="I56" s="192"/>
    </row>
    <row r="57" spans="1:9" ht="15.75" customHeight="1">
      <c r="A57" s="22"/>
      <c r="B57" s="92" t="s">
        <v>44</v>
      </c>
      <c r="C57" s="70"/>
      <c r="D57" s="69"/>
      <c r="E57" s="71"/>
      <c r="F57" s="72"/>
      <c r="G57" s="72"/>
      <c r="H57" s="73"/>
      <c r="I57" s="10"/>
    </row>
    <row r="58" spans="1:9" ht="31.5" customHeight="1">
      <c r="A58" s="22">
        <v>14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</row>
    <row r="59" spans="1:9" ht="31.5" customHeight="1">
      <c r="A59" s="22">
        <v>15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</row>
    <row r="60" spans="1:9" ht="31.5" customHeight="1">
      <c r="A60" s="22">
        <v>16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</row>
    <row r="61" spans="1:9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"/>
    </row>
    <row r="62" spans="1:9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</row>
    <row r="63" spans="1:9" ht="15.75" hidden="1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80" si="5">SUM(F64*G64/1000)</f>
        <v>2.3774000000000002</v>
      </c>
      <c r="I64" s="10">
        <v>0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5"/>
        <v>0.24453000000000003</v>
      </c>
      <c r="I65" s="10">
        <v>0</v>
      </c>
    </row>
    <row r="66" spans="1:9" ht="15.75" hidden="1" customHeight="1">
      <c r="A66" s="22"/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5"/>
        <v>30.192552699999997</v>
      </c>
      <c r="I66" s="10">
        <v>0</v>
      </c>
    </row>
    <row r="67" spans="1:9" ht="15.75" hidden="1" customHeight="1">
      <c r="A67" s="22"/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5"/>
        <v>2.3512089300000003</v>
      </c>
      <c r="I67" s="10">
        <v>0</v>
      </c>
    </row>
    <row r="68" spans="1:9" ht="15.75" hidden="1" customHeight="1">
      <c r="A68" s="22"/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5"/>
        <v>48.436315200000003</v>
      </c>
      <c r="I68" s="10">
        <v>0</v>
      </c>
    </row>
    <row r="69" spans="1:9" ht="15.75" hidden="1" customHeight="1">
      <c r="A69" s="22"/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5"/>
        <v>0.49497199999999997</v>
      </c>
      <c r="I69" s="10">
        <v>0</v>
      </c>
    </row>
    <row r="70" spans="1:9" ht="15.75" hidden="1" customHeight="1">
      <c r="A70" s="22"/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5"/>
        <v>0.46179599999999998</v>
      </c>
      <c r="I70" s="10">
        <v>0</v>
      </c>
    </row>
    <row r="71" spans="1:9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5"/>
        <v>0.2666</v>
      </c>
      <c r="I71" s="10">
        <v>0</v>
      </c>
    </row>
    <row r="72" spans="1:9" ht="15.75" hidden="1" customHeight="1">
      <c r="A72" s="22"/>
      <c r="B72" s="54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si="5"/>
        <v>1.6776199999999999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5"/>
        <v>1</v>
      </c>
      <c r="I74" s="10">
        <v>0</v>
      </c>
    </row>
    <row r="75" spans="1:9" ht="15.75" hidden="1" customHeight="1">
      <c r="A75" s="22"/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5"/>
        <v>0.10724600000000001</v>
      </c>
      <c r="I75" s="10">
        <v>0</v>
      </c>
    </row>
    <row r="76" spans="1:9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5"/>
        <v>0.91185000000000005</v>
      </c>
      <c r="I76" s="10">
        <v>0</v>
      </c>
    </row>
    <row r="77" spans="1:9" ht="15.75" hidden="1" customHeight="1">
      <c r="A77" s="22"/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5"/>
        <v>0.38324999999999998</v>
      </c>
      <c r="I77" s="10">
        <v>0</v>
      </c>
    </row>
    <row r="78" spans="1:9" ht="15.75" hidden="1" customHeight="1">
      <c r="A78" s="22"/>
      <c r="B78" s="11" t="s">
        <v>160</v>
      </c>
      <c r="C78" s="13" t="s">
        <v>161</v>
      </c>
      <c r="D78" s="11"/>
      <c r="E78" s="16"/>
      <c r="F78" s="10"/>
      <c r="G78" s="10">
        <v>31.54</v>
      </c>
      <c r="H78" s="68">
        <f t="shared" si="5"/>
        <v>0</v>
      </c>
      <c r="I78" s="10"/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si="5"/>
        <v>0.294985</v>
      </c>
      <c r="I80" s="10">
        <v>0</v>
      </c>
    </row>
    <row r="81" spans="1:9" ht="15.75" hidden="1" customHeight="1">
      <c r="A81" s="22"/>
      <c r="B81" s="54" t="s">
        <v>98</v>
      </c>
      <c r="C81" s="89"/>
      <c r="D81" s="24"/>
      <c r="E81" s="25"/>
      <c r="F81" s="75"/>
      <c r="G81" s="75"/>
      <c r="H81" s="90">
        <f>SUM(H58:H80)</f>
        <v>112.00861796600002</v>
      </c>
      <c r="I81" s="75"/>
    </row>
    <row r="82" spans="1:9" ht="15.75" hidden="1" customHeight="1">
      <c r="A82" s="22"/>
      <c r="B82" s="69" t="s">
        <v>106</v>
      </c>
      <c r="C82" s="13"/>
      <c r="D82" s="11"/>
      <c r="E82" s="61"/>
      <c r="F82" s="10">
        <v>1</v>
      </c>
      <c r="G82" s="10">
        <v>18972</v>
      </c>
      <c r="H82" s="68">
        <f>G82*F82/1000</f>
        <v>18.972000000000001</v>
      </c>
      <c r="I82" s="10">
        <v>0</v>
      </c>
    </row>
    <row r="83" spans="1:9" ht="15.75" customHeight="1">
      <c r="A83" s="190" t="s">
        <v>154</v>
      </c>
      <c r="B83" s="191"/>
      <c r="C83" s="191"/>
      <c r="D83" s="191"/>
      <c r="E83" s="191"/>
      <c r="F83" s="191"/>
      <c r="G83" s="191"/>
      <c r="H83" s="191"/>
      <c r="I83" s="192"/>
    </row>
    <row r="84" spans="1:9" ht="15.75" customHeight="1">
      <c r="A84" s="22">
        <v>17</v>
      </c>
      <c r="B84" s="69" t="s">
        <v>107</v>
      </c>
      <c r="C84" s="13" t="s">
        <v>56</v>
      </c>
      <c r="D84" s="40" t="s">
        <v>57</v>
      </c>
      <c r="E84" s="10">
        <v>2820</v>
      </c>
      <c r="F84" s="10">
        <f>SUM(E84*12)</f>
        <v>33840</v>
      </c>
      <c r="G84" s="10">
        <v>2.54</v>
      </c>
      <c r="H84" s="68">
        <f>SUM(F84*G84/1000)</f>
        <v>85.953600000000009</v>
      </c>
      <c r="I84" s="10">
        <f>F84/12*G84</f>
        <v>7162.8</v>
      </c>
    </row>
    <row r="85" spans="1:9" ht="31.5" customHeight="1">
      <c r="A85" s="22">
        <v>18</v>
      </c>
      <c r="B85" s="11" t="s">
        <v>80</v>
      </c>
      <c r="C85" s="13"/>
      <c r="D85" s="40" t="s">
        <v>57</v>
      </c>
      <c r="E85" s="71">
        <f>E84</f>
        <v>2820</v>
      </c>
      <c r="F85" s="10">
        <f>E85*12</f>
        <v>33840</v>
      </c>
      <c r="G85" s="10">
        <v>2.0499999999999998</v>
      </c>
      <c r="H85" s="68">
        <f>F85*G85/1000</f>
        <v>69.372</v>
      </c>
      <c r="I85" s="10">
        <f>F85/12*G85</f>
        <v>5780.9999999999991</v>
      </c>
    </row>
    <row r="86" spans="1:9" ht="15.75" customHeight="1">
      <c r="A86" s="22"/>
      <c r="B86" s="29" t="s">
        <v>84</v>
      </c>
      <c r="C86" s="89"/>
      <c r="D86" s="88"/>
      <c r="E86" s="75"/>
      <c r="F86" s="75"/>
      <c r="G86" s="75"/>
      <c r="H86" s="90">
        <f>SUM(H85)</f>
        <v>69.372</v>
      </c>
      <c r="I86" s="75">
        <f>I16+I17+I18+I20+I26+I27+I37+I38+I39+I40+I41+I42+I43+I58+I59+I60+I84+I85</f>
        <v>49412.761578500009</v>
      </c>
    </row>
    <row r="87" spans="1:9" ht="15.75" customHeight="1">
      <c r="A87" s="194" t="s">
        <v>62</v>
      </c>
      <c r="B87" s="195"/>
      <c r="C87" s="195"/>
      <c r="D87" s="195"/>
      <c r="E87" s="195"/>
      <c r="F87" s="195"/>
      <c r="G87" s="195"/>
      <c r="H87" s="195"/>
      <c r="I87" s="196"/>
    </row>
    <row r="88" spans="1:9" ht="15.75" hidden="1" customHeight="1">
      <c r="A88" s="22"/>
      <c r="B88" s="43" t="s">
        <v>142</v>
      </c>
      <c r="C88" s="44" t="s">
        <v>162</v>
      </c>
      <c r="D88" s="22"/>
      <c r="E88" s="16"/>
      <c r="F88" s="16">
        <v>9</v>
      </c>
      <c r="G88" s="16">
        <v>1501</v>
      </c>
      <c r="H88" s="65">
        <f t="shared" ref="H88:H92" si="6">G88*F88/1000</f>
        <v>13.509</v>
      </c>
      <c r="I88" s="10">
        <v>0</v>
      </c>
    </row>
    <row r="89" spans="1:9" ht="15.75" hidden="1" customHeight="1">
      <c r="A89" s="22"/>
      <c r="B89" s="69" t="s">
        <v>163</v>
      </c>
      <c r="C89" s="70" t="s">
        <v>102</v>
      </c>
      <c r="D89" s="22"/>
      <c r="E89" s="16"/>
      <c r="F89" s="16">
        <v>3</v>
      </c>
      <c r="G89" s="16">
        <v>81.73</v>
      </c>
      <c r="H89" s="65">
        <f t="shared" si="6"/>
        <v>0.24518999999999999</v>
      </c>
      <c r="I89" s="10">
        <v>0</v>
      </c>
    </row>
    <row r="90" spans="1:9" ht="15.75" customHeight="1">
      <c r="A90" s="22">
        <v>19</v>
      </c>
      <c r="B90" s="41" t="s">
        <v>195</v>
      </c>
      <c r="C90" s="42" t="s">
        <v>110</v>
      </c>
      <c r="D90" s="30"/>
      <c r="E90" s="15"/>
      <c r="F90" s="137">
        <f>(3+3+3+3+3+3+3+3+15+20+15+20+10+10+20+15+10+20+3)/3</f>
        <v>60.666666666666664</v>
      </c>
      <c r="G90" s="15">
        <v>1120.8900000000001</v>
      </c>
      <c r="H90" s="138">
        <f t="shared" si="6"/>
        <v>68.000660000000011</v>
      </c>
      <c r="I90" s="10">
        <f>G90*((10+10+20)/3)</f>
        <v>14945.200000000003</v>
      </c>
    </row>
    <row r="91" spans="1:9" ht="15.75" customHeight="1">
      <c r="A91" s="22">
        <v>20</v>
      </c>
      <c r="B91" s="123" t="s">
        <v>142</v>
      </c>
      <c r="C91" s="22" t="s">
        <v>30</v>
      </c>
      <c r="D91" s="30"/>
      <c r="E91" s="15"/>
      <c r="F91" s="137">
        <v>11.5</v>
      </c>
      <c r="G91" s="15">
        <v>1582</v>
      </c>
      <c r="H91" s="138">
        <f t="shared" si="6"/>
        <v>18.193000000000001</v>
      </c>
      <c r="I91" s="10">
        <f>G91*(2+1+0.5)</f>
        <v>5537</v>
      </c>
    </row>
    <row r="92" spans="1:9" ht="31.5" customHeight="1">
      <c r="A92" s="22">
        <v>21</v>
      </c>
      <c r="B92" s="43" t="s">
        <v>197</v>
      </c>
      <c r="C92" s="44" t="s">
        <v>85</v>
      </c>
      <c r="D92" s="30"/>
      <c r="E92" s="15"/>
      <c r="F92" s="137">
        <v>20.2</v>
      </c>
      <c r="G92" s="15">
        <v>1183.51</v>
      </c>
      <c r="H92" s="138">
        <f t="shared" si="6"/>
        <v>23.906901999999999</v>
      </c>
      <c r="I92" s="10">
        <f>G92*6</f>
        <v>7101.0599999999995</v>
      </c>
    </row>
    <row r="93" spans="1:9" ht="15.75" customHeight="1">
      <c r="A93" s="22">
        <v>22</v>
      </c>
      <c r="B93" s="43" t="s">
        <v>86</v>
      </c>
      <c r="C93" s="44" t="s">
        <v>102</v>
      </c>
      <c r="D93" s="30"/>
      <c r="E93" s="15"/>
      <c r="F93" s="137">
        <v>7</v>
      </c>
      <c r="G93" s="15">
        <v>189.88</v>
      </c>
      <c r="H93" s="138">
        <f>G93*F93/1000</f>
        <v>1.3291599999999999</v>
      </c>
      <c r="I93" s="10">
        <f>G93</f>
        <v>189.88</v>
      </c>
    </row>
    <row r="94" spans="1:9" ht="15.75" customHeight="1">
      <c r="A94" s="22">
        <v>23</v>
      </c>
      <c r="B94" s="66" t="s">
        <v>204</v>
      </c>
      <c r="C94" s="22" t="s">
        <v>102</v>
      </c>
      <c r="D94" s="37"/>
      <c r="E94" s="10"/>
      <c r="F94" s="10">
        <v>1.5</v>
      </c>
      <c r="G94" s="10">
        <v>470</v>
      </c>
      <c r="H94" s="140">
        <f t="shared" ref="H94:H95" si="7">G94*F94/1000</f>
        <v>0.70499999999999996</v>
      </c>
      <c r="I94" s="10">
        <f t="shared" ref="I94:I95" si="8">G94</f>
        <v>470</v>
      </c>
    </row>
    <row r="95" spans="1:9" ht="31.5" customHeight="1">
      <c r="A95" s="22">
        <v>24</v>
      </c>
      <c r="B95" s="43" t="s">
        <v>205</v>
      </c>
      <c r="C95" s="44" t="s">
        <v>201</v>
      </c>
      <c r="D95" s="141"/>
      <c r="E95" s="27"/>
      <c r="F95" s="27">
        <v>1</v>
      </c>
      <c r="G95" s="27">
        <v>589.84</v>
      </c>
      <c r="H95" s="68">
        <f t="shared" si="7"/>
        <v>0.58984000000000003</v>
      </c>
      <c r="I95" s="10">
        <f t="shared" si="8"/>
        <v>589.84</v>
      </c>
    </row>
    <row r="96" spans="1:9">
      <c r="A96" s="22"/>
      <c r="B96" s="35" t="s">
        <v>53</v>
      </c>
      <c r="C96" s="31"/>
      <c r="D96" s="38"/>
      <c r="E96" s="31">
        <v>1</v>
      </c>
      <c r="F96" s="31"/>
      <c r="G96" s="31"/>
      <c r="H96" s="31"/>
      <c r="I96" s="25">
        <f>SUM(I88:I95)</f>
        <v>28832.980000000003</v>
      </c>
    </row>
    <row r="97" spans="1:9" ht="15.75" customHeight="1">
      <c r="A97" s="22"/>
      <c r="B97" s="37" t="s">
        <v>81</v>
      </c>
      <c r="C97" s="12"/>
      <c r="D97" s="12"/>
      <c r="E97" s="32"/>
      <c r="F97" s="32"/>
      <c r="G97" s="33"/>
      <c r="H97" s="33"/>
      <c r="I97" s="15">
        <v>0</v>
      </c>
    </row>
    <row r="98" spans="1:9" ht="15.75" customHeight="1">
      <c r="A98" s="39"/>
      <c r="B98" s="36" t="s">
        <v>270</v>
      </c>
      <c r="C98" s="26"/>
      <c r="D98" s="26"/>
      <c r="E98" s="26"/>
      <c r="F98" s="26"/>
      <c r="G98" s="26"/>
      <c r="H98" s="26"/>
      <c r="I98" s="34">
        <f>I86+I96</f>
        <v>78245.741578500019</v>
      </c>
    </row>
    <row r="99" spans="1:9" ht="15.75" customHeight="1">
      <c r="A99" s="193" t="s">
        <v>277</v>
      </c>
      <c r="B99" s="193"/>
      <c r="C99" s="193"/>
      <c r="D99" s="193"/>
      <c r="E99" s="193"/>
      <c r="F99" s="193"/>
      <c r="G99" s="193"/>
      <c r="H99" s="193"/>
      <c r="I99" s="193"/>
    </row>
    <row r="100" spans="1:9" ht="15.75" customHeight="1">
      <c r="A100" s="53"/>
      <c r="B100" s="199" t="s">
        <v>278</v>
      </c>
      <c r="C100" s="199"/>
      <c r="D100" s="199"/>
      <c r="E100" s="199"/>
      <c r="F100" s="199"/>
      <c r="G100" s="199"/>
      <c r="H100" s="64"/>
      <c r="I100" s="2"/>
    </row>
    <row r="101" spans="1:9" ht="15.75" customHeight="1">
      <c r="A101" s="55"/>
      <c r="B101" s="162" t="s">
        <v>6</v>
      </c>
      <c r="C101" s="162"/>
      <c r="D101" s="162"/>
      <c r="E101" s="162"/>
      <c r="F101" s="162"/>
      <c r="G101" s="162"/>
      <c r="H101" s="17"/>
      <c r="I101" s="4"/>
    </row>
    <row r="102" spans="1:9">
      <c r="A102" s="7"/>
      <c r="B102" s="7"/>
      <c r="C102" s="7"/>
      <c r="D102" s="7"/>
      <c r="E102" s="7"/>
      <c r="F102" s="7"/>
      <c r="G102" s="7"/>
      <c r="H102" s="7"/>
      <c r="I102" s="7"/>
    </row>
    <row r="103" spans="1:9" ht="15.75" customHeight="1">
      <c r="A103" s="168" t="s">
        <v>7</v>
      </c>
      <c r="B103" s="168"/>
      <c r="C103" s="168"/>
      <c r="D103" s="168"/>
      <c r="E103" s="168"/>
      <c r="F103" s="168"/>
      <c r="G103" s="168"/>
      <c r="H103" s="168"/>
      <c r="I103" s="168"/>
    </row>
    <row r="104" spans="1:9" ht="15.75">
      <c r="A104" s="168" t="s">
        <v>8</v>
      </c>
      <c r="B104" s="168"/>
      <c r="C104" s="168"/>
      <c r="D104" s="168"/>
      <c r="E104" s="168"/>
      <c r="F104" s="168"/>
      <c r="G104" s="168"/>
      <c r="H104" s="168"/>
      <c r="I104" s="168"/>
    </row>
    <row r="105" spans="1:9" ht="15.75">
      <c r="A105" s="164" t="s">
        <v>63</v>
      </c>
      <c r="B105" s="164"/>
      <c r="C105" s="164"/>
      <c r="D105" s="164"/>
      <c r="E105" s="164"/>
      <c r="F105" s="164"/>
      <c r="G105" s="164"/>
      <c r="H105" s="164"/>
      <c r="I105" s="164"/>
    </row>
    <row r="106" spans="1:9" ht="15.75">
      <c r="A106" s="8"/>
    </row>
    <row r="107" spans="1:9" ht="15.75">
      <c r="A107" s="170" t="s">
        <v>9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ht="15.75">
      <c r="A108" s="3"/>
    </row>
    <row r="109" spans="1:9" ht="15.75" customHeight="1">
      <c r="B109" s="58" t="s">
        <v>10</v>
      </c>
      <c r="C109" s="197" t="s">
        <v>147</v>
      </c>
      <c r="D109" s="197"/>
      <c r="E109" s="197"/>
      <c r="F109" s="62"/>
      <c r="I109" s="59"/>
    </row>
    <row r="110" spans="1:9" ht="15.75" customHeight="1">
      <c r="A110" s="55"/>
      <c r="C110" s="162" t="s">
        <v>11</v>
      </c>
      <c r="D110" s="162"/>
      <c r="E110" s="162"/>
      <c r="F110" s="17"/>
      <c r="I110" s="57" t="s">
        <v>12</v>
      </c>
    </row>
    <row r="111" spans="1:9" ht="15.75" customHeight="1">
      <c r="A111" s="18"/>
      <c r="C111" s="9"/>
      <c r="D111" s="9"/>
      <c r="G111" s="9"/>
      <c r="H111" s="9"/>
    </row>
    <row r="112" spans="1:9" ht="15.75" customHeight="1">
      <c r="B112" s="58" t="s">
        <v>13</v>
      </c>
      <c r="C112" s="177"/>
      <c r="D112" s="177"/>
      <c r="E112" s="177"/>
      <c r="F112" s="63"/>
      <c r="I112" s="59"/>
    </row>
    <row r="113" spans="1:9">
      <c r="A113" s="55"/>
      <c r="C113" s="198" t="s">
        <v>11</v>
      </c>
      <c r="D113" s="198"/>
      <c r="E113" s="198"/>
      <c r="F113" s="55"/>
      <c r="I113" s="57" t="s">
        <v>12</v>
      </c>
    </row>
    <row r="114" spans="1:9" ht="15.75">
      <c r="A114" s="3" t="s">
        <v>14</v>
      </c>
    </row>
    <row r="115" spans="1:9">
      <c r="A115" s="165" t="s">
        <v>15</v>
      </c>
      <c r="B115" s="165"/>
      <c r="C115" s="165"/>
      <c r="D115" s="165"/>
      <c r="E115" s="165"/>
      <c r="F115" s="165"/>
      <c r="G115" s="165"/>
      <c r="H115" s="165"/>
      <c r="I115" s="165"/>
    </row>
    <row r="116" spans="1:9" ht="45" customHeight="1">
      <c r="A116" s="159" t="s">
        <v>16</v>
      </c>
      <c r="B116" s="159"/>
      <c r="C116" s="159"/>
      <c r="D116" s="159"/>
      <c r="E116" s="159"/>
      <c r="F116" s="159"/>
      <c r="G116" s="159"/>
      <c r="H116" s="159"/>
      <c r="I116" s="159"/>
    </row>
    <row r="117" spans="1:9" ht="30" customHeight="1">
      <c r="A117" s="159" t="s">
        <v>17</v>
      </c>
      <c r="B117" s="159"/>
      <c r="C117" s="159"/>
      <c r="D117" s="159"/>
      <c r="E117" s="159"/>
      <c r="F117" s="159"/>
      <c r="G117" s="159"/>
      <c r="H117" s="159"/>
      <c r="I117" s="159"/>
    </row>
    <row r="118" spans="1:9" ht="30" customHeight="1">
      <c r="A118" s="159" t="s">
        <v>21</v>
      </c>
      <c r="B118" s="159"/>
      <c r="C118" s="159"/>
      <c r="D118" s="159"/>
      <c r="E118" s="159"/>
      <c r="F118" s="159"/>
      <c r="G118" s="159"/>
      <c r="H118" s="159"/>
      <c r="I118" s="159"/>
    </row>
    <row r="119" spans="1:9" ht="15" customHeight="1">
      <c r="A119" s="159" t="s">
        <v>20</v>
      </c>
      <c r="B119" s="159"/>
      <c r="C119" s="159"/>
      <c r="D119" s="159"/>
      <c r="E119" s="159"/>
      <c r="F119" s="159"/>
      <c r="G119" s="159"/>
      <c r="H119" s="159"/>
      <c r="I119" s="159"/>
    </row>
  </sheetData>
  <mergeCells count="28">
    <mergeCell ref="A14:I14"/>
    <mergeCell ref="A3:I3"/>
    <mergeCell ref="A4:I4"/>
    <mergeCell ref="A5:I5"/>
    <mergeCell ref="A8:I8"/>
    <mergeCell ref="A10:I10"/>
    <mergeCell ref="A107:I107"/>
    <mergeCell ref="A15:I15"/>
    <mergeCell ref="A28:I28"/>
    <mergeCell ref="A44:I44"/>
    <mergeCell ref="A56:I56"/>
    <mergeCell ref="A83:I83"/>
    <mergeCell ref="A99:I99"/>
    <mergeCell ref="B100:G100"/>
    <mergeCell ref="B101:G101"/>
    <mergeCell ref="A103:I103"/>
    <mergeCell ref="A104:I104"/>
    <mergeCell ref="A105:I105"/>
    <mergeCell ref="A87:I87"/>
    <mergeCell ref="A117:I117"/>
    <mergeCell ref="A118:I118"/>
    <mergeCell ref="A119:I119"/>
    <mergeCell ref="C109:E109"/>
    <mergeCell ref="C110:E110"/>
    <mergeCell ref="C112:E112"/>
    <mergeCell ref="C113:E113"/>
    <mergeCell ref="A115:I115"/>
    <mergeCell ref="A116:I116"/>
  </mergeCells>
  <pageMargins left="0.70866141732283472" right="0.70866141732283472" top="0.27559055118110237" bottom="7.874015748031496E-2" header="0.31496062992125984" footer="0.31496062992125984"/>
  <pageSetup paperSize="9" scale="6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2"/>
  <sheetViews>
    <sheetView topLeftCell="A53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20" t="s">
        <v>90</v>
      </c>
      <c r="I1" s="19"/>
    </row>
    <row r="2" spans="1:9" ht="15.75">
      <c r="A2" s="21" t="s">
        <v>64</v>
      </c>
    </row>
    <row r="3" spans="1:9" ht="15.75">
      <c r="A3" s="171" t="s">
        <v>178</v>
      </c>
      <c r="B3" s="171"/>
      <c r="C3" s="171"/>
      <c r="D3" s="171"/>
      <c r="E3" s="171"/>
      <c r="F3" s="171"/>
      <c r="G3" s="171"/>
      <c r="H3" s="171"/>
      <c r="I3" s="171"/>
    </row>
    <row r="4" spans="1:9" ht="31.5" customHeight="1">
      <c r="A4" s="181" t="s">
        <v>146</v>
      </c>
      <c r="B4" s="181"/>
      <c r="C4" s="181"/>
      <c r="D4" s="181"/>
      <c r="E4" s="181"/>
      <c r="F4" s="181"/>
      <c r="G4" s="181"/>
      <c r="H4" s="181"/>
      <c r="I4" s="181"/>
    </row>
    <row r="5" spans="1:9" ht="15.75">
      <c r="A5" s="171" t="s">
        <v>279</v>
      </c>
      <c r="B5" s="188"/>
      <c r="C5" s="188"/>
      <c r="D5" s="188"/>
      <c r="E5" s="188"/>
      <c r="F5" s="188"/>
      <c r="G5" s="188"/>
      <c r="H5" s="188"/>
      <c r="I5" s="188"/>
    </row>
    <row r="6" spans="1:9" ht="15.75">
      <c r="A6" s="1"/>
      <c r="B6" s="56"/>
      <c r="C6" s="56"/>
      <c r="D6" s="56"/>
      <c r="E6" s="56"/>
      <c r="F6" s="56"/>
      <c r="G6" s="56"/>
      <c r="H6" s="56"/>
      <c r="I6" s="23">
        <v>42886</v>
      </c>
    </row>
    <row r="7" spans="1:9" ht="15.75">
      <c r="B7" s="58"/>
      <c r="C7" s="58"/>
      <c r="D7" s="58"/>
      <c r="E7" s="2"/>
      <c r="F7" s="2"/>
      <c r="G7" s="2"/>
      <c r="H7" s="2"/>
    </row>
    <row r="8" spans="1:9" ht="78.75" customHeight="1">
      <c r="A8" s="180" t="s">
        <v>148</v>
      </c>
      <c r="B8" s="180"/>
      <c r="C8" s="180"/>
      <c r="D8" s="180"/>
      <c r="E8" s="180"/>
      <c r="F8" s="180"/>
      <c r="G8" s="180"/>
      <c r="H8" s="180"/>
      <c r="I8" s="180"/>
    </row>
    <row r="9" spans="1:9" ht="15.75">
      <c r="A9" s="3"/>
    </row>
    <row r="10" spans="1:9" ht="47.25" customHeight="1">
      <c r="A10" s="179" t="s">
        <v>306</v>
      </c>
      <c r="B10" s="179"/>
      <c r="C10" s="179"/>
      <c r="D10" s="179"/>
      <c r="E10" s="179"/>
      <c r="F10" s="179"/>
      <c r="G10" s="179"/>
      <c r="H10" s="179"/>
      <c r="I10" s="179"/>
    </row>
    <row r="11" spans="1:9" ht="15.75">
      <c r="A11" s="3"/>
    </row>
    <row r="12" spans="1:9" ht="45" customHeight="1">
      <c r="A12" s="5" t="s">
        <v>0</v>
      </c>
      <c r="B12" s="5" t="s">
        <v>1</v>
      </c>
      <c r="C12" s="5" t="s">
        <v>2</v>
      </c>
      <c r="D12" s="5" t="s">
        <v>18</v>
      </c>
      <c r="E12" s="5" t="s">
        <v>19</v>
      </c>
      <c r="F12" s="5"/>
      <c r="G12" s="5" t="s">
        <v>22</v>
      </c>
      <c r="H12" s="5"/>
      <c r="I12" s="5" t="s">
        <v>3</v>
      </c>
    </row>
    <row r="13" spans="1:9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/>
      <c r="G13" s="6">
        <v>5</v>
      </c>
      <c r="H13" s="6"/>
      <c r="I13" s="6">
        <v>6</v>
      </c>
    </row>
    <row r="14" spans="1:9" ht="15" customHeight="1">
      <c r="A14" s="187" t="s">
        <v>61</v>
      </c>
      <c r="B14" s="187"/>
      <c r="C14" s="187"/>
      <c r="D14" s="187"/>
      <c r="E14" s="187"/>
      <c r="F14" s="187"/>
      <c r="G14" s="187"/>
      <c r="H14" s="187"/>
      <c r="I14" s="187"/>
    </row>
    <row r="15" spans="1:9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31.5" customHeight="1">
      <c r="A16" s="22">
        <v>1</v>
      </c>
      <c r="B16" s="69" t="s">
        <v>114</v>
      </c>
      <c r="C16" s="70" t="s">
        <v>92</v>
      </c>
      <c r="D16" s="69" t="s">
        <v>115</v>
      </c>
      <c r="E16" s="71">
        <v>43.36</v>
      </c>
      <c r="F16" s="72">
        <f>SUM(E16*156/100)</f>
        <v>67.641599999999997</v>
      </c>
      <c r="G16" s="72">
        <v>187.48</v>
      </c>
      <c r="H16" s="73">
        <f t="shared" ref="H16:H25" si="0">SUM(F16*G16/1000)</f>
        <v>12.681447167999998</v>
      </c>
      <c r="I16" s="10">
        <f>F16/12*G16</f>
        <v>1056.7872640000001</v>
      </c>
    </row>
    <row r="17" spans="1:9" ht="31.5" customHeight="1">
      <c r="A17" s="22">
        <v>2</v>
      </c>
      <c r="B17" s="69" t="s">
        <v>116</v>
      </c>
      <c r="C17" s="70" t="s">
        <v>92</v>
      </c>
      <c r="D17" s="69" t="s">
        <v>117</v>
      </c>
      <c r="E17" s="71">
        <v>173.44</v>
      </c>
      <c r="F17" s="72">
        <f>SUM(E17*104/100)</f>
        <v>180.37759999999997</v>
      </c>
      <c r="G17" s="72">
        <v>187.48</v>
      </c>
      <c r="H17" s="73">
        <f t="shared" si="0"/>
        <v>33.817192447999993</v>
      </c>
      <c r="I17" s="10">
        <f>F17/12*G17</f>
        <v>2818.0993706666663</v>
      </c>
    </row>
    <row r="18" spans="1:9" ht="31.5" customHeight="1">
      <c r="A18" s="22">
        <v>3</v>
      </c>
      <c r="B18" s="69" t="s">
        <v>118</v>
      </c>
      <c r="C18" s="70" t="s">
        <v>92</v>
      </c>
      <c r="D18" s="69" t="s">
        <v>172</v>
      </c>
      <c r="E18" s="71">
        <f>SUM(E16+E17)</f>
        <v>216.8</v>
      </c>
      <c r="F18" s="72">
        <f>SUM(E18*24/100)</f>
        <v>52.032000000000011</v>
      </c>
      <c r="G18" s="72">
        <v>539.30999999999995</v>
      </c>
      <c r="H18" s="73">
        <f t="shared" si="0"/>
        <v>28.061377920000002</v>
      </c>
      <c r="I18" s="10">
        <f>F18/12*G18</f>
        <v>2338.4481600000004</v>
      </c>
    </row>
    <row r="19" spans="1:9" ht="15.75" customHeight="1">
      <c r="A19" s="22">
        <v>4</v>
      </c>
      <c r="B19" s="69" t="s">
        <v>119</v>
      </c>
      <c r="C19" s="70" t="s">
        <v>120</v>
      </c>
      <c r="D19" s="69" t="s">
        <v>121</v>
      </c>
      <c r="E19" s="71">
        <v>40</v>
      </c>
      <c r="F19" s="72">
        <f>SUM(E19/10)</f>
        <v>4</v>
      </c>
      <c r="G19" s="72">
        <v>181.91</v>
      </c>
      <c r="H19" s="73">
        <f t="shared" si="0"/>
        <v>0.72763999999999995</v>
      </c>
      <c r="I19" s="10">
        <f>F19/2*G19</f>
        <v>363.82</v>
      </c>
    </row>
    <row r="20" spans="1:9" ht="15.75" customHeight="1">
      <c r="A20" s="22">
        <v>5</v>
      </c>
      <c r="B20" s="69" t="s">
        <v>122</v>
      </c>
      <c r="C20" s="70" t="s">
        <v>92</v>
      </c>
      <c r="D20" s="69" t="s">
        <v>29</v>
      </c>
      <c r="E20" s="71">
        <v>10.5</v>
      </c>
      <c r="F20" s="72">
        <f>SUM(E20*12/100)</f>
        <v>1.26</v>
      </c>
      <c r="G20" s="72">
        <v>232.92</v>
      </c>
      <c r="H20" s="73">
        <f t="shared" si="0"/>
        <v>0.2934792</v>
      </c>
      <c r="I20" s="10">
        <f>F20/12*G20</f>
        <v>24.456599999999998</v>
      </c>
    </row>
    <row r="21" spans="1:9" ht="15.75" customHeight="1">
      <c r="A21" s="22">
        <v>6</v>
      </c>
      <c r="B21" s="69" t="s">
        <v>123</v>
      </c>
      <c r="C21" s="70" t="s">
        <v>92</v>
      </c>
      <c r="D21" s="69" t="s">
        <v>124</v>
      </c>
      <c r="E21" s="71">
        <v>2.7</v>
      </c>
      <c r="F21" s="72">
        <f>SUM(E21*6/100)</f>
        <v>0.16200000000000003</v>
      </c>
      <c r="G21" s="72">
        <v>231.03</v>
      </c>
      <c r="H21" s="73">
        <f t="shared" si="0"/>
        <v>3.7426860000000006E-2</v>
      </c>
      <c r="I21" s="10">
        <f>F21/6*G21</f>
        <v>6.2378100000000014</v>
      </c>
    </row>
    <row r="22" spans="1:9" ht="15.75" customHeight="1">
      <c r="A22" s="22">
        <v>7</v>
      </c>
      <c r="B22" s="69" t="s">
        <v>125</v>
      </c>
      <c r="C22" s="70" t="s">
        <v>54</v>
      </c>
      <c r="D22" s="69" t="s">
        <v>121</v>
      </c>
      <c r="E22" s="71">
        <v>357</v>
      </c>
      <c r="F22" s="72">
        <f>SUM(E22/100)</f>
        <v>3.57</v>
      </c>
      <c r="G22" s="72">
        <v>287.83999999999997</v>
      </c>
      <c r="H22" s="73">
        <f t="shared" si="0"/>
        <v>1.0275887999999997</v>
      </c>
      <c r="I22" s="10">
        <f>F22*G22</f>
        <v>1027.5887999999998</v>
      </c>
    </row>
    <row r="23" spans="1:9" ht="15.75" customHeight="1">
      <c r="A23" s="22">
        <v>8</v>
      </c>
      <c r="B23" s="69" t="s">
        <v>126</v>
      </c>
      <c r="C23" s="70" t="s">
        <v>54</v>
      </c>
      <c r="D23" s="69" t="s">
        <v>121</v>
      </c>
      <c r="E23" s="74">
        <v>38.64</v>
      </c>
      <c r="F23" s="72">
        <f>SUM(E23/100)</f>
        <v>0.38640000000000002</v>
      </c>
      <c r="G23" s="72">
        <v>47.34</v>
      </c>
      <c r="H23" s="73">
        <f t="shared" si="0"/>
        <v>1.8292176E-2</v>
      </c>
      <c r="I23" s="10">
        <f t="shared" ref="I23:I25" si="1">F23*G23</f>
        <v>18.292176000000001</v>
      </c>
    </row>
    <row r="24" spans="1:9" ht="15.75" customHeight="1">
      <c r="A24" s="22">
        <v>9</v>
      </c>
      <c r="B24" s="69" t="s">
        <v>127</v>
      </c>
      <c r="C24" s="70" t="s">
        <v>54</v>
      </c>
      <c r="D24" s="69" t="s">
        <v>128</v>
      </c>
      <c r="E24" s="71">
        <v>15</v>
      </c>
      <c r="F24" s="72">
        <f>SUM(E24/100)</f>
        <v>0.15</v>
      </c>
      <c r="G24" s="72">
        <v>416.62</v>
      </c>
      <c r="H24" s="73">
        <f t="shared" si="0"/>
        <v>6.2492999999999993E-2</v>
      </c>
      <c r="I24" s="10">
        <f t="shared" si="1"/>
        <v>62.492999999999995</v>
      </c>
    </row>
    <row r="25" spans="1:9" ht="15.75" customHeight="1">
      <c r="A25" s="22">
        <v>10</v>
      </c>
      <c r="B25" s="69" t="s">
        <v>129</v>
      </c>
      <c r="C25" s="70" t="s">
        <v>54</v>
      </c>
      <c r="D25" s="69" t="s">
        <v>121</v>
      </c>
      <c r="E25" s="71">
        <v>6.38</v>
      </c>
      <c r="F25" s="72">
        <f>SUM(E25/100)</f>
        <v>6.3799999999999996E-2</v>
      </c>
      <c r="G25" s="72">
        <v>556.74</v>
      </c>
      <c r="H25" s="73">
        <f t="shared" si="0"/>
        <v>3.5520012000000004E-2</v>
      </c>
      <c r="I25" s="10">
        <f t="shared" si="1"/>
        <v>35.520012000000001</v>
      </c>
    </row>
    <row r="26" spans="1:9" ht="15.75" customHeight="1">
      <c r="A26" s="22">
        <v>11</v>
      </c>
      <c r="B26" s="69" t="s">
        <v>66</v>
      </c>
      <c r="C26" s="70" t="s">
        <v>32</v>
      </c>
      <c r="D26" s="69" t="s">
        <v>156</v>
      </c>
      <c r="E26" s="71">
        <v>0.1</v>
      </c>
      <c r="F26" s="72">
        <f>SUM(E26*365)</f>
        <v>36.5</v>
      </c>
      <c r="G26" s="72">
        <v>157.18</v>
      </c>
      <c r="H26" s="73">
        <f>SUM(F26*G26/1000)</f>
        <v>5.737070000000001</v>
      </c>
      <c r="I26" s="10">
        <f>F26/12*G26</f>
        <v>478.08916666666664</v>
      </c>
    </row>
    <row r="27" spans="1:9" ht="15.75" customHeight="1">
      <c r="A27" s="22">
        <v>12</v>
      </c>
      <c r="B27" s="77" t="s">
        <v>23</v>
      </c>
      <c r="C27" s="70" t="s">
        <v>24</v>
      </c>
      <c r="D27" s="77" t="s">
        <v>158</v>
      </c>
      <c r="E27" s="71">
        <v>2820</v>
      </c>
      <c r="F27" s="72">
        <f>SUM(E27*12)</f>
        <v>33840</v>
      </c>
      <c r="G27" s="72">
        <v>4.84</v>
      </c>
      <c r="H27" s="73">
        <f>SUM(F27*G27/1000)</f>
        <v>163.78560000000002</v>
      </c>
      <c r="I27" s="10">
        <f>F27/12*G27</f>
        <v>13648.8</v>
      </c>
    </row>
    <row r="28" spans="1:9" ht="15.75" customHeight="1">
      <c r="A28" s="190" t="s">
        <v>89</v>
      </c>
      <c r="B28" s="191"/>
      <c r="C28" s="191"/>
      <c r="D28" s="191"/>
      <c r="E28" s="191"/>
      <c r="F28" s="191"/>
      <c r="G28" s="191"/>
      <c r="H28" s="191"/>
      <c r="I28" s="192"/>
    </row>
    <row r="29" spans="1:9" ht="15.75" customHeight="1">
      <c r="A29" s="22"/>
      <c r="B29" s="92" t="s">
        <v>27</v>
      </c>
      <c r="C29" s="70"/>
      <c r="D29" s="69"/>
      <c r="E29" s="71"/>
      <c r="F29" s="72"/>
      <c r="G29" s="72"/>
      <c r="H29" s="73"/>
      <c r="I29" s="10"/>
    </row>
    <row r="30" spans="1:9" ht="31.5" customHeight="1">
      <c r="A30" s="22">
        <v>13</v>
      </c>
      <c r="B30" s="69" t="s">
        <v>100</v>
      </c>
      <c r="C30" s="70" t="s">
        <v>94</v>
      </c>
      <c r="D30" s="69" t="s">
        <v>130</v>
      </c>
      <c r="E30" s="72">
        <v>124.74</v>
      </c>
      <c r="F30" s="72">
        <f>SUM(E30*52/1000)</f>
        <v>6.4864799999999994</v>
      </c>
      <c r="G30" s="72">
        <v>166.65</v>
      </c>
      <c r="H30" s="73">
        <f t="shared" ref="H30:H35" si="2">SUM(F30*G30/1000)</f>
        <v>1.080971892</v>
      </c>
      <c r="I30" s="10">
        <f>F30/6*G30</f>
        <v>180.16198199999997</v>
      </c>
    </row>
    <row r="31" spans="1:9" ht="31.5" customHeight="1">
      <c r="A31" s="22">
        <v>14</v>
      </c>
      <c r="B31" s="69" t="s">
        <v>173</v>
      </c>
      <c r="C31" s="70" t="s">
        <v>94</v>
      </c>
      <c r="D31" s="69" t="s">
        <v>131</v>
      </c>
      <c r="E31" s="72">
        <v>48.8</v>
      </c>
      <c r="F31" s="72">
        <f>SUM(E31*78/1000)</f>
        <v>3.8063999999999996</v>
      </c>
      <c r="G31" s="72">
        <v>276.48</v>
      </c>
      <c r="H31" s="73">
        <f t="shared" si="2"/>
        <v>1.0523934719999999</v>
      </c>
      <c r="I31" s="10">
        <f t="shared" ref="I31:I33" si="3">F31/6*G31</f>
        <v>175.398912</v>
      </c>
    </row>
    <row r="32" spans="1:9" ht="15.75" customHeight="1">
      <c r="A32" s="22">
        <v>15</v>
      </c>
      <c r="B32" s="69" t="s">
        <v>26</v>
      </c>
      <c r="C32" s="70" t="s">
        <v>94</v>
      </c>
      <c r="D32" s="69" t="s">
        <v>55</v>
      </c>
      <c r="E32" s="72">
        <v>371.04</v>
      </c>
      <c r="F32" s="72">
        <f>SUM(E32/1000)</f>
        <v>0.37104000000000004</v>
      </c>
      <c r="G32" s="72">
        <v>3228.73</v>
      </c>
      <c r="H32" s="73">
        <f t="shared" si="2"/>
        <v>1.1979879792000001</v>
      </c>
      <c r="I32" s="10">
        <f>F32*G32</f>
        <v>1197.9879792000002</v>
      </c>
    </row>
    <row r="33" spans="1:9" ht="15.75" customHeight="1">
      <c r="A33" s="22">
        <v>16</v>
      </c>
      <c r="B33" s="69" t="s">
        <v>99</v>
      </c>
      <c r="C33" s="70" t="s">
        <v>30</v>
      </c>
      <c r="D33" s="69" t="s">
        <v>65</v>
      </c>
      <c r="E33" s="76">
        <v>0.33333333333333331</v>
      </c>
      <c r="F33" s="72">
        <f>155/3</f>
        <v>51.666666666666664</v>
      </c>
      <c r="G33" s="72">
        <v>60.6</v>
      </c>
      <c r="H33" s="73">
        <f>SUM(G33*155/3/1000)</f>
        <v>3.1309999999999998</v>
      </c>
      <c r="I33" s="10">
        <f t="shared" si="3"/>
        <v>521.83333333333337</v>
      </c>
    </row>
    <row r="34" spans="1:9" ht="15.75" hidden="1" customHeight="1">
      <c r="A34" s="22"/>
      <c r="B34" s="69" t="s">
        <v>67</v>
      </c>
      <c r="C34" s="70" t="s">
        <v>32</v>
      </c>
      <c r="D34" s="69" t="s">
        <v>157</v>
      </c>
      <c r="E34" s="71"/>
      <c r="F34" s="72">
        <v>3</v>
      </c>
      <c r="G34" s="72">
        <v>204.32</v>
      </c>
      <c r="H34" s="73">
        <f t="shared" si="2"/>
        <v>0.61296000000000006</v>
      </c>
      <c r="I34" s="10">
        <v>0</v>
      </c>
    </row>
    <row r="35" spans="1:9" ht="15.75" hidden="1" customHeight="1">
      <c r="A35" s="22"/>
      <c r="B35" s="69" t="s">
        <v>68</v>
      </c>
      <c r="C35" s="70" t="s">
        <v>31</v>
      </c>
      <c r="D35" s="69" t="s">
        <v>157</v>
      </c>
      <c r="E35" s="71"/>
      <c r="F35" s="72">
        <v>2</v>
      </c>
      <c r="G35" s="72">
        <v>1214.73</v>
      </c>
      <c r="H35" s="73">
        <f t="shared" si="2"/>
        <v>2.4294600000000002</v>
      </c>
      <c r="I35" s="10">
        <v>0</v>
      </c>
    </row>
    <row r="36" spans="1:9" ht="15.75" hidden="1" customHeight="1">
      <c r="A36" s="22"/>
      <c r="B36" s="92" t="s">
        <v>5</v>
      </c>
      <c r="C36" s="70"/>
      <c r="D36" s="69"/>
      <c r="E36" s="71"/>
      <c r="F36" s="72"/>
      <c r="G36" s="72"/>
      <c r="H36" s="73" t="s">
        <v>158</v>
      </c>
      <c r="I36" s="10"/>
    </row>
    <row r="37" spans="1:9" ht="15.75" hidden="1" customHeight="1">
      <c r="A37" s="22">
        <v>8</v>
      </c>
      <c r="B37" s="69" t="s">
        <v>25</v>
      </c>
      <c r="C37" s="70" t="s">
        <v>31</v>
      </c>
      <c r="D37" s="69"/>
      <c r="E37" s="71"/>
      <c r="F37" s="72">
        <v>9</v>
      </c>
      <c r="G37" s="72">
        <v>1632.6</v>
      </c>
      <c r="H37" s="73">
        <f>SUM(F37*G37/1000)</f>
        <v>14.6934</v>
      </c>
      <c r="I37" s="10">
        <f>F37/6*G37</f>
        <v>2448.8999999999996</v>
      </c>
    </row>
    <row r="38" spans="1:9" ht="15.75" hidden="1" customHeight="1">
      <c r="A38" s="22">
        <v>9</v>
      </c>
      <c r="B38" s="69" t="s">
        <v>70</v>
      </c>
      <c r="C38" s="70" t="s">
        <v>28</v>
      </c>
      <c r="D38" s="69" t="s">
        <v>111</v>
      </c>
      <c r="E38" s="72">
        <v>43.47</v>
      </c>
      <c r="F38" s="72">
        <f>SUM(E38*30/1000)</f>
        <v>1.3040999999999998</v>
      </c>
      <c r="G38" s="72">
        <v>2247.8000000000002</v>
      </c>
      <c r="H38" s="73">
        <f t="shared" ref="H38:H43" si="4">SUM(F38*G38/1000)</f>
        <v>2.9313559799999998</v>
      </c>
      <c r="I38" s="10">
        <f>F38/6*G38</f>
        <v>488.55932999999993</v>
      </c>
    </row>
    <row r="39" spans="1:9" ht="15.75" hidden="1" customHeight="1">
      <c r="A39" s="22">
        <v>10</v>
      </c>
      <c r="B39" s="69" t="s">
        <v>71</v>
      </c>
      <c r="C39" s="70" t="s">
        <v>28</v>
      </c>
      <c r="D39" s="69" t="s">
        <v>93</v>
      </c>
      <c r="E39" s="72">
        <v>48.8</v>
      </c>
      <c r="F39" s="72">
        <f>SUM(E39*155/1000)</f>
        <v>7.5640000000000001</v>
      </c>
      <c r="G39" s="72">
        <v>374.95</v>
      </c>
      <c r="H39" s="73">
        <f t="shared" si="4"/>
        <v>2.8361217999999999</v>
      </c>
      <c r="I39" s="10">
        <f>F39/6*G39</f>
        <v>472.68696666666665</v>
      </c>
    </row>
    <row r="40" spans="1:9" ht="15.75" hidden="1" customHeight="1">
      <c r="A40" s="22"/>
      <c r="B40" s="69" t="s">
        <v>132</v>
      </c>
      <c r="C40" s="70" t="s">
        <v>56</v>
      </c>
      <c r="D40" s="69" t="s">
        <v>69</v>
      </c>
      <c r="E40" s="71"/>
      <c r="F40" s="72">
        <v>110</v>
      </c>
      <c r="G40" s="72">
        <v>213.2</v>
      </c>
      <c r="H40" s="73">
        <f t="shared" si="4"/>
        <v>23.452000000000002</v>
      </c>
      <c r="I40" s="10">
        <v>0</v>
      </c>
    </row>
    <row r="41" spans="1:9" ht="47.25" hidden="1" customHeight="1">
      <c r="A41" s="22">
        <v>11</v>
      </c>
      <c r="B41" s="69" t="s">
        <v>87</v>
      </c>
      <c r="C41" s="70" t="s">
        <v>94</v>
      </c>
      <c r="D41" s="69" t="s">
        <v>133</v>
      </c>
      <c r="E41" s="72">
        <v>43.47</v>
      </c>
      <c r="F41" s="72">
        <f>SUM(E41*35/1000)</f>
        <v>1.52145</v>
      </c>
      <c r="G41" s="72">
        <v>6203.7</v>
      </c>
      <c r="H41" s="73">
        <f t="shared" si="4"/>
        <v>9.4386193649999992</v>
      </c>
      <c r="I41" s="10">
        <f>F41/6*G41</f>
        <v>1573.1032275</v>
      </c>
    </row>
    <row r="42" spans="1:9" ht="15.75" hidden="1" customHeight="1">
      <c r="A42" s="22">
        <v>12</v>
      </c>
      <c r="B42" s="69" t="s">
        <v>95</v>
      </c>
      <c r="C42" s="70" t="s">
        <v>94</v>
      </c>
      <c r="D42" s="69" t="s">
        <v>72</v>
      </c>
      <c r="E42" s="72">
        <v>43.47</v>
      </c>
      <c r="F42" s="72">
        <f>SUM(E42*45/1000)</f>
        <v>1.9561499999999998</v>
      </c>
      <c r="G42" s="72">
        <v>458.28</v>
      </c>
      <c r="H42" s="73">
        <f t="shared" si="4"/>
        <v>0.89646442199999987</v>
      </c>
      <c r="I42" s="10">
        <f>F42/6*G42</f>
        <v>149.41073699999998</v>
      </c>
    </row>
    <row r="43" spans="1:9" ht="15.75" hidden="1" customHeight="1">
      <c r="A43" s="22">
        <v>13</v>
      </c>
      <c r="B43" s="69" t="s">
        <v>73</v>
      </c>
      <c r="C43" s="70" t="s">
        <v>32</v>
      </c>
      <c r="D43" s="69"/>
      <c r="E43" s="71"/>
      <c r="F43" s="72">
        <v>0.9</v>
      </c>
      <c r="G43" s="72">
        <v>853.06</v>
      </c>
      <c r="H43" s="73">
        <f t="shared" si="4"/>
        <v>0.76775400000000005</v>
      </c>
      <c r="I43" s="10">
        <f>F43/6*G43</f>
        <v>127.95899999999999</v>
      </c>
    </row>
    <row r="44" spans="1:9" ht="15.75" customHeight="1">
      <c r="A44" s="190" t="s">
        <v>150</v>
      </c>
      <c r="B44" s="191"/>
      <c r="C44" s="191"/>
      <c r="D44" s="191"/>
      <c r="E44" s="191"/>
      <c r="F44" s="191"/>
      <c r="G44" s="191"/>
      <c r="H44" s="191"/>
      <c r="I44" s="192"/>
    </row>
    <row r="45" spans="1:9" ht="15.75" customHeight="1">
      <c r="A45" s="22">
        <v>17</v>
      </c>
      <c r="B45" s="69" t="s">
        <v>101</v>
      </c>
      <c r="C45" s="70" t="s">
        <v>94</v>
      </c>
      <c r="D45" s="69" t="s">
        <v>43</v>
      </c>
      <c r="E45" s="71">
        <v>1109.4000000000001</v>
      </c>
      <c r="F45" s="72">
        <f>SUM(E45*2/1000)</f>
        <v>2.2188000000000003</v>
      </c>
      <c r="G45" s="10">
        <v>865.61</v>
      </c>
      <c r="H45" s="73">
        <f t="shared" ref="H45:H55" si="5">SUM(F45*G45/1000)</f>
        <v>1.9206154680000005</v>
      </c>
      <c r="I45" s="10">
        <f t="shared" ref="I45:I48" si="6">F45/2*G45</f>
        <v>960.30773400000021</v>
      </c>
    </row>
    <row r="46" spans="1:9" ht="15.75" customHeight="1">
      <c r="A46" s="22">
        <v>18</v>
      </c>
      <c r="B46" s="69" t="s">
        <v>35</v>
      </c>
      <c r="C46" s="70" t="s">
        <v>94</v>
      </c>
      <c r="D46" s="69" t="s">
        <v>43</v>
      </c>
      <c r="E46" s="71">
        <v>106</v>
      </c>
      <c r="F46" s="72">
        <f>SUM(E46*2/1000)</f>
        <v>0.21199999999999999</v>
      </c>
      <c r="G46" s="10">
        <v>619.46</v>
      </c>
      <c r="H46" s="73">
        <f t="shared" si="5"/>
        <v>0.13132552</v>
      </c>
      <c r="I46" s="10">
        <f t="shared" si="6"/>
        <v>65.662760000000006</v>
      </c>
    </row>
    <row r="47" spans="1:9" ht="15.75" customHeight="1">
      <c r="A47" s="22">
        <v>19</v>
      </c>
      <c r="B47" s="69" t="s">
        <v>36</v>
      </c>
      <c r="C47" s="70" t="s">
        <v>94</v>
      </c>
      <c r="D47" s="69" t="s">
        <v>43</v>
      </c>
      <c r="E47" s="71">
        <v>1563.2750000000001</v>
      </c>
      <c r="F47" s="72">
        <f>SUM(E47*2/1000)</f>
        <v>3.1265500000000004</v>
      </c>
      <c r="G47" s="10">
        <v>619.46</v>
      </c>
      <c r="H47" s="73">
        <f t="shared" si="5"/>
        <v>1.9367726630000004</v>
      </c>
      <c r="I47" s="10">
        <f t="shared" si="6"/>
        <v>968.38633150000021</v>
      </c>
    </row>
    <row r="48" spans="1:9" ht="15.75" customHeight="1">
      <c r="A48" s="22">
        <v>20</v>
      </c>
      <c r="B48" s="69" t="s">
        <v>37</v>
      </c>
      <c r="C48" s="70" t="s">
        <v>94</v>
      </c>
      <c r="D48" s="69" t="s">
        <v>43</v>
      </c>
      <c r="E48" s="71">
        <v>1619.6</v>
      </c>
      <c r="F48" s="72">
        <f>SUM(E48*2/1000)</f>
        <v>3.2391999999999999</v>
      </c>
      <c r="G48" s="10">
        <v>648.64</v>
      </c>
      <c r="H48" s="73">
        <f t="shared" si="5"/>
        <v>2.1010746879999997</v>
      </c>
      <c r="I48" s="10">
        <f t="shared" si="6"/>
        <v>1050.5373439999998</v>
      </c>
    </row>
    <row r="49" spans="1:9" ht="15.75" customHeight="1">
      <c r="A49" s="22">
        <v>21</v>
      </c>
      <c r="B49" s="69" t="s">
        <v>33</v>
      </c>
      <c r="C49" s="70" t="s">
        <v>34</v>
      </c>
      <c r="D49" s="69" t="s">
        <v>43</v>
      </c>
      <c r="E49" s="71">
        <v>85.84</v>
      </c>
      <c r="F49" s="72">
        <f>SUM(E49*2/100)</f>
        <v>1.7168000000000001</v>
      </c>
      <c r="G49" s="10">
        <v>77.84</v>
      </c>
      <c r="H49" s="73">
        <f t="shared" si="5"/>
        <v>0.13363571200000002</v>
      </c>
      <c r="I49" s="10">
        <f>F49/2*G49</f>
        <v>66.817856000000006</v>
      </c>
    </row>
    <row r="50" spans="1:9" ht="15.75" customHeight="1">
      <c r="A50" s="22">
        <v>22</v>
      </c>
      <c r="B50" s="69" t="s">
        <v>58</v>
      </c>
      <c r="C50" s="70" t="s">
        <v>94</v>
      </c>
      <c r="D50" s="69" t="s">
        <v>174</v>
      </c>
      <c r="E50" s="71">
        <v>890.5</v>
      </c>
      <c r="F50" s="72">
        <f>SUM(E50*5/1000)</f>
        <v>4.4524999999999997</v>
      </c>
      <c r="G50" s="10">
        <v>1297.28</v>
      </c>
      <c r="H50" s="73">
        <f t="shared" si="5"/>
        <v>5.7761391999999994</v>
      </c>
      <c r="I50" s="10">
        <f>F50/5*G50</f>
        <v>1155.22784</v>
      </c>
    </row>
    <row r="51" spans="1:9" ht="31.5" customHeight="1">
      <c r="A51" s="22">
        <v>23</v>
      </c>
      <c r="B51" s="69" t="s">
        <v>96</v>
      </c>
      <c r="C51" s="70" t="s">
        <v>94</v>
      </c>
      <c r="D51" s="69" t="s">
        <v>43</v>
      </c>
      <c r="E51" s="71">
        <v>890.5</v>
      </c>
      <c r="F51" s="72">
        <f>SUM(E51*2/1000)</f>
        <v>1.7809999999999999</v>
      </c>
      <c r="G51" s="10">
        <v>1297.28</v>
      </c>
      <c r="H51" s="73">
        <f t="shared" si="5"/>
        <v>2.31045568</v>
      </c>
      <c r="I51" s="10">
        <f>F51/2*G51</f>
        <v>1155.22784</v>
      </c>
    </row>
    <row r="52" spans="1:9" ht="31.5" customHeight="1">
      <c r="A52" s="22">
        <v>24</v>
      </c>
      <c r="B52" s="69" t="s">
        <v>97</v>
      </c>
      <c r="C52" s="70" t="s">
        <v>38</v>
      </c>
      <c r="D52" s="69" t="s">
        <v>43</v>
      </c>
      <c r="E52" s="71">
        <v>20</v>
      </c>
      <c r="F52" s="72">
        <f>SUM(E52*2/100)</f>
        <v>0.4</v>
      </c>
      <c r="G52" s="10">
        <v>2918.89</v>
      </c>
      <c r="H52" s="73">
        <f t="shared" si="5"/>
        <v>1.167556</v>
      </c>
      <c r="I52" s="10">
        <f t="shared" ref="I52:I53" si="7">F52/2*G52</f>
        <v>583.77800000000002</v>
      </c>
    </row>
    <row r="53" spans="1:9" ht="15.75" customHeight="1">
      <c r="A53" s="22">
        <v>25</v>
      </c>
      <c r="B53" s="69" t="s">
        <v>39</v>
      </c>
      <c r="C53" s="70" t="s">
        <v>40</v>
      </c>
      <c r="D53" s="69" t="s">
        <v>43</v>
      </c>
      <c r="E53" s="71">
        <v>1</v>
      </c>
      <c r="F53" s="72">
        <v>0.02</v>
      </c>
      <c r="G53" s="10">
        <v>6042.12</v>
      </c>
      <c r="H53" s="73">
        <f t="shared" si="5"/>
        <v>0.1208424</v>
      </c>
      <c r="I53" s="10">
        <f t="shared" si="7"/>
        <v>60.421199999999999</v>
      </c>
    </row>
    <row r="54" spans="1:9" ht="15.75" customHeight="1">
      <c r="A54" s="22">
        <v>26</v>
      </c>
      <c r="B54" s="69" t="s">
        <v>108</v>
      </c>
      <c r="C54" s="70" t="s">
        <v>102</v>
      </c>
      <c r="D54" s="69" t="s">
        <v>41</v>
      </c>
      <c r="E54" s="71">
        <v>62</v>
      </c>
      <c r="F54" s="72">
        <f>SUM(E54*4)</f>
        <v>248</v>
      </c>
      <c r="G54" s="10">
        <v>150.86000000000001</v>
      </c>
      <c r="H54" s="73">
        <f t="shared" si="5"/>
        <v>37.413280000000007</v>
      </c>
      <c r="I54" s="10">
        <f>E54*G54</f>
        <v>9353.3200000000015</v>
      </c>
    </row>
    <row r="55" spans="1:9" ht="15.75" customHeight="1">
      <c r="A55" s="94">
        <v>27</v>
      </c>
      <c r="B55" s="81" t="s">
        <v>42</v>
      </c>
      <c r="C55" s="80" t="s">
        <v>102</v>
      </c>
      <c r="D55" s="81" t="s">
        <v>74</v>
      </c>
      <c r="E55" s="82">
        <v>124</v>
      </c>
      <c r="F55" s="83">
        <f>SUM(E55)*3</f>
        <v>372</v>
      </c>
      <c r="G55" s="95">
        <v>70.209999999999994</v>
      </c>
      <c r="H55" s="84">
        <f t="shared" si="5"/>
        <v>26.118119999999998</v>
      </c>
      <c r="I55" s="95">
        <f>E55*G55</f>
        <v>8706.0399999999991</v>
      </c>
    </row>
    <row r="56" spans="1:9" ht="15.75" customHeight="1">
      <c r="A56" s="172" t="s">
        <v>151</v>
      </c>
      <c r="B56" s="175"/>
      <c r="C56" s="175"/>
      <c r="D56" s="175"/>
      <c r="E56" s="175"/>
      <c r="F56" s="175"/>
      <c r="G56" s="175"/>
      <c r="H56" s="175"/>
      <c r="I56" s="176"/>
    </row>
    <row r="57" spans="1:9" ht="15.75" hidden="1" customHeight="1">
      <c r="A57" s="96"/>
      <c r="B57" s="97" t="s">
        <v>44</v>
      </c>
      <c r="C57" s="98"/>
      <c r="D57" s="99"/>
      <c r="E57" s="100"/>
      <c r="F57" s="101"/>
      <c r="G57" s="101"/>
      <c r="H57" s="102"/>
      <c r="I57" s="103"/>
    </row>
    <row r="58" spans="1:9" ht="31.5" hidden="1" customHeight="1">
      <c r="A58" s="22">
        <v>17</v>
      </c>
      <c r="B58" s="69" t="s">
        <v>112</v>
      </c>
      <c r="C58" s="70" t="s">
        <v>92</v>
      </c>
      <c r="D58" s="69" t="s">
        <v>134</v>
      </c>
      <c r="E58" s="71">
        <v>126.94</v>
      </c>
      <c r="F58" s="72">
        <f>SUM(E58*6/100)</f>
        <v>7.6163999999999996</v>
      </c>
      <c r="G58" s="10">
        <v>1654.04</v>
      </c>
      <c r="H58" s="73">
        <f>SUM(F58*G58/1000)</f>
        <v>12.597830256</v>
      </c>
      <c r="I58" s="10">
        <f>F58/6*G58</f>
        <v>2099.6383759999999</v>
      </c>
    </row>
    <row r="59" spans="1:9" ht="31.5" hidden="1" customHeight="1">
      <c r="A59" s="22">
        <v>18</v>
      </c>
      <c r="B59" s="69" t="s">
        <v>135</v>
      </c>
      <c r="C59" s="70" t="s">
        <v>92</v>
      </c>
      <c r="D59" s="69" t="s">
        <v>134</v>
      </c>
      <c r="E59" s="78">
        <v>16</v>
      </c>
      <c r="F59" s="60">
        <v>0.96</v>
      </c>
      <c r="G59" s="72">
        <v>1654.04</v>
      </c>
      <c r="H59" s="73">
        <v>1.5880000000000001</v>
      </c>
      <c r="I59" s="10">
        <f>F59/6*G59</f>
        <v>264.64639999999997</v>
      </c>
    </row>
    <row r="60" spans="1:9" ht="31.5" hidden="1" customHeight="1">
      <c r="A60" s="22">
        <v>19</v>
      </c>
      <c r="B60" s="69" t="s">
        <v>82</v>
      </c>
      <c r="C60" s="70" t="s">
        <v>92</v>
      </c>
      <c r="D60" s="69" t="s">
        <v>29</v>
      </c>
      <c r="E60" s="79">
        <v>19.899999999999999</v>
      </c>
      <c r="F60" s="10">
        <f>E60*3/100</f>
        <v>0.59699999999999998</v>
      </c>
      <c r="G60" s="72">
        <v>1654.04</v>
      </c>
      <c r="H60" s="73">
        <f>SUM(F60*G60/1000)</f>
        <v>0.9874618799999999</v>
      </c>
      <c r="I60" s="10">
        <f>F60/6*G60</f>
        <v>164.57697999999999</v>
      </c>
    </row>
    <row r="61" spans="1:9" ht="15.75" hidden="1" customHeight="1">
      <c r="A61" s="22"/>
      <c r="B61" s="93" t="s">
        <v>45</v>
      </c>
      <c r="C61" s="80"/>
      <c r="D61" s="81"/>
      <c r="E61" s="82"/>
      <c r="F61" s="83"/>
      <c r="G61" s="60"/>
      <c r="H61" s="84"/>
      <c r="I61" s="10"/>
    </row>
    <row r="62" spans="1:9" ht="15.75" hidden="1" customHeight="1">
      <c r="A62" s="22"/>
      <c r="B62" s="81" t="s">
        <v>46</v>
      </c>
      <c r="C62" s="80" t="s">
        <v>92</v>
      </c>
      <c r="D62" s="81" t="s">
        <v>55</v>
      </c>
      <c r="E62" s="82">
        <v>900</v>
      </c>
      <c r="F62" s="84">
        <v>9</v>
      </c>
      <c r="G62" s="10">
        <v>848.37</v>
      </c>
      <c r="H62" s="85">
        <v>7.6349999999999998</v>
      </c>
      <c r="I62" s="10">
        <v>0</v>
      </c>
    </row>
    <row r="63" spans="1:9" ht="15.75" customHeight="1">
      <c r="A63" s="22"/>
      <c r="B63" s="93" t="s">
        <v>47</v>
      </c>
      <c r="C63" s="80"/>
      <c r="D63" s="81"/>
      <c r="E63" s="82"/>
      <c r="F63" s="83"/>
      <c r="G63" s="86"/>
      <c r="H63" s="84" t="s">
        <v>158</v>
      </c>
      <c r="I63" s="10"/>
    </row>
    <row r="64" spans="1:9" ht="15.75" hidden="1" customHeight="1">
      <c r="A64" s="22"/>
      <c r="B64" s="11" t="s">
        <v>48</v>
      </c>
      <c r="C64" s="13" t="s">
        <v>102</v>
      </c>
      <c r="D64" s="11" t="s">
        <v>69</v>
      </c>
      <c r="E64" s="16">
        <v>10</v>
      </c>
      <c r="F64" s="72">
        <v>10</v>
      </c>
      <c r="G64" s="10">
        <v>237.74</v>
      </c>
      <c r="H64" s="68">
        <f t="shared" ref="H64:H80" si="8">SUM(F64*G64/1000)</f>
        <v>2.3774000000000002</v>
      </c>
      <c r="I64" s="10">
        <v>0</v>
      </c>
    </row>
    <row r="65" spans="1:9" ht="15.75" hidden="1" customHeight="1">
      <c r="A65" s="22"/>
      <c r="B65" s="11" t="s">
        <v>49</v>
      </c>
      <c r="C65" s="13" t="s">
        <v>102</v>
      </c>
      <c r="D65" s="11" t="s">
        <v>69</v>
      </c>
      <c r="E65" s="16">
        <v>3</v>
      </c>
      <c r="F65" s="72">
        <v>3</v>
      </c>
      <c r="G65" s="10">
        <v>81.510000000000005</v>
      </c>
      <c r="H65" s="68">
        <f t="shared" si="8"/>
        <v>0.24453000000000003</v>
      </c>
      <c r="I65" s="10">
        <v>0</v>
      </c>
    </row>
    <row r="66" spans="1:9" ht="15.75" customHeight="1">
      <c r="A66" s="22">
        <v>28</v>
      </c>
      <c r="B66" s="11" t="s">
        <v>50</v>
      </c>
      <c r="C66" s="13" t="s">
        <v>103</v>
      </c>
      <c r="D66" s="11" t="s">
        <v>55</v>
      </c>
      <c r="E66" s="71">
        <v>13313</v>
      </c>
      <c r="F66" s="10">
        <f>SUM(E66/100)</f>
        <v>133.13</v>
      </c>
      <c r="G66" s="10">
        <v>226.79</v>
      </c>
      <c r="H66" s="68">
        <f t="shared" si="8"/>
        <v>30.192552699999997</v>
      </c>
      <c r="I66" s="10">
        <f>F66*G66</f>
        <v>30192.552699999997</v>
      </c>
    </row>
    <row r="67" spans="1:9" ht="15.75" customHeight="1">
      <c r="A67" s="22">
        <v>29</v>
      </c>
      <c r="B67" s="11" t="s">
        <v>51</v>
      </c>
      <c r="C67" s="13" t="s">
        <v>104</v>
      </c>
      <c r="D67" s="11"/>
      <c r="E67" s="71">
        <v>13313</v>
      </c>
      <c r="F67" s="10">
        <f>SUM(E67/1000)</f>
        <v>13.313000000000001</v>
      </c>
      <c r="G67" s="10">
        <v>176.61</v>
      </c>
      <c r="H67" s="68">
        <f t="shared" si="8"/>
        <v>2.3512089300000003</v>
      </c>
      <c r="I67" s="10">
        <f t="shared" ref="I67:I70" si="9">F67*G67</f>
        <v>2351.2089300000002</v>
      </c>
    </row>
    <row r="68" spans="1:9" ht="15.75" customHeight="1">
      <c r="A68" s="22">
        <v>30</v>
      </c>
      <c r="B68" s="11" t="s">
        <v>52</v>
      </c>
      <c r="C68" s="13" t="s">
        <v>79</v>
      </c>
      <c r="D68" s="11" t="s">
        <v>55</v>
      </c>
      <c r="E68" s="71">
        <v>2184</v>
      </c>
      <c r="F68" s="10">
        <f>SUM(E68/100)</f>
        <v>21.84</v>
      </c>
      <c r="G68" s="10">
        <v>2217.7800000000002</v>
      </c>
      <c r="H68" s="68">
        <f t="shared" si="8"/>
        <v>48.436315200000003</v>
      </c>
      <c r="I68" s="10">
        <f t="shared" si="9"/>
        <v>48436.315200000005</v>
      </c>
    </row>
    <row r="69" spans="1:9" ht="15.75" customHeight="1">
      <c r="A69" s="143">
        <v>31</v>
      </c>
      <c r="B69" s="87" t="s">
        <v>105</v>
      </c>
      <c r="C69" s="13" t="s">
        <v>32</v>
      </c>
      <c r="D69" s="11"/>
      <c r="E69" s="71">
        <v>11.6</v>
      </c>
      <c r="F69" s="10">
        <f>SUM(E69)</f>
        <v>11.6</v>
      </c>
      <c r="G69" s="10">
        <v>42.67</v>
      </c>
      <c r="H69" s="68">
        <f t="shared" si="8"/>
        <v>0.49497199999999997</v>
      </c>
      <c r="I69" s="10">
        <f t="shared" si="9"/>
        <v>494.97199999999998</v>
      </c>
    </row>
    <row r="70" spans="1:9" ht="15.75" customHeight="1">
      <c r="A70" s="143">
        <v>32</v>
      </c>
      <c r="B70" s="87" t="s">
        <v>159</v>
      </c>
      <c r="C70" s="13" t="s">
        <v>32</v>
      </c>
      <c r="D70" s="11"/>
      <c r="E70" s="71">
        <v>11.6</v>
      </c>
      <c r="F70" s="10">
        <f>SUM(E70)</f>
        <v>11.6</v>
      </c>
      <c r="G70" s="10">
        <v>39.81</v>
      </c>
      <c r="H70" s="68">
        <f t="shared" si="8"/>
        <v>0.46179599999999998</v>
      </c>
      <c r="I70" s="10">
        <f t="shared" si="9"/>
        <v>461.79599999999999</v>
      </c>
    </row>
    <row r="71" spans="1:9" ht="15.75" hidden="1" customHeight="1">
      <c r="A71" s="22"/>
      <c r="B71" s="11" t="s">
        <v>59</v>
      </c>
      <c r="C71" s="13" t="s">
        <v>60</v>
      </c>
      <c r="D71" s="11" t="s">
        <v>55</v>
      </c>
      <c r="E71" s="16">
        <v>5</v>
      </c>
      <c r="F71" s="72">
        <f>SUM(E71)</f>
        <v>5</v>
      </c>
      <c r="G71" s="10">
        <v>53.32</v>
      </c>
      <c r="H71" s="68">
        <f t="shared" si="8"/>
        <v>0.2666</v>
      </c>
      <c r="I71" s="10">
        <v>0</v>
      </c>
    </row>
    <row r="72" spans="1:9" ht="15.75" hidden="1" customHeight="1">
      <c r="A72" s="22"/>
      <c r="B72" s="54" t="s">
        <v>75</v>
      </c>
      <c r="C72" s="13"/>
      <c r="D72" s="11"/>
      <c r="E72" s="16"/>
      <c r="F72" s="10"/>
      <c r="G72" s="10"/>
      <c r="H72" s="68" t="s">
        <v>158</v>
      </c>
      <c r="I72" s="10"/>
    </row>
    <row r="73" spans="1:9" ht="15.75" hidden="1" customHeight="1">
      <c r="A73" s="22"/>
      <c r="B73" s="11" t="s">
        <v>136</v>
      </c>
      <c r="C73" s="13" t="s">
        <v>102</v>
      </c>
      <c r="D73" s="11" t="s">
        <v>69</v>
      </c>
      <c r="E73" s="16">
        <v>2</v>
      </c>
      <c r="F73" s="10">
        <f>E73</f>
        <v>2</v>
      </c>
      <c r="G73" s="10">
        <v>838.81</v>
      </c>
      <c r="H73" s="68">
        <f t="shared" si="8"/>
        <v>1.6776199999999999</v>
      </c>
      <c r="I73" s="10">
        <v>0</v>
      </c>
    </row>
    <row r="74" spans="1:9" ht="15.75" hidden="1" customHeight="1">
      <c r="A74" s="22"/>
      <c r="B74" s="11" t="s">
        <v>137</v>
      </c>
      <c r="C74" s="13" t="s">
        <v>138</v>
      </c>
      <c r="D74" s="11"/>
      <c r="E74" s="16">
        <v>1</v>
      </c>
      <c r="F74" s="10">
        <f>E74</f>
        <v>1</v>
      </c>
      <c r="G74" s="10">
        <v>1000</v>
      </c>
      <c r="H74" s="68">
        <f t="shared" si="8"/>
        <v>1</v>
      </c>
      <c r="I74" s="10">
        <v>0</v>
      </c>
    </row>
    <row r="75" spans="1:9" ht="15.75" hidden="1" customHeight="1">
      <c r="A75" s="22"/>
      <c r="B75" s="11" t="s">
        <v>76</v>
      </c>
      <c r="C75" s="13" t="s">
        <v>77</v>
      </c>
      <c r="D75" s="11"/>
      <c r="E75" s="16">
        <v>2</v>
      </c>
      <c r="F75" s="10">
        <v>0.2</v>
      </c>
      <c r="G75" s="10">
        <v>536.23</v>
      </c>
      <c r="H75" s="68">
        <f t="shared" si="8"/>
        <v>0.10724600000000001</v>
      </c>
      <c r="I75" s="10">
        <v>0</v>
      </c>
    </row>
    <row r="76" spans="1:9" ht="15.75" hidden="1" customHeight="1">
      <c r="A76" s="22"/>
      <c r="B76" s="11" t="s">
        <v>139</v>
      </c>
      <c r="C76" s="13" t="s">
        <v>102</v>
      </c>
      <c r="D76" s="11"/>
      <c r="E76" s="16">
        <v>1</v>
      </c>
      <c r="F76" s="72">
        <f>SUM(E76)</f>
        <v>1</v>
      </c>
      <c r="G76" s="10">
        <v>911.85</v>
      </c>
      <c r="H76" s="68">
        <f t="shared" si="8"/>
        <v>0.91185000000000005</v>
      </c>
      <c r="I76" s="10">
        <v>0</v>
      </c>
    </row>
    <row r="77" spans="1:9" ht="15.75" hidden="1" customHeight="1">
      <c r="A77" s="22"/>
      <c r="B77" s="11" t="s">
        <v>140</v>
      </c>
      <c r="C77" s="13" t="s">
        <v>102</v>
      </c>
      <c r="D77" s="11"/>
      <c r="E77" s="16">
        <v>1</v>
      </c>
      <c r="F77" s="72">
        <f>SUM(E77)</f>
        <v>1</v>
      </c>
      <c r="G77" s="10">
        <v>383.25</v>
      </c>
      <c r="H77" s="68">
        <f t="shared" si="8"/>
        <v>0.38324999999999998</v>
      </c>
      <c r="I77" s="10">
        <v>0</v>
      </c>
    </row>
    <row r="78" spans="1:9" ht="15.75" hidden="1" customHeight="1">
      <c r="A78" s="22"/>
      <c r="B78" s="11" t="s">
        <v>160</v>
      </c>
      <c r="C78" s="13" t="s">
        <v>161</v>
      </c>
      <c r="D78" s="11"/>
      <c r="E78" s="16"/>
      <c r="F78" s="10"/>
      <c r="G78" s="10">
        <v>31.54</v>
      </c>
      <c r="H78" s="68">
        <f t="shared" si="8"/>
        <v>0</v>
      </c>
      <c r="I78" s="10"/>
    </row>
    <row r="79" spans="1:9" ht="15.75" hidden="1" customHeight="1">
      <c r="A79" s="22"/>
      <c r="B79" s="89" t="s">
        <v>78</v>
      </c>
      <c r="C79" s="13"/>
      <c r="D79" s="11"/>
      <c r="E79" s="16"/>
      <c r="F79" s="10"/>
      <c r="G79" s="10" t="s">
        <v>158</v>
      </c>
      <c r="H79" s="68" t="s">
        <v>158</v>
      </c>
      <c r="I79" s="10"/>
    </row>
    <row r="80" spans="1:9" ht="15.75" hidden="1" customHeight="1">
      <c r="A80" s="22"/>
      <c r="B80" s="37" t="s">
        <v>109</v>
      </c>
      <c r="C80" s="13" t="s">
        <v>79</v>
      </c>
      <c r="D80" s="11"/>
      <c r="E80" s="16"/>
      <c r="F80" s="10">
        <v>0.1</v>
      </c>
      <c r="G80" s="10">
        <v>2949.85</v>
      </c>
      <c r="H80" s="68">
        <f t="shared" si="8"/>
        <v>0.294985</v>
      </c>
      <c r="I80" s="10">
        <v>0</v>
      </c>
    </row>
    <row r="81" spans="1:9" ht="15.75" customHeight="1">
      <c r="A81" s="22"/>
      <c r="B81" s="54" t="s">
        <v>98</v>
      </c>
      <c r="C81" s="89"/>
      <c r="D81" s="24"/>
      <c r="E81" s="25"/>
      <c r="F81" s="75"/>
      <c r="G81" s="75"/>
      <c r="H81" s="90">
        <f>SUM(H58:H80)</f>
        <v>112.00861796600002</v>
      </c>
      <c r="I81" s="75"/>
    </row>
    <row r="82" spans="1:9" ht="15.75" customHeight="1">
      <c r="A82" s="22">
        <v>33</v>
      </c>
      <c r="B82" s="69" t="s">
        <v>106</v>
      </c>
      <c r="C82" s="13"/>
      <c r="D82" s="11"/>
      <c r="E82" s="61"/>
      <c r="F82" s="10">
        <v>1</v>
      </c>
      <c r="G82" s="142">
        <v>20408</v>
      </c>
      <c r="H82" s="68">
        <f>G82*F82/1000</f>
        <v>20.408000000000001</v>
      </c>
      <c r="I82" s="10">
        <f>G82</f>
        <v>20408</v>
      </c>
    </row>
    <row r="83" spans="1:9" ht="15.75" customHeight="1">
      <c r="A83" s="190" t="s">
        <v>152</v>
      </c>
      <c r="B83" s="191"/>
      <c r="C83" s="191"/>
      <c r="D83" s="191"/>
      <c r="E83" s="191"/>
      <c r="F83" s="191"/>
      <c r="G83" s="191"/>
      <c r="H83" s="191"/>
      <c r="I83" s="192"/>
    </row>
    <row r="84" spans="1:9" ht="15.75" customHeight="1">
      <c r="A84" s="22">
        <v>34</v>
      </c>
      <c r="B84" s="69" t="s">
        <v>107</v>
      </c>
      <c r="C84" s="13" t="s">
        <v>56</v>
      </c>
      <c r="D84" s="40" t="s">
        <v>57</v>
      </c>
      <c r="E84" s="10">
        <v>2820</v>
      </c>
      <c r="F84" s="10">
        <f>SUM(E84*12)</f>
        <v>33840</v>
      </c>
      <c r="G84" s="10">
        <v>2.54</v>
      </c>
      <c r="H84" s="68">
        <f>SUM(F84*G84/1000)</f>
        <v>85.953600000000009</v>
      </c>
      <c r="I84" s="10">
        <f>F84/12*G84</f>
        <v>7162.8</v>
      </c>
    </row>
    <row r="85" spans="1:9" ht="31.5" customHeight="1">
      <c r="A85" s="22">
        <v>35</v>
      </c>
      <c r="B85" s="11" t="s">
        <v>80</v>
      </c>
      <c r="C85" s="13"/>
      <c r="D85" s="40" t="s">
        <v>57</v>
      </c>
      <c r="E85" s="71">
        <f>E84</f>
        <v>2820</v>
      </c>
      <c r="F85" s="10">
        <f>E85*12</f>
        <v>33840</v>
      </c>
      <c r="G85" s="10">
        <v>2.0499999999999998</v>
      </c>
      <c r="H85" s="68">
        <f>F85*G85/1000</f>
        <v>69.372</v>
      </c>
      <c r="I85" s="10">
        <f>F85/12*G85</f>
        <v>5780.9999999999991</v>
      </c>
    </row>
    <row r="86" spans="1:9" ht="15.75" customHeight="1">
      <c r="A86" s="22"/>
      <c r="B86" s="29" t="s">
        <v>84</v>
      </c>
      <c r="C86" s="89"/>
      <c r="D86" s="88"/>
      <c r="E86" s="75"/>
      <c r="F86" s="75"/>
      <c r="G86" s="75"/>
      <c r="H86" s="90">
        <f>SUM(H85)</f>
        <v>69.372</v>
      </c>
      <c r="I86" s="75">
        <f>I16+I17+I18+I19+I20+I21+I22+I23+I24+I25+I26+I27+I30+I31+I32+I33+I45+I46+I47+I48+I49+I50+I51+I52+I53+I54+I55+I66+I67+I68+I69+I70+I82+I84+I85</f>
        <v>163368.38630136667</v>
      </c>
    </row>
    <row r="87" spans="1:9" ht="15.75" customHeight="1">
      <c r="A87" s="194" t="s">
        <v>62</v>
      </c>
      <c r="B87" s="195"/>
      <c r="C87" s="195"/>
      <c r="D87" s="195"/>
      <c r="E87" s="195"/>
      <c r="F87" s="195"/>
      <c r="G87" s="195"/>
      <c r="H87" s="195"/>
      <c r="I87" s="196"/>
    </row>
    <row r="88" spans="1:9" ht="15.75" customHeight="1">
      <c r="A88" s="22">
        <v>36</v>
      </c>
      <c r="B88" s="67" t="s">
        <v>145</v>
      </c>
      <c r="C88" s="91" t="s">
        <v>88</v>
      </c>
      <c r="D88" s="30"/>
      <c r="E88" s="15"/>
      <c r="F88" s="137">
        <v>1</v>
      </c>
      <c r="G88" s="15">
        <v>195.85</v>
      </c>
      <c r="H88" s="68">
        <f t="shared" ref="H88" si="10">G88*F88/1000</f>
        <v>0.19585</v>
      </c>
      <c r="I88" s="10">
        <f>G88</f>
        <v>195.85</v>
      </c>
    </row>
    <row r="89" spans="1:9">
      <c r="A89" s="22"/>
      <c r="B89" s="35" t="s">
        <v>53</v>
      </c>
      <c r="C89" s="31"/>
      <c r="D89" s="38"/>
      <c r="E89" s="31">
        <v>1</v>
      </c>
      <c r="F89" s="31"/>
      <c r="G89" s="31"/>
      <c r="H89" s="31"/>
      <c r="I89" s="25">
        <f>SUM(I88:I88)</f>
        <v>195.85</v>
      </c>
    </row>
    <row r="90" spans="1:9" ht="15.75" customHeight="1">
      <c r="A90" s="22"/>
      <c r="B90" s="37" t="s">
        <v>81</v>
      </c>
      <c r="C90" s="12"/>
      <c r="D90" s="12"/>
      <c r="E90" s="32"/>
      <c r="F90" s="32"/>
      <c r="G90" s="33"/>
      <c r="H90" s="33"/>
      <c r="I90" s="15">
        <v>0</v>
      </c>
    </row>
    <row r="91" spans="1:9" ht="15.75" customHeight="1">
      <c r="A91" s="39"/>
      <c r="B91" s="36" t="s">
        <v>270</v>
      </c>
      <c r="C91" s="26"/>
      <c r="D91" s="26"/>
      <c r="E91" s="26"/>
      <c r="F91" s="26"/>
      <c r="G91" s="26"/>
      <c r="H91" s="26"/>
      <c r="I91" s="34">
        <f>I86+I89</f>
        <v>163564.23630136668</v>
      </c>
    </row>
    <row r="92" spans="1:9" ht="15.75" customHeight="1">
      <c r="A92" s="193" t="s">
        <v>280</v>
      </c>
      <c r="B92" s="193"/>
      <c r="C92" s="193"/>
      <c r="D92" s="193"/>
      <c r="E92" s="193"/>
      <c r="F92" s="193"/>
      <c r="G92" s="193"/>
      <c r="H92" s="193"/>
      <c r="I92" s="193"/>
    </row>
    <row r="93" spans="1:9" ht="15.75" customHeight="1">
      <c r="A93" s="53"/>
      <c r="B93" s="199" t="s">
        <v>281</v>
      </c>
      <c r="C93" s="199"/>
      <c r="D93" s="199"/>
      <c r="E93" s="199"/>
      <c r="F93" s="199"/>
      <c r="G93" s="199"/>
      <c r="H93" s="64"/>
      <c r="I93" s="2"/>
    </row>
    <row r="94" spans="1:9" ht="15.75" customHeight="1">
      <c r="A94" s="55"/>
      <c r="B94" s="162" t="s">
        <v>6</v>
      </c>
      <c r="C94" s="162"/>
      <c r="D94" s="162"/>
      <c r="E94" s="162"/>
      <c r="F94" s="162"/>
      <c r="G94" s="162"/>
      <c r="H94" s="17"/>
      <c r="I94" s="4"/>
    </row>
    <row r="95" spans="1:9">
      <c r="A95" s="7"/>
      <c r="B95" s="7"/>
      <c r="C95" s="7"/>
      <c r="D95" s="7"/>
      <c r="E95" s="7"/>
      <c r="F95" s="7"/>
      <c r="G95" s="7"/>
      <c r="H95" s="7"/>
      <c r="I95" s="7"/>
    </row>
    <row r="96" spans="1:9" ht="15.75" customHeight="1">
      <c r="A96" s="168" t="s">
        <v>7</v>
      </c>
      <c r="B96" s="168"/>
      <c r="C96" s="168"/>
      <c r="D96" s="168"/>
      <c r="E96" s="168"/>
      <c r="F96" s="168"/>
      <c r="G96" s="168"/>
      <c r="H96" s="168"/>
      <c r="I96" s="168"/>
    </row>
    <row r="97" spans="1:9" ht="15.75">
      <c r="A97" s="168" t="s">
        <v>8</v>
      </c>
      <c r="B97" s="168"/>
      <c r="C97" s="168"/>
      <c r="D97" s="168"/>
      <c r="E97" s="168"/>
      <c r="F97" s="168"/>
      <c r="G97" s="168"/>
      <c r="H97" s="168"/>
      <c r="I97" s="168"/>
    </row>
    <row r="98" spans="1:9" ht="15.75">
      <c r="A98" s="164" t="s">
        <v>63</v>
      </c>
      <c r="B98" s="164"/>
      <c r="C98" s="164"/>
      <c r="D98" s="164"/>
      <c r="E98" s="164"/>
      <c r="F98" s="164"/>
      <c r="G98" s="164"/>
      <c r="H98" s="164"/>
      <c r="I98" s="164"/>
    </row>
    <row r="99" spans="1:9" ht="15.75">
      <c r="A99" s="8"/>
    </row>
    <row r="100" spans="1:9" ht="15.75">
      <c r="A100" s="170" t="s">
        <v>9</v>
      </c>
      <c r="B100" s="170"/>
      <c r="C100" s="170"/>
      <c r="D100" s="170"/>
      <c r="E100" s="170"/>
      <c r="F100" s="170"/>
      <c r="G100" s="170"/>
      <c r="H100" s="170"/>
      <c r="I100" s="170"/>
    </row>
    <row r="101" spans="1:9" ht="15.75">
      <c r="A101" s="3"/>
    </row>
    <row r="102" spans="1:9" ht="15.75" customHeight="1">
      <c r="B102" s="58" t="s">
        <v>10</v>
      </c>
      <c r="C102" s="197" t="s">
        <v>147</v>
      </c>
      <c r="D102" s="197"/>
      <c r="E102" s="197"/>
      <c r="F102" s="62"/>
      <c r="I102" s="59"/>
    </row>
    <row r="103" spans="1:9" ht="15.75" customHeight="1">
      <c r="A103" s="55"/>
      <c r="C103" s="162" t="s">
        <v>11</v>
      </c>
      <c r="D103" s="162"/>
      <c r="E103" s="162"/>
      <c r="F103" s="17"/>
      <c r="I103" s="57" t="s">
        <v>12</v>
      </c>
    </row>
    <row r="104" spans="1:9" ht="15.75" customHeight="1">
      <c r="A104" s="18"/>
      <c r="C104" s="9"/>
      <c r="D104" s="9"/>
      <c r="G104" s="9"/>
      <c r="H104" s="9"/>
    </row>
    <row r="105" spans="1:9" ht="15.75" customHeight="1">
      <c r="B105" s="58" t="s">
        <v>13</v>
      </c>
      <c r="C105" s="177"/>
      <c r="D105" s="177"/>
      <c r="E105" s="177"/>
      <c r="F105" s="63"/>
      <c r="I105" s="59"/>
    </row>
    <row r="106" spans="1:9">
      <c r="A106" s="55"/>
      <c r="C106" s="198" t="s">
        <v>11</v>
      </c>
      <c r="D106" s="198"/>
      <c r="E106" s="198"/>
      <c r="F106" s="55"/>
      <c r="I106" s="57" t="s">
        <v>12</v>
      </c>
    </row>
    <row r="107" spans="1:9" ht="15.75">
      <c r="A107" s="3" t="s">
        <v>14</v>
      </c>
    </row>
    <row r="108" spans="1:9">
      <c r="A108" s="165" t="s">
        <v>15</v>
      </c>
      <c r="B108" s="165"/>
      <c r="C108" s="165"/>
      <c r="D108" s="165"/>
      <c r="E108" s="165"/>
      <c r="F108" s="165"/>
      <c r="G108" s="165"/>
      <c r="H108" s="165"/>
      <c r="I108" s="165"/>
    </row>
    <row r="109" spans="1:9" ht="45" customHeight="1">
      <c r="A109" s="159" t="s">
        <v>16</v>
      </c>
      <c r="B109" s="159"/>
      <c r="C109" s="159"/>
      <c r="D109" s="159"/>
      <c r="E109" s="159"/>
      <c r="F109" s="159"/>
      <c r="G109" s="159"/>
      <c r="H109" s="159"/>
      <c r="I109" s="159"/>
    </row>
    <row r="110" spans="1:9" ht="30" customHeight="1">
      <c r="A110" s="159" t="s">
        <v>17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30" customHeight="1">
      <c r="A111" s="159" t="s">
        <v>21</v>
      </c>
      <c r="B111" s="159"/>
      <c r="C111" s="159"/>
      <c r="D111" s="159"/>
      <c r="E111" s="159"/>
      <c r="F111" s="159"/>
      <c r="G111" s="159"/>
      <c r="H111" s="159"/>
      <c r="I111" s="159"/>
    </row>
    <row r="112" spans="1:9" ht="15" customHeight="1">
      <c r="A112" s="159" t="s">
        <v>20</v>
      </c>
      <c r="B112" s="159"/>
      <c r="C112" s="159"/>
      <c r="D112" s="159"/>
      <c r="E112" s="159"/>
      <c r="F112" s="159"/>
      <c r="G112" s="159"/>
      <c r="H112" s="159"/>
      <c r="I112" s="159"/>
    </row>
  </sheetData>
  <mergeCells count="28">
    <mergeCell ref="A14:I14"/>
    <mergeCell ref="A3:I3"/>
    <mergeCell ref="A4:I4"/>
    <mergeCell ref="A5:I5"/>
    <mergeCell ref="A8:I8"/>
    <mergeCell ref="A10:I10"/>
    <mergeCell ref="A100:I100"/>
    <mergeCell ref="A15:I15"/>
    <mergeCell ref="A28:I28"/>
    <mergeCell ref="A44:I44"/>
    <mergeCell ref="A56:I56"/>
    <mergeCell ref="A83:I83"/>
    <mergeCell ref="A92:I92"/>
    <mergeCell ref="B93:G93"/>
    <mergeCell ref="B94:G94"/>
    <mergeCell ref="A96:I96"/>
    <mergeCell ref="A97:I97"/>
    <mergeCell ref="A98:I98"/>
    <mergeCell ref="A87:I87"/>
    <mergeCell ref="A110:I110"/>
    <mergeCell ref="A111:I111"/>
    <mergeCell ref="A112:I112"/>
    <mergeCell ref="C102:E102"/>
    <mergeCell ref="C103:E103"/>
    <mergeCell ref="C105:E105"/>
    <mergeCell ref="C106:E106"/>
    <mergeCell ref="A108:I108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17</vt:i4>
      </vt:variant>
    </vt:vector>
  </HeadingPairs>
  <TitlesOfParts>
    <vt:vector size="33" baseType="lpstr">
      <vt:lpstr>I квартал</vt:lpstr>
      <vt:lpstr>II квартал</vt:lpstr>
      <vt:lpstr>III квартал</vt:lpstr>
      <vt:lpstr>IVа квартал</vt:lpstr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'II квартал'!Заголовки_для_печати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  <vt:lpstr>'I квартал'!Область_печати</vt:lpstr>
      <vt:lpstr>'II квартал'!Область_печати</vt:lpstr>
      <vt:lpstr>'III квартал'!Область_печати</vt:lpstr>
      <vt:lpstr>'IVа квартал'!Область_печати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2018-08-22T06:32:02Z</cp:lastPrinted>
  <dcterms:created xsi:type="dcterms:W3CDTF">2016-03-25T08:33:47Z</dcterms:created>
  <dcterms:modified xsi:type="dcterms:W3CDTF">2018-08-22T06:33:55Z</dcterms:modified>
</cp:coreProperties>
</file>