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480" windowHeight="5565"/>
  </bookViews>
  <sheets>
    <sheet name="Косм.,8" sheetId="1" r:id="rId1"/>
  </sheets>
  <definedNames>
    <definedName name="_xlnm.Print_Area" localSheetId="0">'Косм.,8'!$A$1:$U$138</definedName>
  </definedNames>
  <calcPr calcId="124519"/>
</workbook>
</file>

<file path=xl/calcChain.xml><?xml version="1.0" encoding="utf-8"?>
<calcChain xmlns="http://schemas.openxmlformats.org/spreadsheetml/2006/main">
  <c r="L39" i="1"/>
  <c r="K39"/>
  <c r="F39"/>
  <c r="U126"/>
  <c r="F116" l="1"/>
  <c r="N116" s="1"/>
  <c r="U116" s="1"/>
  <c r="Q124"/>
  <c r="U124" s="1"/>
  <c r="H124"/>
  <c r="Q123"/>
  <c r="Q122"/>
  <c r="F122"/>
  <c r="H116" l="1"/>
  <c r="O102"/>
  <c r="C136"/>
  <c r="C133"/>
  <c r="F125"/>
  <c r="Q125"/>
  <c r="U125" s="1"/>
  <c r="H125"/>
  <c r="Q94"/>
  <c r="Q93"/>
  <c r="Q74"/>
  <c r="Q63"/>
  <c r="Q121"/>
  <c r="U121" s="1"/>
  <c r="H121"/>
  <c r="Q120"/>
  <c r="Q119"/>
  <c r="U120" l="1"/>
  <c r="U122"/>
  <c r="U123"/>
  <c r="U57"/>
  <c r="U60"/>
  <c r="U63"/>
  <c r="U64"/>
  <c r="U72"/>
  <c r="U73"/>
  <c r="U74"/>
  <c r="U76"/>
  <c r="U36"/>
  <c r="U28"/>
  <c r="U29"/>
  <c r="N102"/>
  <c r="H102"/>
  <c r="J102"/>
  <c r="U102" s="1"/>
  <c r="N101"/>
  <c r="N97"/>
  <c r="N98"/>
  <c r="N96"/>
  <c r="N114"/>
  <c r="U114" s="1"/>
  <c r="N99"/>
  <c r="N115"/>
  <c r="U115" s="1"/>
  <c r="N113"/>
  <c r="U113" s="1"/>
  <c r="O117"/>
  <c r="U117" s="1"/>
  <c r="F117"/>
  <c r="H117" s="1"/>
  <c r="P110" l="1"/>
  <c r="P119"/>
  <c r="U119" s="1"/>
  <c r="H119"/>
  <c r="G118"/>
  <c r="P118" s="1"/>
  <c r="U118" s="1"/>
  <c r="H118" l="1"/>
  <c r="H115"/>
  <c r="H114"/>
  <c r="H113" l="1"/>
  <c r="Q52"/>
  <c r="M52"/>
  <c r="I52"/>
  <c r="U52" s="1"/>
  <c r="Q51"/>
  <c r="M51"/>
  <c r="I51"/>
  <c r="M112"/>
  <c r="U112" s="1"/>
  <c r="H112"/>
  <c r="M111"/>
  <c r="U111" s="1"/>
  <c r="K106"/>
  <c r="U106" s="1"/>
  <c r="H106"/>
  <c r="M110"/>
  <c r="U110" s="1"/>
  <c r="K94"/>
  <c r="M90"/>
  <c r="F90"/>
  <c r="M109"/>
  <c r="U109" s="1"/>
  <c r="H109"/>
  <c r="U51" l="1"/>
  <c r="M108"/>
  <c r="U108" s="1"/>
  <c r="H108"/>
  <c r="M107"/>
  <c r="U107" s="1"/>
  <c r="H107"/>
  <c r="L90" l="1"/>
  <c r="K90"/>
  <c r="K105"/>
  <c r="U105" s="1"/>
  <c r="H105"/>
  <c r="J104"/>
  <c r="U104" s="1"/>
  <c r="H104"/>
  <c r="J103" l="1"/>
  <c r="U103" s="1"/>
  <c r="H103"/>
  <c r="J100" l="1"/>
  <c r="U100" s="1"/>
  <c r="J101"/>
  <c r="U101" s="1"/>
  <c r="H101"/>
  <c r="H100"/>
  <c r="J98"/>
  <c r="U98" s="1"/>
  <c r="J99"/>
  <c r="U99" s="1"/>
  <c r="H99"/>
  <c r="H98"/>
  <c r="J97"/>
  <c r="U97" s="1"/>
  <c r="H97"/>
  <c r="J96"/>
  <c r="U96" s="1"/>
  <c r="H96"/>
  <c r="J95" l="1"/>
  <c r="U95" s="1"/>
  <c r="H95"/>
  <c r="I90" l="1"/>
  <c r="U90" s="1"/>
  <c r="H90"/>
  <c r="I89"/>
  <c r="U89" s="1"/>
  <c r="H89"/>
  <c r="I94" l="1"/>
  <c r="U94" s="1"/>
  <c r="I93"/>
  <c r="U93" s="1"/>
  <c r="I92"/>
  <c r="U92" s="1"/>
  <c r="H92"/>
  <c r="F91"/>
  <c r="I91" s="1"/>
  <c r="U91" s="1"/>
  <c r="H91" l="1"/>
  <c r="H57"/>
  <c r="H110" l="1"/>
  <c r="H123" l="1"/>
  <c r="H122" l="1"/>
  <c r="H111" l="1"/>
  <c r="H120"/>
  <c r="K50"/>
  <c r="H94"/>
  <c r="F30" l="1"/>
  <c r="K78" l="1"/>
  <c r="U78" s="1"/>
  <c r="H93" l="1"/>
  <c r="H126" s="1"/>
  <c r="T40"/>
  <c r="S40"/>
  <c r="T33"/>
  <c r="S33"/>
  <c r="Q70"/>
  <c r="U70" s="1"/>
  <c r="Q50"/>
  <c r="U50" s="1"/>
  <c r="R25"/>
  <c r="Q25"/>
  <c r="P25"/>
  <c r="O25"/>
  <c r="N25"/>
  <c r="F52"/>
  <c r="F26"/>
  <c r="R26" s="1"/>
  <c r="M25"/>
  <c r="L40"/>
  <c r="L33"/>
  <c r="K40"/>
  <c r="K33"/>
  <c r="H78"/>
  <c r="J40"/>
  <c r="J33"/>
  <c r="I40"/>
  <c r="I33"/>
  <c r="U40" l="1"/>
  <c r="U25"/>
  <c r="U33"/>
  <c r="N26"/>
  <c r="O26"/>
  <c r="Q26"/>
  <c r="M26"/>
  <c r="P26"/>
  <c r="F58"/>
  <c r="F56"/>
  <c r="F51"/>
  <c r="H51" s="1"/>
  <c r="F38"/>
  <c r="F34"/>
  <c r="F35"/>
  <c r="F16"/>
  <c r="F15"/>
  <c r="F61"/>
  <c r="H60"/>
  <c r="U26" l="1"/>
  <c r="M15"/>
  <c r="Q15"/>
  <c r="M16"/>
  <c r="Q16"/>
  <c r="S58"/>
  <c r="T58"/>
  <c r="L58"/>
  <c r="I58"/>
  <c r="K58"/>
  <c r="T34"/>
  <c r="S34"/>
  <c r="S61"/>
  <c r="Q61"/>
  <c r="O61"/>
  <c r="T61"/>
  <c r="R61"/>
  <c r="P61"/>
  <c r="N61"/>
  <c r="M61"/>
  <c r="T35"/>
  <c r="S35"/>
  <c r="T38"/>
  <c r="S38"/>
  <c r="S56"/>
  <c r="T56"/>
  <c r="I35"/>
  <c r="L35"/>
  <c r="K35"/>
  <c r="J35"/>
  <c r="I38"/>
  <c r="L38"/>
  <c r="K38"/>
  <c r="J38"/>
  <c r="H61"/>
  <c r="I61"/>
  <c r="L61"/>
  <c r="K61"/>
  <c r="J61"/>
  <c r="L34"/>
  <c r="K34"/>
  <c r="J34"/>
  <c r="I56"/>
  <c r="L56"/>
  <c r="K56"/>
  <c r="J56"/>
  <c r="J58"/>
  <c r="H56"/>
  <c r="H58"/>
  <c r="H34"/>
  <c r="I34"/>
  <c r="F44"/>
  <c r="M44" s="1"/>
  <c r="H25"/>
  <c r="U34" l="1"/>
  <c r="U15"/>
  <c r="U56"/>
  <c r="U61"/>
  <c r="U16"/>
  <c r="U38"/>
  <c r="U35"/>
  <c r="U58"/>
  <c r="Q44"/>
  <c r="U44" s="1"/>
  <c r="H36"/>
  <c r="H35" l="1"/>
  <c r="H74"/>
  <c r="H73" l="1"/>
  <c r="F14" l="1"/>
  <c r="M14" s="1"/>
  <c r="U14" s="1"/>
  <c r="F17"/>
  <c r="M17" s="1"/>
  <c r="U17" s="1"/>
  <c r="F18"/>
  <c r="M18" s="1"/>
  <c r="U18" s="1"/>
  <c r="F129" l="1"/>
  <c r="H128"/>
  <c r="E81"/>
  <c r="H85" s="1"/>
  <c r="F79"/>
  <c r="H76"/>
  <c r="H72"/>
  <c r="H70"/>
  <c r="F69"/>
  <c r="F68"/>
  <c r="F67"/>
  <c r="F66"/>
  <c r="F65"/>
  <c r="H64"/>
  <c r="H63"/>
  <c r="F55"/>
  <c r="K55" s="1"/>
  <c r="H52"/>
  <c r="H50"/>
  <c r="F49"/>
  <c r="F48"/>
  <c r="F47"/>
  <c r="F46"/>
  <c r="F45"/>
  <c r="H44"/>
  <c r="F43"/>
  <c r="H40"/>
  <c r="H38"/>
  <c r="F37"/>
  <c r="H33"/>
  <c r="H29"/>
  <c r="H28"/>
  <c r="F27"/>
  <c r="H26"/>
  <c r="F24"/>
  <c r="F23"/>
  <c r="F22"/>
  <c r="F19"/>
  <c r="M19" s="1"/>
  <c r="U19" s="1"/>
  <c r="H18"/>
  <c r="H17"/>
  <c r="H14"/>
  <c r="E13"/>
  <c r="F13" s="1"/>
  <c r="F12"/>
  <c r="F11"/>
  <c r="Q46" l="1"/>
  <c r="M46"/>
  <c r="U46" s="1"/>
  <c r="Q48"/>
  <c r="K48"/>
  <c r="U48" s="1"/>
  <c r="Q43"/>
  <c r="M43"/>
  <c r="U43" s="1"/>
  <c r="Q45"/>
  <c r="M45"/>
  <c r="U45" s="1"/>
  <c r="Q49"/>
  <c r="K49"/>
  <c r="U49" s="1"/>
  <c r="T11"/>
  <c r="R11"/>
  <c r="P11"/>
  <c r="N11"/>
  <c r="M11"/>
  <c r="S11"/>
  <c r="Q11"/>
  <c r="O11"/>
  <c r="H19"/>
  <c r="T30"/>
  <c r="R30"/>
  <c r="P30"/>
  <c r="N30"/>
  <c r="M30"/>
  <c r="S30"/>
  <c r="Q30"/>
  <c r="O30"/>
  <c r="T12"/>
  <c r="Q12"/>
  <c r="O12"/>
  <c r="S12"/>
  <c r="R12"/>
  <c r="P12"/>
  <c r="N12"/>
  <c r="M12"/>
  <c r="H22"/>
  <c r="Q22"/>
  <c r="O22"/>
  <c r="R22"/>
  <c r="P22"/>
  <c r="N22"/>
  <c r="M22"/>
  <c r="U22" s="1"/>
  <c r="H24"/>
  <c r="M24"/>
  <c r="U24" s="1"/>
  <c r="T27"/>
  <c r="Q27"/>
  <c r="O27"/>
  <c r="S27"/>
  <c r="R27"/>
  <c r="P27"/>
  <c r="N27"/>
  <c r="M27"/>
  <c r="S55"/>
  <c r="T55"/>
  <c r="H66"/>
  <c r="M66"/>
  <c r="U66" s="1"/>
  <c r="H68"/>
  <c r="M68"/>
  <c r="U68" s="1"/>
  <c r="T13"/>
  <c r="R13"/>
  <c r="P13"/>
  <c r="N13"/>
  <c r="M13"/>
  <c r="S13"/>
  <c r="Q13"/>
  <c r="O13"/>
  <c r="H23"/>
  <c r="R23"/>
  <c r="P23"/>
  <c r="N23"/>
  <c r="M23"/>
  <c r="Q23"/>
  <c r="O23"/>
  <c r="T37"/>
  <c r="S37"/>
  <c r="T39"/>
  <c r="S39"/>
  <c r="T47"/>
  <c r="Q47"/>
  <c r="M47"/>
  <c r="H65"/>
  <c r="M65"/>
  <c r="U65" s="1"/>
  <c r="H67"/>
  <c r="M67"/>
  <c r="U67" s="1"/>
  <c r="H69"/>
  <c r="M69"/>
  <c r="U69" s="1"/>
  <c r="S79"/>
  <c r="R79"/>
  <c r="P79"/>
  <c r="N79"/>
  <c r="T79"/>
  <c r="Q79"/>
  <c r="O79"/>
  <c r="M79"/>
  <c r="I13"/>
  <c r="L13"/>
  <c r="K13"/>
  <c r="J13"/>
  <c r="I12"/>
  <c r="L12"/>
  <c r="K12"/>
  <c r="J12"/>
  <c r="I27"/>
  <c r="L27"/>
  <c r="K27"/>
  <c r="J27"/>
  <c r="H46"/>
  <c r="H48"/>
  <c r="L55"/>
  <c r="J55"/>
  <c r="I11"/>
  <c r="L11"/>
  <c r="K11"/>
  <c r="J11"/>
  <c r="L30"/>
  <c r="K30"/>
  <c r="J30"/>
  <c r="L37"/>
  <c r="K37"/>
  <c r="J37"/>
  <c r="H43"/>
  <c r="H45"/>
  <c r="I47"/>
  <c r="J47"/>
  <c r="H49"/>
  <c r="I79"/>
  <c r="L79"/>
  <c r="K79"/>
  <c r="J79"/>
  <c r="H30"/>
  <c r="I30"/>
  <c r="U30" s="1"/>
  <c r="H37"/>
  <c r="I37"/>
  <c r="U37" s="1"/>
  <c r="H39"/>
  <c r="U39"/>
  <c r="H55"/>
  <c r="H77" s="1"/>
  <c r="I55"/>
  <c r="U55" s="1"/>
  <c r="H79"/>
  <c r="H80" s="1"/>
  <c r="H27"/>
  <c r="H31" s="1"/>
  <c r="H47"/>
  <c r="H11"/>
  <c r="H12"/>
  <c r="H16"/>
  <c r="H13"/>
  <c r="H15"/>
  <c r="F81"/>
  <c r="H41"/>
  <c r="U47" l="1"/>
  <c r="U79"/>
  <c r="U80" s="1"/>
  <c r="U11"/>
  <c r="U27"/>
  <c r="U12"/>
  <c r="U13"/>
  <c r="U23"/>
  <c r="U77"/>
  <c r="S81"/>
  <c r="Q81"/>
  <c r="O81"/>
  <c r="M81"/>
  <c r="M129" s="1"/>
  <c r="T81"/>
  <c r="R81"/>
  <c r="P81"/>
  <c r="N81"/>
  <c r="N129" s="1"/>
  <c r="H53"/>
  <c r="Q129"/>
  <c r="P129"/>
  <c r="T129"/>
  <c r="O129"/>
  <c r="S129"/>
  <c r="R129"/>
  <c r="U41"/>
  <c r="U53"/>
  <c r="I81"/>
  <c r="L81"/>
  <c r="L129" s="1"/>
  <c r="K81"/>
  <c r="J81"/>
  <c r="J129" s="1"/>
  <c r="K129"/>
  <c r="H81"/>
  <c r="H82" s="1"/>
  <c r="C135"/>
  <c r="H20"/>
  <c r="U81" l="1"/>
  <c r="U31"/>
  <c r="U20"/>
  <c r="U82"/>
  <c r="I129"/>
  <c r="H83"/>
  <c r="H86" s="1"/>
  <c r="G129" s="1"/>
  <c r="H129" s="1"/>
  <c r="U83" l="1"/>
  <c r="U129" s="1"/>
  <c r="C138" l="1"/>
  <c r="C134"/>
</calcChain>
</file>

<file path=xl/sharedStrings.xml><?xml version="1.0" encoding="utf-8"?>
<sst xmlns="http://schemas.openxmlformats.org/spreadsheetml/2006/main" count="382" uniqueCount="267">
  <si>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</si>
  <si>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</si>
  <si>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</si>
  <si>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</si>
  <si>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</si>
  <si>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</si>
  <si>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</si>
  <si>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</si>
  <si>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</si>
  <si>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</si>
  <si>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</si>
  <si>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</si>
  <si>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</si>
  <si>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</si>
  <si>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</si>
  <si>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</si>
  <si>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</si>
  <si>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</si>
  <si>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</si>
  <si>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</si>
  <si>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</si>
  <si>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</si>
  <si>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</si>
  <si>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</si>
  <si>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</si>
  <si>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</si>
  <si>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</si>
  <si>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</si>
  <si>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</si>
  <si>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</si>
  <si>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</si>
  <si>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</si>
  <si>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</si>
  <si>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</si>
  <si>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</si>
  <si>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</si>
  <si>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</si>
  <si>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</si>
  <si>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</si>
  <si>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</si>
  <si>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</si>
  <si>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</si>
  <si>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</si>
  <si>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</si>
  <si>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</si>
  <si>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</si>
  <si>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</si>
  <si>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</si>
  <si>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</si>
  <si>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</si>
  <si>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</si>
  <si>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</si>
  <si>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</si>
  <si>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</si>
  <si>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</si>
  <si>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</si>
  <si>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</si>
  <si>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</si>
  <si>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</si>
  <si>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</si>
  <si>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</si>
  <si>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</si>
  <si>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</si>
  <si>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</si>
  <si>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</si>
  <si>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</si>
  <si>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</si>
  <si>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</si>
  <si>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</si>
  <si>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</si>
  <si>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</si>
  <si>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</si>
  <si>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</si>
  <si>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</si>
  <si>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</si>
  <si>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</si>
  <si>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</si>
  <si>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</si>
  <si>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</si>
  <si>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</si>
  <si>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</si>
  <si>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</si>
  <si>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</si>
  <si>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</si>
  <si>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</si>
  <si>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</si>
  <si>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</si>
  <si>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</si>
  <si>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</si>
  <si>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</si>
  <si>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</si>
  <si>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</si>
  <si>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</si>
  <si>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</si>
  <si>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</si>
  <si>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</si>
  <si>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</si>
  <si>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</si>
  <si>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</si>
  <si>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</si>
  <si>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</si>
  <si>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</si>
  <si>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</si>
  <si>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</si>
  <si>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</si>
  <si>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1 раз в месяц</t>
  </si>
  <si>
    <t>Очистка урн от мусора</t>
  </si>
  <si>
    <t>Дератизация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</si>
  <si>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</si>
  <si>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</si>
  <si>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</si>
  <si>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</si>
  <si>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Осмотр рулонной кровли</t>
  </si>
  <si>
    <t>2-1-1а</t>
  </si>
  <si>
    <t>Проверка дымоходов</t>
  </si>
  <si>
    <t>4 раза в год</t>
  </si>
  <si>
    <t xml:space="preserve">2 раза в месяц  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</si>
  <si>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</si>
  <si>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</si>
  <si>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</si>
  <si>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</si>
  <si>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Ремонт групповых щитков на лестничной клетке без ремонта автоматов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</si>
  <si>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</si>
  <si>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</si>
  <si>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</si>
  <si>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</si>
  <si>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</si>
  <si>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</si>
  <si>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</si>
  <si>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</si>
  <si>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</si>
  <si>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</si>
  <si>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</si>
  <si>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</si>
  <si>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</si>
  <si>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смета</t>
  </si>
  <si>
    <t>1 м</t>
  </si>
  <si>
    <t xml:space="preserve">Смена сгонов у трубопроводов диаметром до 20 мм </t>
  </si>
  <si>
    <t>1 сгон</t>
  </si>
  <si>
    <t>5 этажей, 6 подъездов</t>
  </si>
  <si>
    <t>Стоимость (руб.)</t>
  </si>
  <si>
    <t>договор</t>
  </si>
  <si>
    <t>ТО внутридомового газ.оборудования</t>
  </si>
  <si>
    <t>Смена арматуры - вентилей и клапанов обратных муфтовых диаметром до 20 мм</t>
  </si>
  <si>
    <t>1 шт</t>
  </si>
  <si>
    <t>Внеплановый осмотр электросетей, арматуры и электрооборудования на лестничных клетках</t>
  </si>
  <si>
    <t>калькуляция</t>
  </si>
  <si>
    <t>3м</t>
  </si>
  <si>
    <t>Подключение и отключение сварочного аппарата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</si>
  <si>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</si>
  <si>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</si>
  <si>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</si>
  <si>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</si>
  <si>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</si>
  <si>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</si>
  <si>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</si>
  <si>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Стоимость песка -100м2-0,002м3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</si>
  <si>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</si>
  <si>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Очистка края кровли от слежавшегося снега со сбрасыванием сосулек (10% от S кровли и козырьки)</t>
  </si>
  <si>
    <t>Ремонт и регулировка доводчика (без стоимости доводчика)</t>
  </si>
  <si>
    <t>1шт.</t>
  </si>
  <si>
    <t>Смена дверных приборов (замки навесные)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</si>
  <si>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</si>
  <si>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10 м2</t>
  </si>
  <si>
    <t>счёт</t>
  </si>
  <si>
    <t>Переход чугун-пластик Ду 110 с манжетой</t>
  </si>
  <si>
    <t xml:space="preserve">Герметизация стыков трубопроводов    </t>
  </si>
  <si>
    <t>1 место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</si>
  <si>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</si>
  <si>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</si>
  <si>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</si>
  <si>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</si>
  <si>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</si>
  <si>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</si>
  <si>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</si>
  <si>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</si>
  <si>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</si>
  <si>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</si>
  <si>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</si>
  <si>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</si>
  <si>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</si>
  <si>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</si>
  <si>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55-003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</si>
  <si>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</si>
  <si>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</si>
  <si>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</si>
  <si>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</si>
  <si>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</si>
  <si>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</si>
  <si>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</si>
  <si>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</si>
  <si>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</si>
  <si>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</si>
  <si>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</si>
  <si>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</si>
  <si>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</si>
  <si>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</si>
  <si>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</si>
  <si>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</si>
  <si>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</si>
  <si>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</si>
  <si>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</si>
  <si>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</si>
  <si>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</si>
  <si>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</si>
  <si>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</si>
  <si>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</si>
  <si>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33-060</t>
  </si>
  <si>
    <t>ТЕР 33-030</t>
  </si>
  <si>
    <t>ТЕР 32-027</t>
  </si>
  <si>
    <t>ТЕР 31-009</t>
  </si>
  <si>
    <t>ТЕР 17-014</t>
  </si>
  <si>
    <t>ТЕР 2-1-1а</t>
  </si>
  <si>
    <t>ТЕР 15-051</t>
  </si>
  <si>
    <t>пр.ТЕР 2-2-1-2-17</t>
  </si>
  <si>
    <t>Смена трубопроводов на полипропиленовые трубы PN25 диаметром 25 мм</t>
  </si>
  <si>
    <t>Работа автовышки</t>
  </si>
  <si>
    <t>маш/час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</si>
  <si>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</si>
  <si>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</si>
  <si>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</si>
  <si>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Внеплановая проверка дымоходов</t>
  </si>
  <si>
    <t>Баланс выполненных работ на 01.01.2017 г. ( -долг за предприятием, +долг за населением)</t>
  </si>
  <si>
    <t>пр.ТЕР 32-098</t>
  </si>
  <si>
    <t>Устройство хомута диаметром до 50 мм</t>
  </si>
  <si>
    <t>место</t>
  </si>
  <si>
    <t>С учетом показателя инфляции (К=1,054)</t>
  </si>
  <si>
    <t>Очистка фановых труб от наледи</t>
  </si>
  <si>
    <t>Смена светильников с лампами накаливания</t>
  </si>
  <si>
    <t>пр.ТЕР 33-023</t>
  </si>
  <si>
    <t>пр.ТЕР 32-101</t>
  </si>
  <si>
    <t>Прочистка засоров канализации</t>
  </si>
  <si>
    <t>пр.ТЕР 32-083</t>
  </si>
  <si>
    <t>Смена полиэтиленовых канализационных труб 110×1000 мм</t>
  </si>
  <si>
    <t>Ревизия 110</t>
  </si>
  <si>
    <r>
      <t>Тройник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110/87°</t>
    </r>
  </si>
  <si>
    <r>
      <t>Переход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</t>
    </r>
  </si>
  <si>
    <t>Муфта 110</t>
  </si>
  <si>
    <t>Патрубок компенсацинный ПП Ду 110</t>
  </si>
  <si>
    <t>Смена трубопроводов на полипропиленовые трубы PN25 диаметром 20 мм</t>
  </si>
  <si>
    <t>Дезинфекция подвала</t>
  </si>
  <si>
    <t>Смена дверных приборов - пружины</t>
  </si>
  <si>
    <t>ТЕР 15-018</t>
  </si>
  <si>
    <t>Работа автопогрузика</t>
  </si>
  <si>
    <t>Смена полиэтиленовых канализационных труб 110×2000 мм</t>
  </si>
  <si>
    <t>Отвод 110*90°</t>
  </si>
  <si>
    <t>Манжета 100</t>
  </si>
  <si>
    <t>пр.ТЕР 31-014</t>
  </si>
  <si>
    <t>Смена задвижек диаметром до 100 мм</t>
  </si>
  <si>
    <t>пр.ТЕР 22-038</t>
  </si>
  <si>
    <t>Простая масляная окраска ранее окрашенных входных металлических дверей (I-VI под.)</t>
  </si>
  <si>
    <t>пр.ТЕР 31-061</t>
  </si>
  <si>
    <t>Смена радиаторов отопительных стальных (7-секционных)</t>
  </si>
  <si>
    <t>Очистка оголовков дымоходов и вентканалов от наледи и снега</t>
  </si>
  <si>
    <t>10 м</t>
  </si>
  <si>
    <t>пр.ТЕР 17-061</t>
  </si>
  <si>
    <t>Смена обделок из листовой стали, примыканий к фановым трубам</t>
  </si>
  <si>
    <t>Просроченная задолженность по Вашему дому по статье "Содержание и текущий ремонт МКД" на конец сентября 2017 г., составляет:</t>
  </si>
  <si>
    <t>Баланс выполненных работ на 01.10.2017 г. ( -долг за предприятием, +долг за населением)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</si>
  <si>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8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январь-сентябрь 2017 года</t>
    </r>
  </si>
  <si>
    <t>Начислено за содержание и текущий ремонт за январь-сентябрь 2017 г.</t>
  </si>
  <si>
    <t>Выполнено работ по содержанию за январь-сентябрь 2017 г.</t>
  </si>
  <si>
    <t>Выполнено работ по текущему ремонту за январь-сентябрь 2017 г.</t>
  </si>
  <si>
    <t>Фактически оплачено за январь-сентябрь 2017 г.</t>
  </si>
  <si>
    <t>Герметизация стыков фоновой трубы</t>
  </si>
  <si>
    <t>Сверхнормативы по ОДП за 1 полугодие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</si>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</sst>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2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3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horizontal="left" vertical="center"/>
    </xf>
    <xf numFmtId="4" fontId="1" fillId="4" borderId="2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0" fillId="13" borderId="0" xfId="0" applyFill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142"/>
  <sheetViews>
    <sheetView tabSelected="1" view="pageBreakPreview" zoomScaleNormal="75" zoomScaleSheetLayoutView="100" workbookViewId="0">
      <pane ySplit="7" topLeftCell="A135" activePane="bottomLeft" state="frozen"/>
      <selection activeCell="B1" sqref="B1"/>
      <selection pane="bottomLeft" activeCell="B139" sqref="B13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7" width="9.85546875" customWidth="1"/>
    <col min="18" max="20" width="9.85546875" hidden="1" customWidth="1"/>
    <col min="21" max="21" width="12.28515625" customWidth="1"/>
  </cols>
  <sheetData>
    <row r="1" spans="1:21" ht="14.25" customHeight="1">
      <c r="A1" s="133"/>
    </row>
    <row r="3" spans="1:21" ht="18">
      <c r="A3" s="121"/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67"/>
      <c r="N3" s="67"/>
      <c r="O3" s="67"/>
      <c r="P3" s="67"/>
      <c r="Q3" s="67"/>
      <c r="R3" s="67"/>
      <c r="S3" s="67"/>
      <c r="T3" s="67"/>
      <c r="U3" s="67"/>
    </row>
    <row r="4" spans="1:21" ht="33.75" customHeight="1">
      <c r="A4" s="67"/>
      <c r="B4" s="170" t="s">
        <v>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70" t="s">
        <v>259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67"/>
      <c r="N5" s="67"/>
      <c r="O5" s="67"/>
      <c r="P5" s="67"/>
      <c r="Q5" s="67"/>
      <c r="R5" s="67"/>
      <c r="S5" s="67"/>
      <c r="T5" s="67"/>
      <c r="U5" s="67"/>
    </row>
    <row r="6" spans="1:21" ht="15">
      <c r="A6" s="67"/>
      <c r="B6" s="171" t="s">
        <v>139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67"/>
      <c r="N6" s="67"/>
      <c r="O6" s="67"/>
      <c r="P6" s="67"/>
      <c r="Q6" s="67"/>
      <c r="R6" s="67"/>
      <c r="S6" s="67"/>
      <c r="T6" s="67"/>
      <c r="U6" s="67"/>
    </row>
    <row r="7" spans="1:21" ht="54.75" customHeight="1">
      <c r="A7" s="134" t="s">
        <v>2</v>
      </c>
      <c r="B7" s="135" t="s">
        <v>3</v>
      </c>
      <c r="C7" s="135" t="s">
        <v>4</v>
      </c>
      <c r="D7" s="135" t="s">
        <v>5</v>
      </c>
      <c r="E7" s="135" t="s">
        <v>6</v>
      </c>
      <c r="F7" s="135" t="s">
        <v>7</v>
      </c>
      <c r="G7" s="135" t="s">
        <v>8</v>
      </c>
      <c r="H7" s="136" t="s">
        <v>9</v>
      </c>
      <c r="I7" s="25" t="s">
        <v>122</v>
      </c>
      <c r="J7" s="25" t="s">
        <v>123</v>
      </c>
      <c r="K7" s="25" t="s">
        <v>124</v>
      </c>
      <c r="L7" s="25" t="s">
        <v>125</v>
      </c>
      <c r="M7" s="25" t="s">
        <v>126</v>
      </c>
      <c r="N7" s="25" t="s">
        <v>127</v>
      </c>
      <c r="O7" s="25" t="s">
        <v>128</v>
      </c>
      <c r="P7" s="25" t="s">
        <v>129</v>
      </c>
      <c r="Q7" s="25" t="s">
        <v>130</v>
      </c>
      <c r="R7" s="25" t="s">
        <v>131</v>
      </c>
      <c r="S7" s="25" t="s">
        <v>132</v>
      </c>
      <c r="T7" s="25" t="s">
        <v>133</v>
      </c>
      <c r="U7" s="25" t="s">
        <v>140</v>
      </c>
    </row>
    <row r="8" spans="1:21">
      <c r="A8" s="137">
        <v>1</v>
      </c>
      <c r="B8" s="7">
        <v>2</v>
      </c>
      <c r="C8" s="26">
        <v>3</v>
      </c>
      <c r="D8" s="7">
        <v>4</v>
      </c>
      <c r="E8" s="7">
        <v>5</v>
      </c>
      <c r="F8" s="26">
        <v>6</v>
      </c>
      <c r="G8" s="26">
        <v>7</v>
      </c>
      <c r="H8" s="27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18</v>
      </c>
    </row>
    <row r="9" spans="1:21" ht="38.25">
      <c r="A9" s="137"/>
      <c r="B9" s="9" t="s">
        <v>10</v>
      </c>
      <c r="C9" s="26"/>
      <c r="D9" s="10"/>
      <c r="E9" s="10"/>
      <c r="F9" s="26"/>
      <c r="G9" s="26"/>
      <c r="H9" s="29"/>
      <c r="I9" s="30"/>
      <c r="J9" s="30"/>
      <c r="K9" s="30"/>
      <c r="L9" s="30"/>
      <c r="M9" s="31"/>
      <c r="N9" s="32"/>
      <c r="O9" s="32"/>
      <c r="P9" s="32"/>
      <c r="Q9" s="32"/>
      <c r="R9" s="32"/>
      <c r="S9" s="32"/>
      <c r="T9" s="32"/>
      <c r="U9" s="32"/>
    </row>
    <row r="10" spans="1:21">
      <c r="A10" s="137"/>
      <c r="B10" s="9" t="s">
        <v>11</v>
      </c>
      <c r="C10" s="26"/>
      <c r="D10" s="10"/>
      <c r="E10" s="10"/>
      <c r="F10" s="26"/>
      <c r="G10" s="26"/>
      <c r="H10" s="29"/>
      <c r="I10" s="30"/>
      <c r="J10" s="30"/>
      <c r="K10" s="30"/>
      <c r="L10" s="30"/>
      <c r="M10" s="31"/>
      <c r="N10" s="32"/>
      <c r="O10" s="32"/>
      <c r="P10" s="32"/>
      <c r="Q10" s="32"/>
      <c r="R10" s="32"/>
      <c r="S10" s="32"/>
      <c r="T10" s="32"/>
      <c r="U10" s="32"/>
    </row>
    <row r="11" spans="1:21" ht="25.5">
      <c r="A11" s="137" t="s">
        <v>168</v>
      </c>
      <c r="B11" s="10" t="s">
        <v>12</v>
      </c>
      <c r="C11" s="26" t="s">
        <v>13</v>
      </c>
      <c r="D11" s="10" t="s">
        <v>14</v>
      </c>
      <c r="E11" s="33">
        <v>95.04</v>
      </c>
      <c r="F11" s="34">
        <f>SUM(E11*156/100)</f>
        <v>148.26240000000001</v>
      </c>
      <c r="G11" s="34">
        <v>187.48</v>
      </c>
      <c r="H11" s="35">
        <f t="shared" ref="H11:H19" si="0">SUM(F11*G11/1000)</f>
        <v>27.796234752</v>
      </c>
      <c r="I11" s="36">
        <f>F11/12*G11</f>
        <v>2316.3528960000003</v>
      </c>
      <c r="J11" s="36">
        <f>F11/12*G11</f>
        <v>2316.3528960000003</v>
      </c>
      <c r="K11" s="36">
        <f>F11/12*G11</f>
        <v>2316.3528960000003</v>
      </c>
      <c r="L11" s="36">
        <f>F11/12*G11</f>
        <v>2316.3528960000003</v>
      </c>
      <c r="M11" s="36">
        <f>F11/12*G11</f>
        <v>2316.3528960000003</v>
      </c>
      <c r="N11" s="36">
        <f>F11/12*G11</f>
        <v>2316.3528960000003</v>
      </c>
      <c r="O11" s="36">
        <f>F11/12*G11</f>
        <v>2316.3528960000003</v>
      </c>
      <c r="P11" s="36">
        <f>F11/12*G11</f>
        <v>2316.3528960000003</v>
      </c>
      <c r="Q11" s="36">
        <f>F11/12*G11</f>
        <v>2316.3528960000003</v>
      </c>
      <c r="R11" s="36">
        <f>F11/12*G11</f>
        <v>2316.3528960000003</v>
      </c>
      <c r="S11" s="36">
        <f>F11/12*G11</f>
        <v>2316.3528960000003</v>
      </c>
      <c r="T11" s="36">
        <f>F11/12*G11</f>
        <v>2316.3528960000003</v>
      </c>
      <c r="U11" s="36">
        <f>SUM(I11:Q11)</f>
        <v>20847.176064000003</v>
      </c>
    </row>
    <row r="12" spans="1:21" ht="25.5">
      <c r="A12" s="137" t="s">
        <v>168</v>
      </c>
      <c r="B12" s="10" t="s">
        <v>15</v>
      </c>
      <c r="C12" s="26" t="s">
        <v>13</v>
      </c>
      <c r="D12" s="10" t="s">
        <v>16</v>
      </c>
      <c r="E12" s="33">
        <v>380.16</v>
      </c>
      <c r="F12" s="34">
        <f>SUM(E12*104/100)</f>
        <v>395.3664</v>
      </c>
      <c r="G12" s="34">
        <v>187.48</v>
      </c>
      <c r="H12" s="35">
        <f t="shared" si="0"/>
        <v>74.123292671999991</v>
      </c>
      <c r="I12" s="36">
        <f>F12/12*G12</f>
        <v>6176.9410559999997</v>
      </c>
      <c r="J12" s="36">
        <f>F12/12*G12</f>
        <v>6176.9410559999997</v>
      </c>
      <c r="K12" s="36">
        <f>F12/12*G12</f>
        <v>6176.9410559999997</v>
      </c>
      <c r="L12" s="36">
        <f>F12/12*G12</f>
        <v>6176.9410559999997</v>
      </c>
      <c r="M12" s="36">
        <f>F12/12*G12</f>
        <v>6176.9410559999997</v>
      </c>
      <c r="N12" s="36">
        <f>F12/12*G12</f>
        <v>6176.9410559999997</v>
      </c>
      <c r="O12" s="36">
        <f>F12/12*G12</f>
        <v>6176.9410559999997</v>
      </c>
      <c r="P12" s="36">
        <f>F12/12*G12</f>
        <v>6176.9410559999997</v>
      </c>
      <c r="Q12" s="36">
        <f>F12/12*G12</f>
        <v>6176.9410559999997</v>
      </c>
      <c r="R12" s="36">
        <f>F12/12*G12</f>
        <v>6176.9410559999997</v>
      </c>
      <c r="S12" s="36">
        <f>F12/12*G12</f>
        <v>6176.9410559999997</v>
      </c>
      <c r="T12" s="36">
        <f>F12/12*G12</f>
        <v>6176.9410559999997</v>
      </c>
      <c r="U12" s="36">
        <f t="shared" ref="U12:U19" si="1">SUM(I12:Q12)</f>
        <v>55592.469503999993</v>
      </c>
    </row>
    <row r="13" spans="1:21" ht="25.5">
      <c r="A13" s="137" t="s">
        <v>169</v>
      </c>
      <c r="B13" s="10" t="s">
        <v>17</v>
      </c>
      <c r="C13" s="26" t="s">
        <v>13</v>
      </c>
      <c r="D13" s="10" t="s">
        <v>18</v>
      </c>
      <c r="E13" s="33">
        <f>SUM(E11+E12)</f>
        <v>475.20000000000005</v>
      </c>
      <c r="F13" s="34">
        <f>SUM(E13*24/100)</f>
        <v>114.04800000000002</v>
      </c>
      <c r="G13" s="34">
        <v>539.30999999999995</v>
      </c>
      <c r="H13" s="35">
        <f t="shared" si="0"/>
        <v>61.507226880000005</v>
      </c>
      <c r="I13" s="36">
        <f>F13/12*G13</f>
        <v>5125.6022400000002</v>
      </c>
      <c r="J13" s="36">
        <f>F13/12*G13</f>
        <v>5125.6022400000002</v>
      </c>
      <c r="K13" s="36">
        <f>F13/12*G13</f>
        <v>5125.6022400000002</v>
      </c>
      <c r="L13" s="36">
        <f>F13/12*G13</f>
        <v>5125.6022400000002</v>
      </c>
      <c r="M13" s="36">
        <f>F13/12*G13</f>
        <v>5125.6022400000002</v>
      </c>
      <c r="N13" s="36">
        <f>F13/12*G13</f>
        <v>5125.6022400000002</v>
      </c>
      <c r="O13" s="36">
        <f>F13/12*G13</f>
        <v>5125.6022400000002</v>
      </c>
      <c r="P13" s="36">
        <f>F13/12*G13</f>
        <v>5125.6022400000002</v>
      </c>
      <c r="Q13" s="36">
        <f>F13/12*G13</f>
        <v>5125.6022400000002</v>
      </c>
      <c r="R13" s="36">
        <f>F13/12*G13</f>
        <v>5125.6022400000002</v>
      </c>
      <c r="S13" s="36">
        <f>F13/12*G13</f>
        <v>5125.6022400000002</v>
      </c>
      <c r="T13" s="36">
        <f>F13/12*G13</f>
        <v>5125.6022400000002</v>
      </c>
      <c r="U13" s="36">
        <f t="shared" si="1"/>
        <v>46130.420160000001</v>
      </c>
    </row>
    <row r="14" spans="1:21">
      <c r="A14" s="137" t="s">
        <v>170</v>
      </c>
      <c r="B14" s="10" t="s">
        <v>19</v>
      </c>
      <c r="C14" s="26" t="s">
        <v>20</v>
      </c>
      <c r="D14" s="10" t="s">
        <v>98</v>
      </c>
      <c r="E14" s="33">
        <v>93.4</v>
      </c>
      <c r="F14" s="34">
        <f>SUM(E14/10)</f>
        <v>9.34</v>
      </c>
      <c r="G14" s="34">
        <v>181.9</v>
      </c>
      <c r="H14" s="35">
        <f t="shared" si="0"/>
        <v>1.6989460000000001</v>
      </c>
      <c r="I14" s="36">
        <v>0</v>
      </c>
      <c r="J14" s="36">
        <v>0</v>
      </c>
      <c r="K14" s="36">
        <v>0</v>
      </c>
      <c r="L14" s="36">
        <v>0</v>
      </c>
      <c r="M14" s="36">
        <f>F14/2*G14</f>
        <v>849.47300000000007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f t="shared" si="1"/>
        <v>849.47300000000007</v>
      </c>
    </row>
    <row r="15" spans="1:21">
      <c r="A15" s="137" t="s">
        <v>171</v>
      </c>
      <c r="B15" s="10" t="s">
        <v>21</v>
      </c>
      <c r="C15" s="26" t="s">
        <v>13</v>
      </c>
      <c r="D15" s="10" t="s">
        <v>50</v>
      </c>
      <c r="E15" s="33">
        <v>43.2</v>
      </c>
      <c r="F15" s="34">
        <f>SUM(E15*2/100)</f>
        <v>0.8640000000000001</v>
      </c>
      <c r="G15" s="34">
        <v>232.91</v>
      </c>
      <c r="H15" s="35">
        <f t="shared" si="0"/>
        <v>0.20123424000000004</v>
      </c>
      <c r="I15" s="36">
        <v>0</v>
      </c>
      <c r="J15" s="36">
        <v>0</v>
      </c>
      <c r="K15" s="36">
        <v>0</v>
      </c>
      <c r="L15" s="36">
        <v>0</v>
      </c>
      <c r="M15" s="36">
        <f>F15/2*G15</f>
        <v>100.61712000000001</v>
      </c>
      <c r="N15" s="36">
        <v>0</v>
      </c>
      <c r="O15" s="36">
        <v>0</v>
      </c>
      <c r="P15" s="36">
        <v>0</v>
      </c>
      <c r="Q15" s="36">
        <f>F15/2*G15</f>
        <v>100.61712000000001</v>
      </c>
      <c r="R15" s="36">
        <v>0</v>
      </c>
      <c r="S15" s="36">
        <v>0</v>
      </c>
      <c r="T15" s="36">
        <v>0</v>
      </c>
      <c r="U15" s="36">
        <f t="shared" si="1"/>
        <v>201.23424000000003</v>
      </c>
    </row>
    <row r="16" spans="1:21">
      <c r="A16" s="137" t="s">
        <v>172</v>
      </c>
      <c r="B16" s="10" t="s">
        <v>22</v>
      </c>
      <c r="C16" s="26" t="s">
        <v>13</v>
      </c>
      <c r="D16" s="10" t="s">
        <v>50</v>
      </c>
      <c r="E16" s="33">
        <v>10.08</v>
      </c>
      <c r="F16" s="34">
        <f>SUM(E16*2/100)</f>
        <v>0.2016</v>
      </c>
      <c r="G16" s="34">
        <v>231.03</v>
      </c>
      <c r="H16" s="35">
        <f t="shared" si="0"/>
        <v>4.6575648000000004E-2</v>
      </c>
      <c r="I16" s="36">
        <v>0</v>
      </c>
      <c r="J16" s="36">
        <v>0</v>
      </c>
      <c r="K16" s="36">
        <v>0</v>
      </c>
      <c r="L16" s="36">
        <v>0</v>
      </c>
      <c r="M16" s="36">
        <f>F16/2*G16</f>
        <v>23.287824000000001</v>
      </c>
      <c r="N16" s="36">
        <v>0</v>
      </c>
      <c r="O16" s="36">
        <v>0</v>
      </c>
      <c r="P16" s="36">
        <v>0</v>
      </c>
      <c r="Q16" s="36">
        <f>F16/2*G16</f>
        <v>23.287824000000001</v>
      </c>
      <c r="R16" s="36">
        <v>0</v>
      </c>
      <c r="S16" s="36">
        <v>0</v>
      </c>
      <c r="T16" s="36">
        <v>0</v>
      </c>
      <c r="U16" s="36">
        <f t="shared" si="1"/>
        <v>46.575648000000001</v>
      </c>
    </row>
    <row r="17" spans="1:21">
      <c r="A17" s="137" t="s">
        <v>173</v>
      </c>
      <c r="B17" s="10" t="s">
        <v>23</v>
      </c>
      <c r="C17" s="26" t="s">
        <v>24</v>
      </c>
      <c r="D17" s="10" t="s">
        <v>98</v>
      </c>
      <c r="E17" s="33">
        <v>642.6</v>
      </c>
      <c r="F17" s="34">
        <f>SUM(E17/100)</f>
        <v>6.4260000000000002</v>
      </c>
      <c r="G17" s="34">
        <v>287.83999999999997</v>
      </c>
      <c r="H17" s="35">
        <f t="shared" si="0"/>
        <v>1.8496598399999997</v>
      </c>
      <c r="I17" s="36">
        <v>0</v>
      </c>
      <c r="J17" s="36">
        <v>0</v>
      </c>
      <c r="K17" s="36">
        <v>0</v>
      </c>
      <c r="L17" s="36">
        <v>0</v>
      </c>
      <c r="M17" s="36">
        <f t="shared" ref="M17:M19" si="2">F17*G17</f>
        <v>1849.6598399999998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f t="shared" si="1"/>
        <v>1849.6598399999998</v>
      </c>
    </row>
    <row r="18" spans="1:21">
      <c r="A18" s="137" t="s">
        <v>174</v>
      </c>
      <c r="B18" s="10" t="s">
        <v>25</v>
      </c>
      <c r="C18" s="26" t="s">
        <v>24</v>
      </c>
      <c r="D18" s="10" t="s">
        <v>98</v>
      </c>
      <c r="E18" s="38">
        <v>35.28</v>
      </c>
      <c r="F18" s="34">
        <f>SUM(E18/100)</f>
        <v>0.3528</v>
      </c>
      <c r="G18" s="34">
        <v>47.35</v>
      </c>
      <c r="H18" s="35">
        <f t="shared" si="0"/>
        <v>1.6705080000000004E-2</v>
      </c>
      <c r="I18" s="36">
        <v>0</v>
      </c>
      <c r="J18" s="36">
        <v>0</v>
      </c>
      <c r="K18" s="36">
        <v>0</v>
      </c>
      <c r="L18" s="36">
        <v>0</v>
      </c>
      <c r="M18" s="36">
        <f t="shared" si="2"/>
        <v>16.705080000000002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f t="shared" si="1"/>
        <v>16.705080000000002</v>
      </c>
    </row>
    <row r="19" spans="1:21">
      <c r="A19" s="137" t="s">
        <v>175</v>
      </c>
      <c r="B19" s="10" t="s">
        <v>26</v>
      </c>
      <c r="C19" s="26" t="s">
        <v>24</v>
      </c>
      <c r="D19" s="10" t="s">
        <v>98</v>
      </c>
      <c r="E19" s="33">
        <v>28.8</v>
      </c>
      <c r="F19" s="34">
        <f>SUM(E19/100)</f>
        <v>0.28800000000000003</v>
      </c>
      <c r="G19" s="34">
        <v>556.74</v>
      </c>
      <c r="H19" s="35">
        <f t="shared" si="0"/>
        <v>0.16034112000000003</v>
      </c>
      <c r="I19" s="36">
        <v>0</v>
      </c>
      <c r="J19" s="36">
        <v>0</v>
      </c>
      <c r="K19" s="36">
        <v>0</v>
      </c>
      <c r="L19" s="36">
        <v>0</v>
      </c>
      <c r="M19" s="36">
        <f t="shared" si="2"/>
        <v>160.34112000000002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f t="shared" si="1"/>
        <v>160.34112000000002</v>
      </c>
    </row>
    <row r="20" spans="1:21" s="18" customFormat="1">
      <c r="A20" s="138"/>
      <c r="B20" s="19" t="s">
        <v>27</v>
      </c>
      <c r="C20" s="39"/>
      <c r="D20" s="19"/>
      <c r="E20" s="40"/>
      <c r="F20" s="41"/>
      <c r="G20" s="41"/>
      <c r="H20" s="42">
        <f>SUM(H11:H19)</f>
        <v>167.40021623199996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>
        <f>SUM(U11:U19)</f>
        <v>125694.05465599998</v>
      </c>
    </row>
    <row r="21" spans="1:21">
      <c r="A21" s="137"/>
      <c r="B21" s="11" t="s">
        <v>28</v>
      </c>
      <c r="C21" s="26"/>
      <c r="D21" s="10"/>
      <c r="E21" s="33"/>
      <c r="F21" s="34"/>
      <c r="G21" s="34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ht="25.5" customHeight="1">
      <c r="A22" s="137" t="s">
        <v>176</v>
      </c>
      <c r="B22" s="10" t="s">
        <v>149</v>
      </c>
      <c r="C22" s="26" t="s">
        <v>30</v>
      </c>
      <c r="D22" s="10" t="s">
        <v>29</v>
      </c>
      <c r="E22" s="34">
        <v>1116.27</v>
      </c>
      <c r="F22" s="34">
        <f>SUM(E22*52/1000)</f>
        <v>58.046039999999998</v>
      </c>
      <c r="G22" s="34">
        <v>166.65</v>
      </c>
      <c r="H22" s="35">
        <f t="shared" ref="H22:H30" si="3">SUM(F22*G22/1000)</f>
        <v>9.6733725659999994</v>
      </c>
      <c r="I22" s="36">
        <v>0</v>
      </c>
      <c r="J22" s="36">
        <v>0</v>
      </c>
      <c r="K22" s="36">
        <v>0</v>
      </c>
      <c r="L22" s="36">
        <v>0</v>
      </c>
      <c r="M22" s="36">
        <f>F22/6*G22</f>
        <v>1612.2287609999998</v>
      </c>
      <c r="N22" s="36">
        <f>F22/6*G22</f>
        <v>1612.2287609999998</v>
      </c>
      <c r="O22" s="36">
        <f>F22/6*G22</f>
        <v>1612.2287609999998</v>
      </c>
      <c r="P22" s="36">
        <f>F22/6*G22</f>
        <v>1612.2287609999998</v>
      </c>
      <c r="Q22" s="36">
        <f>F22/6*G22</f>
        <v>1612.2287609999998</v>
      </c>
      <c r="R22" s="36">
        <f>F22/6*G22</f>
        <v>1612.2287609999998</v>
      </c>
      <c r="S22" s="36">
        <v>0</v>
      </c>
      <c r="T22" s="36">
        <v>0</v>
      </c>
      <c r="U22" s="36">
        <f t="shared" ref="U22:U30" si="4">SUM(I22:Q22)</f>
        <v>8061.1438049999997</v>
      </c>
    </row>
    <row r="23" spans="1:21" ht="38.25" customHeight="1">
      <c r="A23" s="137" t="s">
        <v>177</v>
      </c>
      <c r="B23" s="10" t="s">
        <v>150</v>
      </c>
      <c r="C23" s="26" t="s">
        <v>30</v>
      </c>
      <c r="D23" s="10" t="s">
        <v>31</v>
      </c>
      <c r="E23" s="34">
        <v>89.03</v>
      </c>
      <c r="F23" s="34">
        <f>SUM(E23*78/1000)</f>
        <v>6.9443400000000004</v>
      </c>
      <c r="G23" s="34">
        <v>276.48</v>
      </c>
      <c r="H23" s="35">
        <f t="shared" si="3"/>
        <v>1.9199711232000003</v>
      </c>
      <c r="I23" s="36">
        <v>0</v>
      </c>
      <c r="J23" s="36">
        <v>0</v>
      </c>
      <c r="K23" s="36">
        <v>0</v>
      </c>
      <c r="L23" s="36">
        <v>0</v>
      </c>
      <c r="M23" s="36">
        <f>F23/6*G23</f>
        <v>319.99518720000003</v>
      </c>
      <c r="N23" s="36">
        <f>F23/6*G23</f>
        <v>319.99518720000003</v>
      </c>
      <c r="O23" s="36">
        <f>F23/6*G23</f>
        <v>319.99518720000003</v>
      </c>
      <c r="P23" s="36">
        <f>F23/6*G23</f>
        <v>319.99518720000003</v>
      </c>
      <c r="Q23" s="36">
        <f>F23/6*G23</f>
        <v>319.99518720000003</v>
      </c>
      <c r="R23" s="36">
        <f>F23/6*G23</f>
        <v>319.99518720000003</v>
      </c>
      <c r="S23" s="36">
        <v>0</v>
      </c>
      <c r="T23" s="36">
        <v>0</v>
      </c>
      <c r="U23" s="36">
        <f t="shared" si="4"/>
        <v>1599.9759360000003</v>
      </c>
    </row>
    <row r="24" spans="1:21">
      <c r="A24" s="137" t="s">
        <v>178</v>
      </c>
      <c r="B24" s="10" t="s">
        <v>32</v>
      </c>
      <c r="C24" s="26" t="s">
        <v>30</v>
      </c>
      <c r="D24" s="10" t="s">
        <v>33</v>
      </c>
      <c r="E24" s="34">
        <v>1116.27</v>
      </c>
      <c r="F24" s="34">
        <f>SUM(E24/1000)</f>
        <v>1.1162699999999999</v>
      </c>
      <c r="G24" s="34">
        <v>3228.73</v>
      </c>
      <c r="H24" s="35">
        <f t="shared" si="3"/>
        <v>3.6041344370999995</v>
      </c>
      <c r="I24" s="36">
        <v>0</v>
      </c>
      <c r="J24" s="36">
        <v>0</v>
      </c>
      <c r="K24" s="36">
        <v>0</v>
      </c>
      <c r="L24" s="36">
        <v>0</v>
      </c>
      <c r="M24" s="36">
        <f>F24*G24</f>
        <v>3604.1344370999996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f t="shared" si="4"/>
        <v>3604.1344370999996</v>
      </c>
    </row>
    <row r="25" spans="1:21">
      <c r="A25" s="137" t="s">
        <v>182</v>
      </c>
      <c r="B25" s="10" t="s">
        <v>106</v>
      </c>
      <c r="C25" s="26" t="s">
        <v>60</v>
      </c>
      <c r="D25" s="10" t="s">
        <v>36</v>
      </c>
      <c r="E25" s="34">
        <v>6</v>
      </c>
      <c r="F25" s="34">
        <v>9.3000000000000007</v>
      </c>
      <c r="G25" s="34">
        <v>1391.86</v>
      </c>
      <c r="H25" s="35">
        <f>G25*F25/1000</f>
        <v>12.944298</v>
      </c>
      <c r="I25" s="36">
        <v>0</v>
      </c>
      <c r="J25" s="36">
        <v>0</v>
      </c>
      <c r="K25" s="36">
        <v>0</v>
      </c>
      <c r="L25" s="36">
        <v>0</v>
      </c>
      <c r="M25" s="36">
        <f>F25/6*G25</f>
        <v>2157.3829999999998</v>
      </c>
      <c r="N25" s="36">
        <f>F25/6*G25</f>
        <v>2157.3829999999998</v>
      </c>
      <c r="O25" s="36">
        <f>F25/6*G25</f>
        <v>2157.3829999999998</v>
      </c>
      <c r="P25" s="36">
        <f>F25/6*G25</f>
        <v>2157.3829999999998</v>
      </c>
      <c r="Q25" s="36">
        <f>F25/6*G25</f>
        <v>2157.3829999999998</v>
      </c>
      <c r="R25" s="36">
        <f>F25/6*G25</f>
        <v>2157.3829999999998</v>
      </c>
      <c r="S25" s="36">
        <v>0</v>
      </c>
      <c r="T25" s="36">
        <v>0</v>
      </c>
      <c r="U25" s="36">
        <f t="shared" si="4"/>
        <v>10786.914999999999</v>
      </c>
    </row>
    <row r="26" spans="1:21">
      <c r="A26" s="137" t="s">
        <v>179</v>
      </c>
      <c r="B26" s="10" t="s">
        <v>34</v>
      </c>
      <c r="C26" s="26" t="s">
        <v>35</v>
      </c>
      <c r="D26" s="10" t="s">
        <v>36</v>
      </c>
      <c r="E26" s="45">
        <v>0.33333333333333331</v>
      </c>
      <c r="F26" s="34">
        <f>155/3</f>
        <v>51.666666666666664</v>
      </c>
      <c r="G26" s="34">
        <v>60.6</v>
      </c>
      <c r="H26" s="35">
        <f>SUM(G26*155/3/1000)</f>
        <v>3.1309999999999998</v>
      </c>
      <c r="I26" s="36">
        <v>0</v>
      </c>
      <c r="J26" s="36">
        <v>0</v>
      </c>
      <c r="K26" s="36">
        <v>0</v>
      </c>
      <c r="L26" s="36">
        <v>0</v>
      </c>
      <c r="M26" s="36">
        <f>F26/6*G26</f>
        <v>521.83333333333337</v>
      </c>
      <c r="N26" s="36">
        <f>F26/6*G26</f>
        <v>521.83333333333337</v>
      </c>
      <c r="O26" s="36">
        <f>F26/6*G26</f>
        <v>521.83333333333337</v>
      </c>
      <c r="P26" s="36">
        <f>F26/6*G26</f>
        <v>521.83333333333337</v>
      </c>
      <c r="Q26" s="36">
        <f>F26/6*G26</f>
        <v>521.83333333333337</v>
      </c>
      <c r="R26" s="36">
        <f>F26/6*G26</f>
        <v>521.83333333333337</v>
      </c>
      <c r="S26" s="36">
        <v>0</v>
      </c>
      <c r="T26" s="36">
        <v>0</v>
      </c>
      <c r="U26" s="36">
        <f t="shared" si="4"/>
        <v>2609.166666666667</v>
      </c>
    </row>
    <row r="27" spans="1:21" ht="12.75" customHeight="1">
      <c r="A27" s="137" t="s">
        <v>180</v>
      </c>
      <c r="B27" s="10" t="s">
        <v>37</v>
      </c>
      <c r="C27" s="26" t="s">
        <v>38</v>
      </c>
      <c r="D27" s="10" t="s">
        <v>39</v>
      </c>
      <c r="E27" s="46">
        <v>0.1</v>
      </c>
      <c r="F27" s="34">
        <f>SUM(E27*365)</f>
        <v>36.5</v>
      </c>
      <c r="G27" s="34">
        <v>157.18</v>
      </c>
      <c r="H27" s="35">
        <f t="shared" si="3"/>
        <v>5.737070000000001</v>
      </c>
      <c r="I27" s="36">
        <f>F27/12*G27</f>
        <v>478.08916666666664</v>
      </c>
      <c r="J27" s="36">
        <f>F27/12*G27</f>
        <v>478.08916666666664</v>
      </c>
      <c r="K27" s="36">
        <f>F27/12*G27</f>
        <v>478.08916666666664</v>
      </c>
      <c r="L27" s="36">
        <f>F27/12*G27</f>
        <v>478.08916666666664</v>
      </c>
      <c r="M27" s="36">
        <f>F27/12*G27</f>
        <v>478.08916666666664</v>
      </c>
      <c r="N27" s="36">
        <f>F27/12*G27</f>
        <v>478.08916666666664</v>
      </c>
      <c r="O27" s="36">
        <f>F27/12*G27</f>
        <v>478.08916666666664</v>
      </c>
      <c r="P27" s="36">
        <f>F27/12*G27</f>
        <v>478.08916666666664</v>
      </c>
      <c r="Q27" s="36">
        <f>F27/12*G27</f>
        <v>478.08916666666664</v>
      </c>
      <c r="R27" s="36">
        <f>F27/12*G27</f>
        <v>478.08916666666664</v>
      </c>
      <c r="S27" s="36">
        <f>F27/12*G27</f>
        <v>478.08916666666664</v>
      </c>
      <c r="T27" s="36">
        <f>F27/12*G27</f>
        <v>478.08916666666664</v>
      </c>
      <c r="U27" s="36">
        <f t="shared" si="4"/>
        <v>4302.8024999999998</v>
      </c>
    </row>
    <row r="28" spans="1:21" ht="12.75" customHeight="1">
      <c r="A28" s="137" t="s">
        <v>181</v>
      </c>
      <c r="B28" s="10" t="s">
        <v>151</v>
      </c>
      <c r="C28" s="26" t="s">
        <v>38</v>
      </c>
      <c r="D28" s="10" t="s">
        <v>40</v>
      </c>
      <c r="E28" s="33"/>
      <c r="F28" s="34">
        <v>3</v>
      </c>
      <c r="G28" s="34">
        <v>204.52</v>
      </c>
      <c r="H28" s="35">
        <f t="shared" si="3"/>
        <v>0.61356000000000011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f t="shared" si="4"/>
        <v>0</v>
      </c>
    </row>
    <row r="29" spans="1:21" ht="12.75" customHeight="1">
      <c r="A29" s="137" t="s">
        <v>146</v>
      </c>
      <c r="B29" s="10" t="s">
        <v>152</v>
      </c>
      <c r="C29" s="26" t="s">
        <v>41</v>
      </c>
      <c r="D29" s="10" t="s">
        <v>40</v>
      </c>
      <c r="E29" s="33"/>
      <c r="F29" s="34">
        <v>2</v>
      </c>
      <c r="G29" s="34">
        <v>1136.33</v>
      </c>
      <c r="H29" s="35">
        <f t="shared" si="3"/>
        <v>2.2726599999999997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f t="shared" si="4"/>
        <v>0</v>
      </c>
    </row>
    <row r="30" spans="1:21">
      <c r="A30" s="137"/>
      <c r="B30" s="47" t="s">
        <v>42</v>
      </c>
      <c r="C30" s="26" t="s">
        <v>43</v>
      </c>
      <c r="D30" s="47" t="s">
        <v>44</v>
      </c>
      <c r="E30" s="33">
        <v>3931</v>
      </c>
      <c r="F30" s="34">
        <f>SUM(E30*12)</f>
        <v>47172</v>
      </c>
      <c r="G30" s="34">
        <v>5.33</v>
      </c>
      <c r="H30" s="35">
        <f t="shared" si="3"/>
        <v>251.42676</v>
      </c>
      <c r="I30" s="36">
        <f>F30/12*G30</f>
        <v>20952.23</v>
      </c>
      <c r="J30" s="36">
        <f>F30/12*G30</f>
        <v>20952.23</v>
      </c>
      <c r="K30" s="36">
        <f>F30/12*G30</f>
        <v>20952.23</v>
      </c>
      <c r="L30" s="36">
        <f>F30/12*G30</f>
        <v>20952.23</v>
      </c>
      <c r="M30" s="36">
        <f>F30/12*G30</f>
        <v>20952.23</v>
      </c>
      <c r="N30" s="36">
        <f>F30/12*G30</f>
        <v>20952.23</v>
      </c>
      <c r="O30" s="36">
        <f>F30/12*G30</f>
        <v>20952.23</v>
      </c>
      <c r="P30" s="36">
        <f>F30/12*G30</f>
        <v>20952.23</v>
      </c>
      <c r="Q30" s="36">
        <f>F30/12*G30</f>
        <v>20952.23</v>
      </c>
      <c r="R30" s="36">
        <f>F30/12*G30</f>
        <v>20952.23</v>
      </c>
      <c r="S30" s="36">
        <f>F30/12*G30</f>
        <v>20952.23</v>
      </c>
      <c r="T30" s="36">
        <f>F30/12*G30</f>
        <v>20952.23</v>
      </c>
      <c r="U30" s="36">
        <f t="shared" si="4"/>
        <v>188570.07</v>
      </c>
    </row>
    <row r="31" spans="1:21" s="18" customFormat="1">
      <c r="A31" s="138"/>
      <c r="B31" s="19" t="s">
        <v>27</v>
      </c>
      <c r="C31" s="39"/>
      <c r="D31" s="19"/>
      <c r="E31" s="40"/>
      <c r="F31" s="41"/>
      <c r="G31" s="41"/>
      <c r="H31" s="48">
        <f>SUM(H22:H30)</f>
        <v>291.32282612630001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>
        <f>SUM(U22:U30)</f>
        <v>219534.20834476667</v>
      </c>
    </row>
    <row r="32" spans="1:21">
      <c r="A32" s="137"/>
      <c r="B32" s="11" t="s">
        <v>45</v>
      </c>
      <c r="C32" s="26"/>
      <c r="D32" s="10"/>
      <c r="E32" s="33"/>
      <c r="F32" s="34"/>
      <c r="G32" s="34"/>
      <c r="H32" s="35" t="s">
        <v>44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ht="12.75" customHeight="1">
      <c r="A33" s="137" t="s">
        <v>146</v>
      </c>
      <c r="B33" s="12" t="s">
        <v>46</v>
      </c>
      <c r="C33" s="26" t="s">
        <v>41</v>
      </c>
      <c r="D33" s="10"/>
      <c r="E33" s="33"/>
      <c r="F33" s="34">
        <v>8</v>
      </c>
      <c r="G33" s="34">
        <v>1632.6</v>
      </c>
      <c r="H33" s="35">
        <f t="shared" ref="H33:H40" si="5">SUM(F33*G33/1000)</f>
        <v>13.060799999999999</v>
      </c>
      <c r="I33" s="36">
        <f>F33/6*G33</f>
        <v>2176.7999999999997</v>
      </c>
      <c r="J33" s="36">
        <f>F33/6*G33</f>
        <v>2176.7999999999997</v>
      </c>
      <c r="K33" s="36">
        <f>F33/6*G33</f>
        <v>2176.7999999999997</v>
      </c>
      <c r="L33" s="36">
        <f>F33/6*G33</f>
        <v>2176.7999999999997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f>F33/6*G33</f>
        <v>2176.7999999999997</v>
      </c>
      <c r="T33" s="36">
        <f>F33/6*G33</f>
        <v>2176.7999999999997</v>
      </c>
      <c r="U33" s="36">
        <f t="shared" ref="U33:U40" si="6">SUM(I33:Q33)</f>
        <v>8707.1999999999989</v>
      </c>
    </row>
    <row r="34" spans="1:21">
      <c r="A34" s="139" t="s">
        <v>183</v>
      </c>
      <c r="B34" s="12" t="s">
        <v>110</v>
      </c>
      <c r="C34" s="50" t="s">
        <v>47</v>
      </c>
      <c r="D34" s="10" t="s">
        <v>109</v>
      </c>
      <c r="E34" s="33">
        <v>461.12</v>
      </c>
      <c r="F34" s="49">
        <f>E34*12/1000</f>
        <v>5.5334400000000006</v>
      </c>
      <c r="G34" s="34">
        <v>2247.8000000000002</v>
      </c>
      <c r="H34" s="35">
        <f>G34*F34/1000</f>
        <v>12.438066432000001</v>
      </c>
      <c r="I34" s="36">
        <f>F34/6*G34</f>
        <v>2073.0110720000002</v>
      </c>
      <c r="J34" s="36">
        <f>F34/6*G34</f>
        <v>2073.0110720000002</v>
      </c>
      <c r="K34" s="36">
        <f>F34/6*G34</f>
        <v>2073.0110720000002</v>
      </c>
      <c r="L34" s="36">
        <f>F34/6*G34</f>
        <v>2073.0110720000002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f>F34/6*G34</f>
        <v>2073.0110720000002</v>
      </c>
      <c r="T34" s="36">
        <f>F34/6*G34</f>
        <v>2073.0110720000002</v>
      </c>
      <c r="U34" s="36">
        <f t="shared" si="6"/>
        <v>8292.044288000001</v>
      </c>
    </row>
    <row r="35" spans="1:21" ht="25.5">
      <c r="A35" s="139" t="s">
        <v>183</v>
      </c>
      <c r="B35" s="12" t="s">
        <v>153</v>
      </c>
      <c r="C35" s="50" t="s">
        <v>47</v>
      </c>
      <c r="D35" s="10" t="s">
        <v>108</v>
      </c>
      <c r="E35" s="33">
        <v>89.03</v>
      </c>
      <c r="F35" s="49">
        <f>E35*30/1000</f>
        <v>2.6709000000000001</v>
      </c>
      <c r="G35" s="34">
        <v>2247.8000000000002</v>
      </c>
      <c r="H35" s="35">
        <f>G35*F35/1000</f>
        <v>6.003649020000001</v>
      </c>
      <c r="I35" s="36">
        <f>F35/6*G35</f>
        <v>1000.6081700000001</v>
      </c>
      <c r="J35" s="36">
        <f>F35/6*G35</f>
        <v>1000.6081700000001</v>
      </c>
      <c r="K35" s="36">
        <f>F35/6*G35</f>
        <v>1000.6081700000001</v>
      </c>
      <c r="L35" s="36">
        <f>F35/6*G35</f>
        <v>1000.6081700000001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f>F35/6*G35</f>
        <v>1000.6081700000001</v>
      </c>
      <c r="T35" s="36">
        <f>F35/6*G35</f>
        <v>1000.6081700000001</v>
      </c>
      <c r="U35" s="36">
        <f t="shared" si="6"/>
        <v>4002.4326800000003</v>
      </c>
    </row>
    <row r="36" spans="1:21">
      <c r="A36" s="137" t="s">
        <v>146</v>
      </c>
      <c r="B36" s="10" t="s">
        <v>104</v>
      </c>
      <c r="C36" s="26" t="s">
        <v>68</v>
      </c>
      <c r="D36" s="10" t="s">
        <v>40</v>
      </c>
      <c r="E36" s="33"/>
      <c r="F36" s="49">
        <v>135</v>
      </c>
      <c r="G36" s="34">
        <v>213.2</v>
      </c>
      <c r="H36" s="35">
        <f>G36*F36/1000</f>
        <v>28.782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f t="shared" si="6"/>
        <v>0</v>
      </c>
    </row>
    <row r="37" spans="1:21" ht="24.75" customHeight="1">
      <c r="A37" s="137" t="s">
        <v>184</v>
      </c>
      <c r="B37" s="10" t="s">
        <v>154</v>
      </c>
      <c r="C37" s="26" t="s">
        <v>47</v>
      </c>
      <c r="D37" s="10" t="s">
        <v>48</v>
      </c>
      <c r="E37" s="34">
        <v>89.03</v>
      </c>
      <c r="F37" s="49">
        <f>SUM(E37*155/1000)</f>
        <v>13.79965</v>
      </c>
      <c r="G37" s="34">
        <v>374.95</v>
      </c>
      <c r="H37" s="35">
        <f t="shared" si="5"/>
        <v>5.1741787674999999</v>
      </c>
      <c r="I37" s="36">
        <f>F37/6*G37</f>
        <v>862.36312791666671</v>
      </c>
      <c r="J37" s="36">
        <f>F37/6*G37</f>
        <v>862.36312791666671</v>
      </c>
      <c r="K37" s="36">
        <f>F37/6*G37</f>
        <v>862.36312791666671</v>
      </c>
      <c r="L37" s="36">
        <f>F37/6*G37</f>
        <v>862.36312791666671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f>F37/6*G37</f>
        <v>862.36312791666671</v>
      </c>
      <c r="T37" s="36">
        <f>F37/6*G37</f>
        <v>862.36312791666671</v>
      </c>
      <c r="U37" s="36">
        <f t="shared" si="6"/>
        <v>3449.4525116666669</v>
      </c>
    </row>
    <row r="38" spans="1:21" ht="51" customHeight="1">
      <c r="A38" s="137" t="s">
        <v>185</v>
      </c>
      <c r="B38" s="10" t="s">
        <v>157</v>
      </c>
      <c r="C38" s="26" t="s">
        <v>30</v>
      </c>
      <c r="D38" s="10" t="s">
        <v>111</v>
      </c>
      <c r="E38" s="34">
        <v>89.03</v>
      </c>
      <c r="F38" s="49">
        <f>SUM(E38*24/1000)</f>
        <v>2.1367200000000004</v>
      </c>
      <c r="G38" s="34">
        <v>6203.71</v>
      </c>
      <c r="H38" s="35">
        <f t="shared" si="5"/>
        <v>13.255591231200002</v>
      </c>
      <c r="I38" s="36">
        <f>F38/6*G38</f>
        <v>2209.2652052000003</v>
      </c>
      <c r="J38" s="36">
        <f>F38/6*G38</f>
        <v>2209.2652052000003</v>
      </c>
      <c r="K38" s="36">
        <f>F38/6*G38</f>
        <v>2209.2652052000003</v>
      </c>
      <c r="L38" s="36">
        <f>F38/6*G38</f>
        <v>2209.2652052000003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f>F38/6*G38</f>
        <v>2209.2652052000003</v>
      </c>
      <c r="T38" s="36">
        <f>F38/6*G38</f>
        <v>2209.2652052000003</v>
      </c>
      <c r="U38" s="36">
        <f t="shared" si="6"/>
        <v>8837.0608208000012</v>
      </c>
    </row>
    <row r="39" spans="1:21" ht="12.75" customHeight="1">
      <c r="A39" s="137" t="s">
        <v>186</v>
      </c>
      <c r="B39" s="10" t="s">
        <v>155</v>
      </c>
      <c r="C39" s="26" t="s">
        <v>30</v>
      </c>
      <c r="D39" s="10" t="s">
        <v>266</v>
      </c>
      <c r="E39" s="34">
        <v>89.03</v>
      </c>
      <c r="F39" s="49">
        <f>SUM(E39*15/1000)</f>
        <v>1.33545</v>
      </c>
      <c r="G39" s="34">
        <v>458.28</v>
      </c>
      <c r="H39" s="35">
        <f t="shared" si="5"/>
        <v>0.61201002599999987</v>
      </c>
      <c r="I39" s="36">
        <v>0</v>
      </c>
      <c r="J39" s="36">
        <v>0</v>
      </c>
      <c r="K39" s="36">
        <f>F39/2*G39</f>
        <v>306.00501299999996</v>
      </c>
      <c r="L39" s="36">
        <f>F39/2*G39</f>
        <v>306.00501299999996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f>F39/6*G39</f>
        <v>102.00167099999999</v>
      </c>
      <c r="T39" s="36">
        <f>F39/6*G39</f>
        <v>102.00167099999999</v>
      </c>
      <c r="U39" s="36">
        <f t="shared" si="6"/>
        <v>612.01002599999993</v>
      </c>
    </row>
    <row r="40" spans="1:21" s="1" customFormat="1">
      <c r="A40" s="139"/>
      <c r="B40" s="12" t="s">
        <v>156</v>
      </c>
      <c r="C40" s="50" t="s">
        <v>38</v>
      </c>
      <c r="D40" s="12"/>
      <c r="E40" s="46"/>
      <c r="F40" s="49">
        <v>0.9</v>
      </c>
      <c r="G40" s="49">
        <v>798</v>
      </c>
      <c r="H40" s="35">
        <f t="shared" si="5"/>
        <v>0.71820000000000006</v>
      </c>
      <c r="I40" s="51">
        <f>F40/6*G40</f>
        <v>119.69999999999999</v>
      </c>
      <c r="J40" s="51">
        <f>F40/6*G40</f>
        <v>119.69999999999999</v>
      </c>
      <c r="K40" s="51">
        <f>F40/6*G40</f>
        <v>119.69999999999999</v>
      </c>
      <c r="L40" s="51">
        <f>F40/6*G40</f>
        <v>119.69999999999999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f>F40/6*G40</f>
        <v>119.69999999999999</v>
      </c>
      <c r="T40" s="51">
        <f>F40/6*G40</f>
        <v>119.69999999999999</v>
      </c>
      <c r="U40" s="36">
        <f t="shared" si="6"/>
        <v>478.79999999999995</v>
      </c>
    </row>
    <row r="41" spans="1:21" s="18" customFormat="1">
      <c r="A41" s="138"/>
      <c r="B41" s="19" t="s">
        <v>27</v>
      </c>
      <c r="C41" s="39"/>
      <c r="D41" s="19"/>
      <c r="E41" s="40"/>
      <c r="F41" s="41" t="s">
        <v>44</v>
      </c>
      <c r="G41" s="41"/>
      <c r="H41" s="48">
        <f>SUM(H33:H40)</f>
        <v>80.044495476699993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>
        <f>SUM(U33:U40)</f>
        <v>34379.000326466674</v>
      </c>
    </row>
    <row r="42" spans="1:21">
      <c r="A42" s="137"/>
      <c r="B42" s="13" t="s">
        <v>49</v>
      </c>
      <c r="C42" s="26"/>
      <c r="D42" s="10"/>
      <c r="E42" s="33"/>
      <c r="F42" s="34"/>
      <c r="G42" s="34"/>
      <c r="H42" s="3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>
      <c r="A43" s="137" t="s">
        <v>187</v>
      </c>
      <c r="B43" s="10" t="s">
        <v>112</v>
      </c>
      <c r="C43" s="26" t="s">
        <v>30</v>
      </c>
      <c r="D43" s="10" t="s">
        <v>50</v>
      </c>
      <c r="E43" s="33">
        <v>1032.5</v>
      </c>
      <c r="F43" s="34">
        <f>SUM(E43*2/1000)</f>
        <v>2.0649999999999999</v>
      </c>
      <c r="G43" s="52">
        <v>908.1</v>
      </c>
      <c r="H43" s="35">
        <f t="shared" ref="H43:H52" si="7">SUM(F43*G43/1000)</f>
        <v>1.8752264999999999</v>
      </c>
      <c r="I43" s="36">
        <v>0</v>
      </c>
      <c r="J43" s="36">
        <v>0</v>
      </c>
      <c r="K43" s="36">
        <v>0</v>
      </c>
      <c r="L43" s="36">
        <v>0</v>
      </c>
      <c r="M43" s="36">
        <f t="shared" ref="M43:M46" si="8">F43/2*G43</f>
        <v>937.61324999999999</v>
      </c>
      <c r="N43" s="36">
        <v>0</v>
      </c>
      <c r="O43" s="36">
        <v>0</v>
      </c>
      <c r="P43" s="36">
        <v>0</v>
      </c>
      <c r="Q43" s="36">
        <f>F43/2*G43</f>
        <v>937.61324999999999</v>
      </c>
      <c r="R43" s="36">
        <v>0</v>
      </c>
      <c r="S43" s="36">
        <v>0</v>
      </c>
      <c r="T43" s="36">
        <v>0</v>
      </c>
      <c r="U43" s="36">
        <f t="shared" ref="U43:U52" si="9">SUM(I43:Q43)</f>
        <v>1875.2265</v>
      </c>
    </row>
    <row r="44" spans="1:21">
      <c r="A44" s="137" t="s">
        <v>188</v>
      </c>
      <c r="B44" s="10" t="s">
        <v>51</v>
      </c>
      <c r="C44" s="26" t="s">
        <v>30</v>
      </c>
      <c r="D44" s="10" t="s">
        <v>50</v>
      </c>
      <c r="E44" s="33">
        <v>132</v>
      </c>
      <c r="F44" s="34">
        <f>E44*2/1000</f>
        <v>0.26400000000000001</v>
      </c>
      <c r="G44" s="52">
        <v>619.46</v>
      </c>
      <c r="H44" s="35">
        <f t="shared" si="7"/>
        <v>0.16353744000000001</v>
      </c>
      <c r="I44" s="36">
        <v>0</v>
      </c>
      <c r="J44" s="36">
        <v>0</v>
      </c>
      <c r="K44" s="36">
        <v>0</v>
      </c>
      <c r="L44" s="36">
        <v>0</v>
      </c>
      <c r="M44" s="36">
        <f t="shared" si="8"/>
        <v>81.768720000000002</v>
      </c>
      <c r="N44" s="36">
        <v>0</v>
      </c>
      <c r="O44" s="36">
        <v>0</v>
      </c>
      <c r="P44" s="36">
        <v>0</v>
      </c>
      <c r="Q44" s="36">
        <f>F44/2*G44</f>
        <v>81.768720000000002</v>
      </c>
      <c r="R44" s="36">
        <v>0</v>
      </c>
      <c r="S44" s="36">
        <v>0</v>
      </c>
      <c r="T44" s="36">
        <v>0</v>
      </c>
      <c r="U44" s="36">
        <f t="shared" si="9"/>
        <v>163.53744</v>
      </c>
    </row>
    <row r="45" spans="1:21" ht="12.75" customHeight="1">
      <c r="A45" s="137" t="s">
        <v>189</v>
      </c>
      <c r="B45" s="10" t="s">
        <v>52</v>
      </c>
      <c r="C45" s="26" t="s">
        <v>30</v>
      </c>
      <c r="D45" s="10" t="s">
        <v>50</v>
      </c>
      <c r="E45" s="33">
        <v>4248.22</v>
      </c>
      <c r="F45" s="34">
        <f>SUM(E45*2/1000)</f>
        <v>8.4964399999999998</v>
      </c>
      <c r="G45" s="52">
        <v>619.46</v>
      </c>
      <c r="H45" s="35">
        <f t="shared" si="7"/>
        <v>5.2632047223999994</v>
      </c>
      <c r="I45" s="36">
        <v>0</v>
      </c>
      <c r="J45" s="36">
        <v>0</v>
      </c>
      <c r="K45" s="36">
        <v>0</v>
      </c>
      <c r="L45" s="36">
        <v>0</v>
      </c>
      <c r="M45" s="36">
        <f t="shared" si="8"/>
        <v>2631.6023611999999</v>
      </c>
      <c r="N45" s="36">
        <v>0</v>
      </c>
      <c r="O45" s="36">
        <v>0</v>
      </c>
      <c r="P45" s="36">
        <v>0</v>
      </c>
      <c r="Q45" s="36">
        <f>F45/2*G45</f>
        <v>2631.6023611999999</v>
      </c>
      <c r="R45" s="36">
        <v>0</v>
      </c>
      <c r="S45" s="36">
        <v>0</v>
      </c>
      <c r="T45" s="36">
        <v>0</v>
      </c>
      <c r="U45" s="36">
        <f t="shared" si="9"/>
        <v>5263.2047223999998</v>
      </c>
    </row>
    <row r="46" spans="1:21">
      <c r="A46" s="137" t="s">
        <v>190</v>
      </c>
      <c r="B46" s="10" t="s">
        <v>53</v>
      </c>
      <c r="C46" s="26" t="s">
        <v>30</v>
      </c>
      <c r="D46" s="10" t="s">
        <v>50</v>
      </c>
      <c r="E46" s="33">
        <v>2163.66</v>
      </c>
      <c r="F46" s="34">
        <f>SUM(E46*2/1000)</f>
        <v>4.3273199999999994</v>
      </c>
      <c r="G46" s="52">
        <v>648.64</v>
      </c>
      <c r="H46" s="35">
        <f t="shared" si="7"/>
        <v>2.8068728447999995</v>
      </c>
      <c r="I46" s="36">
        <v>0</v>
      </c>
      <c r="J46" s="36">
        <v>0</v>
      </c>
      <c r="K46" s="36">
        <v>0</v>
      </c>
      <c r="L46" s="36">
        <v>0</v>
      </c>
      <c r="M46" s="36">
        <f t="shared" si="8"/>
        <v>1403.4364223999999</v>
      </c>
      <c r="N46" s="36">
        <v>0</v>
      </c>
      <c r="O46" s="36">
        <v>0</v>
      </c>
      <c r="P46" s="36">
        <v>0</v>
      </c>
      <c r="Q46" s="36">
        <f>F46/2*G46</f>
        <v>1403.4364223999999</v>
      </c>
      <c r="R46" s="36">
        <v>0</v>
      </c>
      <c r="S46" s="36">
        <v>0</v>
      </c>
      <c r="T46" s="36">
        <v>0</v>
      </c>
      <c r="U46" s="36">
        <f t="shared" si="9"/>
        <v>2806.8728447999997</v>
      </c>
    </row>
    <row r="47" spans="1:21" ht="25.5">
      <c r="A47" s="137" t="s">
        <v>191</v>
      </c>
      <c r="B47" s="10" t="s">
        <v>54</v>
      </c>
      <c r="C47" s="26" t="s">
        <v>30</v>
      </c>
      <c r="D47" s="10" t="s">
        <v>55</v>
      </c>
      <c r="E47" s="33">
        <v>1017.5</v>
      </c>
      <c r="F47" s="34">
        <f>SUM(E47*5/1000)</f>
        <v>5.0875000000000004</v>
      </c>
      <c r="G47" s="52">
        <v>1297.28</v>
      </c>
      <c r="H47" s="35">
        <f t="shared" si="7"/>
        <v>6.5999120000000007</v>
      </c>
      <c r="I47" s="36">
        <f>F47/5*G47</f>
        <v>1319.9824000000001</v>
      </c>
      <c r="J47" s="36">
        <f>F47/5*G47</f>
        <v>1319.9824000000001</v>
      </c>
      <c r="K47" s="36">
        <v>0</v>
      </c>
      <c r="L47" s="36">
        <v>0</v>
      </c>
      <c r="M47" s="36">
        <f>F47/5*G47</f>
        <v>1319.9824000000001</v>
      </c>
      <c r="N47" s="36">
        <v>0</v>
      </c>
      <c r="O47" s="36">
        <v>0</v>
      </c>
      <c r="P47" s="36">
        <v>0</v>
      </c>
      <c r="Q47" s="36">
        <f>F47/5*G47</f>
        <v>1319.9824000000001</v>
      </c>
      <c r="R47" s="36">
        <v>0</v>
      </c>
      <c r="S47" s="36">
        <v>0</v>
      </c>
      <c r="T47" s="36">
        <f>F47/5*G47</f>
        <v>1319.9824000000001</v>
      </c>
      <c r="U47" s="36">
        <f t="shared" si="9"/>
        <v>5279.9296000000004</v>
      </c>
    </row>
    <row r="48" spans="1:21" ht="38.25" customHeight="1">
      <c r="A48" s="137" t="s">
        <v>192</v>
      </c>
      <c r="B48" s="10" t="s">
        <v>56</v>
      </c>
      <c r="C48" s="26" t="s">
        <v>30</v>
      </c>
      <c r="D48" s="10" t="s">
        <v>50</v>
      </c>
      <c r="E48" s="33">
        <v>1017.5</v>
      </c>
      <c r="F48" s="34">
        <f>SUM(E48*2/1000)</f>
        <v>2.0350000000000001</v>
      </c>
      <c r="G48" s="52">
        <v>1297.28</v>
      </c>
      <c r="H48" s="35">
        <f t="shared" si="7"/>
        <v>2.6399648</v>
      </c>
      <c r="I48" s="36">
        <v>0</v>
      </c>
      <c r="J48" s="36">
        <v>0</v>
      </c>
      <c r="K48" s="36">
        <f>F48/2*G48</f>
        <v>1319.9824000000001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f>F48/2*G48</f>
        <v>1319.9824000000001</v>
      </c>
      <c r="R48" s="36">
        <v>0</v>
      </c>
      <c r="S48" s="36">
        <v>0</v>
      </c>
      <c r="T48" s="36">
        <v>0</v>
      </c>
      <c r="U48" s="36">
        <f t="shared" si="9"/>
        <v>2639.9648000000002</v>
      </c>
    </row>
    <row r="49" spans="1:21" ht="25.5" customHeight="1">
      <c r="A49" s="137" t="s">
        <v>193</v>
      </c>
      <c r="B49" s="10" t="s">
        <v>57</v>
      </c>
      <c r="C49" s="26" t="s">
        <v>58</v>
      </c>
      <c r="D49" s="10" t="s">
        <v>50</v>
      </c>
      <c r="E49" s="33">
        <v>30</v>
      </c>
      <c r="F49" s="34">
        <f>SUM(E49*2/100)</f>
        <v>0.6</v>
      </c>
      <c r="G49" s="52">
        <v>2918.89</v>
      </c>
      <c r="H49" s="35">
        <f t="shared" si="7"/>
        <v>1.7513339999999997</v>
      </c>
      <c r="I49" s="36">
        <v>0</v>
      </c>
      <c r="J49" s="36">
        <v>0</v>
      </c>
      <c r="K49" s="36">
        <f>F49/2*G49</f>
        <v>875.66699999999992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f>F49/2*G49</f>
        <v>875.66699999999992</v>
      </c>
      <c r="R49" s="36">
        <v>0</v>
      </c>
      <c r="S49" s="36">
        <v>0</v>
      </c>
      <c r="T49" s="36">
        <v>0</v>
      </c>
      <c r="U49" s="36">
        <f t="shared" si="9"/>
        <v>1751.3339999999998</v>
      </c>
    </row>
    <row r="50" spans="1:21">
      <c r="A50" s="137" t="s">
        <v>194</v>
      </c>
      <c r="B50" s="10" t="s">
        <v>59</v>
      </c>
      <c r="C50" s="26" t="s">
        <v>60</v>
      </c>
      <c r="D50" s="10" t="s">
        <v>50</v>
      </c>
      <c r="E50" s="33">
        <v>1</v>
      </c>
      <c r="F50" s="34">
        <v>0.02</v>
      </c>
      <c r="G50" s="52">
        <v>6042.13</v>
      </c>
      <c r="H50" s="35">
        <f t="shared" si="7"/>
        <v>0.12084260000000001</v>
      </c>
      <c r="I50" s="36">
        <v>0</v>
      </c>
      <c r="J50" s="36">
        <v>0</v>
      </c>
      <c r="K50" s="36">
        <f>F50/2*G50</f>
        <v>60.421300000000002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f>F50/2*G50</f>
        <v>60.421300000000002</v>
      </c>
      <c r="R50" s="36">
        <v>0</v>
      </c>
      <c r="S50" s="36">
        <v>0</v>
      </c>
      <c r="T50" s="36">
        <v>0</v>
      </c>
      <c r="U50" s="36">
        <f t="shared" si="9"/>
        <v>120.8426</v>
      </c>
    </row>
    <row r="51" spans="1:21">
      <c r="A51" s="137" t="s">
        <v>113</v>
      </c>
      <c r="B51" s="10" t="s">
        <v>114</v>
      </c>
      <c r="C51" s="26" t="s">
        <v>61</v>
      </c>
      <c r="D51" s="10" t="s">
        <v>115</v>
      </c>
      <c r="E51" s="33">
        <v>90</v>
      </c>
      <c r="F51" s="34">
        <f>E51*4</f>
        <v>360</v>
      </c>
      <c r="G51" s="52">
        <v>150.86000000000001</v>
      </c>
      <c r="H51" s="35">
        <f t="shared" si="7"/>
        <v>54.309600000000003</v>
      </c>
      <c r="I51" s="36">
        <f>E51*G51</f>
        <v>13577.400000000001</v>
      </c>
      <c r="J51" s="36">
        <v>0</v>
      </c>
      <c r="K51" s="36">
        <v>0</v>
      </c>
      <c r="L51" s="36">
        <v>0</v>
      </c>
      <c r="M51" s="36">
        <f>G51*E51</f>
        <v>13577.400000000001</v>
      </c>
      <c r="N51" s="36">
        <v>0</v>
      </c>
      <c r="O51" s="36">
        <v>0</v>
      </c>
      <c r="P51" s="36">
        <v>0</v>
      </c>
      <c r="Q51" s="36">
        <f>E51*G51</f>
        <v>13577.400000000001</v>
      </c>
      <c r="R51" s="36">
        <v>0</v>
      </c>
      <c r="S51" s="36">
        <v>0</v>
      </c>
      <c r="T51" s="36">
        <v>0</v>
      </c>
      <c r="U51" s="36">
        <f t="shared" si="9"/>
        <v>40732.200000000004</v>
      </c>
    </row>
    <row r="52" spans="1:21" ht="13.5" customHeight="1">
      <c r="A52" s="137" t="s">
        <v>62</v>
      </c>
      <c r="B52" s="10" t="s">
        <v>63</v>
      </c>
      <c r="C52" s="26" t="s">
        <v>61</v>
      </c>
      <c r="D52" s="10" t="s">
        <v>134</v>
      </c>
      <c r="E52" s="33">
        <v>180</v>
      </c>
      <c r="F52" s="34">
        <f>SUM(E52)*3</f>
        <v>540</v>
      </c>
      <c r="G52" s="53">
        <v>70.2</v>
      </c>
      <c r="H52" s="35">
        <f t="shared" si="7"/>
        <v>37.908000000000001</v>
      </c>
      <c r="I52" s="36">
        <f>E52*G52</f>
        <v>12636</v>
      </c>
      <c r="J52" s="36">
        <v>0</v>
      </c>
      <c r="K52" s="36">
        <v>0</v>
      </c>
      <c r="L52" s="36">
        <v>0</v>
      </c>
      <c r="M52" s="36">
        <f>G52*E52</f>
        <v>12636</v>
      </c>
      <c r="N52" s="36">
        <v>0</v>
      </c>
      <c r="O52" s="36">
        <v>0</v>
      </c>
      <c r="P52" s="36">
        <v>0</v>
      </c>
      <c r="Q52" s="36">
        <f>E52*G52</f>
        <v>12636</v>
      </c>
      <c r="R52" s="36">
        <v>0</v>
      </c>
      <c r="S52" s="36">
        <v>0</v>
      </c>
      <c r="T52" s="36">
        <v>0</v>
      </c>
      <c r="U52" s="36">
        <f t="shared" si="9"/>
        <v>37908</v>
      </c>
    </row>
    <row r="53" spans="1:21" s="20" customFormat="1">
      <c r="A53" s="138"/>
      <c r="B53" s="19" t="s">
        <v>27</v>
      </c>
      <c r="C53" s="54"/>
      <c r="D53" s="19"/>
      <c r="E53" s="55"/>
      <c r="F53" s="56"/>
      <c r="G53" s="56"/>
      <c r="H53" s="48">
        <f>SUM(H43:H52)</f>
        <v>113.43849490720001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>
        <f>SUM(U43:U52)</f>
        <v>98541.1125072</v>
      </c>
    </row>
    <row r="54" spans="1:21">
      <c r="A54" s="137"/>
      <c r="B54" s="11" t="s">
        <v>64</v>
      </c>
      <c r="C54" s="26"/>
      <c r="D54" s="10"/>
      <c r="E54" s="33"/>
      <c r="F54" s="34"/>
      <c r="G54" s="34"/>
      <c r="H54" s="35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ht="38.25" customHeight="1">
      <c r="A55" s="137" t="s">
        <v>195</v>
      </c>
      <c r="B55" s="10" t="s">
        <v>158</v>
      </c>
      <c r="C55" s="26" t="s">
        <v>13</v>
      </c>
      <c r="D55" s="10" t="s">
        <v>65</v>
      </c>
      <c r="E55" s="33">
        <v>103.25</v>
      </c>
      <c r="F55" s="34">
        <f>SUM(E55*6/100)</f>
        <v>6.1950000000000003</v>
      </c>
      <c r="G55" s="52">
        <v>1654.04</v>
      </c>
      <c r="H55" s="35">
        <f>SUM(F55*G55/1000)</f>
        <v>10.2467778</v>
      </c>
      <c r="I55" s="36">
        <f>F55/6*G55</f>
        <v>1707.7963</v>
      </c>
      <c r="J55" s="36">
        <f>F55/6*G55</f>
        <v>1707.7963</v>
      </c>
      <c r="K55" s="36">
        <f>F55/6*G55</f>
        <v>1707.7963</v>
      </c>
      <c r="L55" s="36">
        <f>F55/6*G55</f>
        <v>1707.7963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f>F55/6*G55</f>
        <v>1707.7963</v>
      </c>
      <c r="T55" s="36">
        <f>F55/6*G55</f>
        <v>1707.7963</v>
      </c>
      <c r="U55" s="36">
        <f t="shared" ref="U55:U81" si="10">SUM(I55:Q55)</f>
        <v>6831.1851999999999</v>
      </c>
    </row>
    <row r="56" spans="1:21" ht="27" customHeight="1">
      <c r="A56" s="137" t="s">
        <v>195</v>
      </c>
      <c r="B56" s="10" t="s">
        <v>253</v>
      </c>
      <c r="C56" s="26" t="s">
        <v>13</v>
      </c>
      <c r="D56" s="10" t="s">
        <v>116</v>
      </c>
      <c r="E56" s="33">
        <v>39.700000000000003</v>
      </c>
      <c r="F56" s="34">
        <f>SUM(E56*12/100)</f>
        <v>4.7640000000000002</v>
      </c>
      <c r="G56" s="52">
        <v>1654.04</v>
      </c>
      <c r="H56" s="35">
        <f>SUM(F56*G56/1000)</f>
        <v>7.8798465599999998</v>
      </c>
      <c r="I56" s="36">
        <f>F56/6*G56</f>
        <v>1313.3077600000001</v>
      </c>
      <c r="J56" s="36">
        <f>F56/6*G56</f>
        <v>1313.3077600000001</v>
      </c>
      <c r="K56" s="36">
        <f>F56/6*G56</f>
        <v>1313.3077600000001</v>
      </c>
      <c r="L56" s="36">
        <f>F56/6*G56</f>
        <v>1313.3077600000001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f>F56/6*G56</f>
        <v>1313.3077600000001</v>
      </c>
      <c r="T56" s="36">
        <f>F56/6*G56</f>
        <v>1313.3077600000001</v>
      </c>
      <c r="U56" s="36">
        <f t="shared" si="10"/>
        <v>5253.2310400000006</v>
      </c>
    </row>
    <row r="57" spans="1:21" ht="12.75" customHeight="1">
      <c r="A57" s="140" t="s">
        <v>196</v>
      </c>
      <c r="B57" s="23" t="s">
        <v>117</v>
      </c>
      <c r="C57" s="58" t="s">
        <v>118</v>
      </c>
      <c r="D57" s="23" t="s">
        <v>50</v>
      </c>
      <c r="E57" s="59">
        <v>8</v>
      </c>
      <c r="F57" s="60">
        <v>16</v>
      </c>
      <c r="G57" s="52">
        <v>193.25</v>
      </c>
      <c r="H57" s="35">
        <f>SUM(F57*G57/1000)</f>
        <v>3.0920000000000001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f t="shared" si="10"/>
        <v>0</v>
      </c>
    </row>
    <row r="58" spans="1:21" ht="12.75" customHeight="1">
      <c r="A58" s="137" t="s">
        <v>195</v>
      </c>
      <c r="B58" s="10" t="s">
        <v>119</v>
      </c>
      <c r="C58" s="26" t="s">
        <v>13</v>
      </c>
      <c r="D58" s="10" t="s">
        <v>65</v>
      </c>
      <c r="E58" s="33">
        <v>41.73</v>
      </c>
      <c r="F58" s="34">
        <f>SUM(E58*6/100)</f>
        <v>2.5038</v>
      </c>
      <c r="G58" s="52">
        <v>1654.04</v>
      </c>
      <c r="H58" s="35">
        <f>SUM(F58*G58/1000)</f>
        <v>4.1413853520000004</v>
      </c>
      <c r="I58" s="36">
        <f>F58/6*G58</f>
        <v>690.23089200000004</v>
      </c>
      <c r="J58" s="36">
        <f>F58/6*G58</f>
        <v>690.23089200000004</v>
      </c>
      <c r="K58" s="36">
        <f>F58/6*G58</f>
        <v>690.23089200000004</v>
      </c>
      <c r="L58" s="36">
        <f>F58/6*G58</f>
        <v>690.23089200000004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f t="shared" ref="S58" si="11">F58/6*G58</f>
        <v>690.23089200000004</v>
      </c>
      <c r="T58" s="36">
        <f t="shared" ref="T58" si="12">F58/6*G58</f>
        <v>690.23089200000004</v>
      </c>
      <c r="U58" s="36">
        <f t="shared" si="10"/>
        <v>2760.9235680000002</v>
      </c>
    </row>
    <row r="59" spans="1:21" ht="12.75" customHeight="1">
      <c r="A59" s="140"/>
      <c r="B59" s="24" t="s">
        <v>66</v>
      </c>
      <c r="C59" s="58"/>
      <c r="D59" s="23"/>
      <c r="E59" s="59"/>
      <c r="F59" s="60"/>
      <c r="G59" s="52"/>
      <c r="H59" s="61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12.75" customHeight="1">
      <c r="A60" s="140" t="s">
        <v>197</v>
      </c>
      <c r="B60" s="23" t="s">
        <v>120</v>
      </c>
      <c r="C60" s="58" t="s">
        <v>24</v>
      </c>
      <c r="D60" s="23" t="s">
        <v>33</v>
      </c>
      <c r="E60" s="59">
        <v>1017.5</v>
      </c>
      <c r="F60" s="60">
        <v>10.154</v>
      </c>
      <c r="G60" s="52">
        <v>848.37</v>
      </c>
      <c r="H60" s="61">
        <f>F60*G60/1000</f>
        <v>8.6143489800000008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f t="shared" si="10"/>
        <v>0</v>
      </c>
    </row>
    <row r="61" spans="1:21" ht="12.75" customHeight="1">
      <c r="A61" s="140"/>
      <c r="B61" s="23" t="s">
        <v>107</v>
      </c>
      <c r="C61" s="58" t="s">
        <v>67</v>
      </c>
      <c r="D61" s="23" t="s">
        <v>105</v>
      </c>
      <c r="E61" s="59">
        <v>203.5</v>
      </c>
      <c r="F61" s="62">
        <f>E61*12</f>
        <v>2442</v>
      </c>
      <c r="G61" s="63">
        <v>2.6</v>
      </c>
      <c r="H61" s="60">
        <f>F61*G61/1000</f>
        <v>6.3491999999999997</v>
      </c>
      <c r="I61" s="36">
        <f>F61/12*G61</f>
        <v>529.1</v>
      </c>
      <c r="J61" s="36">
        <f>F61/12*G61</f>
        <v>529.1</v>
      </c>
      <c r="K61" s="36">
        <f>F61/12*G61</f>
        <v>529.1</v>
      </c>
      <c r="L61" s="36">
        <f>F61/12*G61</f>
        <v>529.1</v>
      </c>
      <c r="M61" s="36">
        <f>F61/12*G61</f>
        <v>529.1</v>
      </c>
      <c r="N61" s="36">
        <f>F61/12*G61</f>
        <v>529.1</v>
      </c>
      <c r="O61" s="36">
        <f>F61/12*G61</f>
        <v>529.1</v>
      </c>
      <c r="P61" s="36">
        <f>F61/12*G61</f>
        <v>529.1</v>
      </c>
      <c r="Q61" s="36">
        <f>F61/12*G61</f>
        <v>529.1</v>
      </c>
      <c r="R61" s="36">
        <f>F61/12*G61</f>
        <v>529.1</v>
      </c>
      <c r="S61" s="36">
        <f>F61/12*G61</f>
        <v>529.1</v>
      </c>
      <c r="T61" s="36">
        <f>F61/12*G61</f>
        <v>529.1</v>
      </c>
      <c r="U61" s="36">
        <f t="shared" si="10"/>
        <v>4761.9000000000005</v>
      </c>
    </row>
    <row r="62" spans="1:21">
      <c r="A62" s="140"/>
      <c r="B62" s="14" t="s">
        <v>69</v>
      </c>
      <c r="C62" s="58"/>
      <c r="D62" s="23"/>
      <c r="E62" s="59"/>
      <c r="F62" s="62"/>
      <c r="G62" s="62"/>
      <c r="H62" s="60" t="s">
        <v>44</v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ht="12.75" customHeight="1">
      <c r="A63" s="64" t="s">
        <v>198</v>
      </c>
      <c r="B63" s="15" t="s">
        <v>70</v>
      </c>
      <c r="C63" s="64" t="s">
        <v>61</v>
      </c>
      <c r="D63" s="8" t="s">
        <v>40</v>
      </c>
      <c r="E63" s="65">
        <v>10</v>
      </c>
      <c r="F63" s="34">
        <v>10</v>
      </c>
      <c r="G63" s="52">
        <v>237.75</v>
      </c>
      <c r="H63" s="127">
        <f t="shared" ref="H63:H76" si="13">SUM(F63*G63/1000)</f>
        <v>2.3774999999999999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f>G63*2</f>
        <v>475.5</v>
      </c>
      <c r="R63" s="36">
        <v>0</v>
      </c>
      <c r="S63" s="36">
        <v>0</v>
      </c>
      <c r="T63" s="36">
        <v>0</v>
      </c>
      <c r="U63" s="36">
        <f t="shared" si="10"/>
        <v>475.5</v>
      </c>
    </row>
    <row r="64" spans="1:21" ht="12.75" customHeight="1">
      <c r="A64" s="64" t="s">
        <v>199</v>
      </c>
      <c r="B64" s="15" t="s">
        <v>71</v>
      </c>
      <c r="C64" s="64" t="s">
        <v>61</v>
      </c>
      <c r="D64" s="8" t="s">
        <v>40</v>
      </c>
      <c r="E64" s="65">
        <v>5</v>
      </c>
      <c r="F64" s="34">
        <v>5</v>
      </c>
      <c r="G64" s="52">
        <v>81.510000000000005</v>
      </c>
      <c r="H64" s="127">
        <f t="shared" si="13"/>
        <v>0.40755000000000002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f t="shared" si="10"/>
        <v>0</v>
      </c>
    </row>
    <row r="65" spans="1:21" s="1" customFormat="1">
      <c r="A65" s="66" t="s">
        <v>200</v>
      </c>
      <c r="B65" s="15" t="s">
        <v>72</v>
      </c>
      <c r="C65" s="66" t="s">
        <v>73</v>
      </c>
      <c r="D65" s="8" t="s">
        <v>33</v>
      </c>
      <c r="E65" s="33">
        <v>14347</v>
      </c>
      <c r="F65" s="53">
        <f>SUM(E65/100)</f>
        <v>143.47</v>
      </c>
      <c r="G65" s="52">
        <v>226.79</v>
      </c>
      <c r="H65" s="127">
        <f t="shared" si="13"/>
        <v>32.5375613</v>
      </c>
      <c r="I65" s="51">
        <v>0</v>
      </c>
      <c r="J65" s="51">
        <v>0</v>
      </c>
      <c r="K65" s="51">
        <v>0</v>
      </c>
      <c r="L65" s="51">
        <v>0</v>
      </c>
      <c r="M65" s="51">
        <f>F65*G65</f>
        <v>32537.561299999998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36">
        <f t="shared" si="10"/>
        <v>32537.561299999998</v>
      </c>
    </row>
    <row r="66" spans="1:21" ht="12.75" customHeight="1">
      <c r="A66" s="64" t="s">
        <v>201</v>
      </c>
      <c r="B66" s="15" t="s">
        <v>74</v>
      </c>
      <c r="C66" s="64" t="s">
        <v>75</v>
      </c>
      <c r="D66" s="8"/>
      <c r="E66" s="33">
        <v>14347</v>
      </c>
      <c r="F66" s="52">
        <f>SUM(E66/1000)</f>
        <v>14.347</v>
      </c>
      <c r="G66" s="52">
        <v>176.61</v>
      </c>
      <c r="H66" s="127">
        <f t="shared" si="13"/>
        <v>2.5338236700000003</v>
      </c>
      <c r="I66" s="36">
        <v>0</v>
      </c>
      <c r="J66" s="36">
        <v>0</v>
      </c>
      <c r="K66" s="36">
        <v>0</v>
      </c>
      <c r="L66" s="36">
        <v>0</v>
      </c>
      <c r="M66" s="36">
        <f>F66*G66</f>
        <v>2533.8236700000002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f t="shared" si="10"/>
        <v>2533.8236700000002</v>
      </c>
    </row>
    <row r="67" spans="1:21">
      <c r="A67" s="64" t="s">
        <v>202</v>
      </c>
      <c r="B67" s="15" t="s">
        <v>76</v>
      </c>
      <c r="C67" s="64" t="s">
        <v>77</v>
      </c>
      <c r="D67" s="8" t="s">
        <v>33</v>
      </c>
      <c r="E67" s="33">
        <v>2244</v>
      </c>
      <c r="F67" s="52">
        <f>SUM(E67/100)</f>
        <v>22.44</v>
      </c>
      <c r="G67" s="52">
        <v>2217.7800000000002</v>
      </c>
      <c r="H67" s="127">
        <f t="shared" si="13"/>
        <v>49.766983200000013</v>
      </c>
      <c r="I67" s="36">
        <v>0</v>
      </c>
      <c r="J67" s="36">
        <v>0</v>
      </c>
      <c r="K67" s="36">
        <v>0</v>
      </c>
      <c r="L67" s="36">
        <v>0</v>
      </c>
      <c r="M67" s="36">
        <f>F67*G67</f>
        <v>49766.98320000001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f t="shared" si="10"/>
        <v>49766.98320000001</v>
      </c>
    </row>
    <row r="68" spans="1:21">
      <c r="A68" s="64"/>
      <c r="B68" s="16" t="s">
        <v>99</v>
      </c>
      <c r="C68" s="64" t="s">
        <v>38</v>
      </c>
      <c r="D68" s="8"/>
      <c r="E68" s="33">
        <v>12.48</v>
      </c>
      <c r="F68" s="52">
        <f>SUM(E68)</f>
        <v>12.48</v>
      </c>
      <c r="G68" s="52">
        <v>42.67</v>
      </c>
      <c r="H68" s="127">
        <f t="shared" si="13"/>
        <v>0.53252160000000004</v>
      </c>
      <c r="I68" s="36">
        <v>0</v>
      </c>
      <c r="J68" s="36">
        <v>0</v>
      </c>
      <c r="K68" s="36">
        <v>0</v>
      </c>
      <c r="L68" s="36">
        <v>0</v>
      </c>
      <c r="M68" s="36">
        <f>F68*G68</f>
        <v>532.52160000000003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f t="shared" si="10"/>
        <v>532.52160000000003</v>
      </c>
    </row>
    <row r="69" spans="1:21" ht="12.75" customHeight="1">
      <c r="A69" s="141"/>
      <c r="B69" s="16" t="s">
        <v>100</v>
      </c>
      <c r="C69" s="64" t="s">
        <v>38</v>
      </c>
      <c r="D69" s="8"/>
      <c r="E69" s="33">
        <v>12.48</v>
      </c>
      <c r="F69" s="52">
        <f>SUM(E69)</f>
        <v>12.48</v>
      </c>
      <c r="G69" s="52">
        <v>39.81</v>
      </c>
      <c r="H69" s="127">
        <f t="shared" si="13"/>
        <v>0.49682880000000007</v>
      </c>
      <c r="I69" s="36">
        <v>0</v>
      </c>
      <c r="J69" s="36">
        <v>0</v>
      </c>
      <c r="K69" s="36">
        <v>0</v>
      </c>
      <c r="L69" s="36">
        <v>0</v>
      </c>
      <c r="M69" s="36">
        <f>F69*G69</f>
        <v>496.82880000000006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f t="shared" si="10"/>
        <v>496.82880000000006</v>
      </c>
    </row>
    <row r="70" spans="1:21">
      <c r="A70" s="64" t="s">
        <v>203</v>
      </c>
      <c r="B70" s="8" t="s">
        <v>78</v>
      </c>
      <c r="C70" s="64" t="s">
        <v>79</v>
      </c>
      <c r="D70" s="8" t="s">
        <v>33</v>
      </c>
      <c r="E70" s="65">
        <v>5</v>
      </c>
      <c r="F70" s="34">
        <v>5</v>
      </c>
      <c r="G70" s="52">
        <v>53.32</v>
      </c>
      <c r="H70" s="127">
        <f t="shared" si="13"/>
        <v>0.2666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f>F70*G70</f>
        <v>266.60000000000002</v>
      </c>
      <c r="R70" s="36">
        <v>0</v>
      </c>
      <c r="S70" s="36">
        <v>0</v>
      </c>
      <c r="T70" s="36">
        <v>0</v>
      </c>
      <c r="U70" s="36">
        <f t="shared" si="10"/>
        <v>266.60000000000002</v>
      </c>
    </row>
    <row r="71" spans="1:21">
      <c r="A71" s="141"/>
      <c r="B71" s="17" t="s">
        <v>80</v>
      </c>
      <c r="C71" s="64"/>
      <c r="D71" s="8"/>
      <c r="E71" s="65"/>
      <c r="F71" s="52"/>
      <c r="G71" s="52"/>
      <c r="H71" s="127" t="s">
        <v>44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</row>
    <row r="72" spans="1:21">
      <c r="A72" s="64" t="s">
        <v>204</v>
      </c>
      <c r="B72" s="8" t="s">
        <v>81</v>
      </c>
      <c r="C72" s="64" t="s">
        <v>82</v>
      </c>
      <c r="D72" s="8"/>
      <c r="E72" s="65">
        <v>2</v>
      </c>
      <c r="F72" s="52">
        <v>0.2</v>
      </c>
      <c r="G72" s="52">
        <v>536.23</v>
      </c>
      <c r="H72" s="127">
        <f t="shared" si="13"/>
        <v>0.10724600000000001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f t="shared" si="10"/>
        <v>0</v>
      </c>
    </row>
    <row r="73" spans="1:21">
      <c r="A73" s="64" t="s">
        <v>205</v>
      </c>
      <c r="B73" s="8" t="s">
        <v>101</v>
      </c>
      <c r="C73" s="64" t="s">
        <v>35</v>
      </c>
      <c r="D73" s="8"/>
      <c r="E73" s="65">
        <v>1</v>
      </c>
      <c r="F73" s="63">
        <v>1</v>
      </c>
      <c r="G73" s="52">
        <v>911.85</v>
      </c>
      <c r="H73" s="127">
        <f>F73*G73/1000</f>
        <v>0.91185000000000005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f t="shared" si="10"/>
        <v>0</v>
      </c>
    </row>
    <row r="74" spans="1:21">
      <c r="A74" s="64" t="s">
        <v>206</v>
      </c>
      <c r="B74" s="8" t="s">
        <v>103</v>
      </c>
      <c r="C74" s="64" t="s">
        <v>35</v>
      </c>
      <c r="D74" s="8"/>
      <c r="E74" s="65">
        <v>1</v>
      </c>
      <c r="F74" s="52">
        <v>1</v>
      </c>
      <c r="G74" s="52">
        <v>383.25</v>
      </c>
      <c r="H74" s="127">
        <f>G74*F74/1000</f>
        <v>0.38324999999999998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f>G74</f>
        <v>383.25</v>
      </c>
      <c r="R74" s="36">
        <v>0</v>
      </c>
      <c r="S74" s="36">
        <v>0</v>
      </c>
      <c r="T74" s="36">
        <v>0</v>
      </c>
      <c r="U74" s="36">
        <f t="shared" si="10"/>
        <v>383.25</v>
      </c>
    </row>
    <row r="75" spans="1:21">
      <c r="A75" s="141"/>
      <c r="B75" s="68" t="s">
        <v>83</v>
      </c>
      <c r="C75" s="64"/>
      <c r="D75" s="8"/>
      <c r="E75" s="65"/>
      <c r="F75" s="52"/>
      <c r="G75" s="52" t="s">
        <v>44</v>
      </c>
      <c r="H75" s="127" t="s">
        <v>44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</row>
    <row r="76" spans="1:21" s="1" customFormat="1">
      <c r="A76" s="66" t="s">
        <v>84</v>
      </c>
      <c r="B76" s="69" t="s">
        <v>85</v>
      </c>
      <c r="C76" s="66" t="s">
        <v>77</v>
      </c>
      <c r="D76" s="15"/>
      <c r="E76" s="70"/>
      <c r="F76" s="53">
        <v>1</v>
      </c>
      <c r="G76" s="53">
        <v>2949.84</v>
      </c>
      <c r="H76" s="127">
        <f t="shared" si="13"/>
        <v>2.94984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36">
        <f t="shared" si="10"/>
        <v>0</v>
      </c>
    </row>
    <row r="77" spans="1:21" s="20" customFormat="1">
      <c r="A77" s="142"/>
      <c r="B77" s="19" t="s">
        <v>27</v>
      </c>
      <c r="C77" s="71"/>
      <c r="D77" s="72"/>
      <c r="E77" s="73"/>
      <c r="F77" s="57"/>
      <c r="G77" s="57"/>
      <c r="H77" s="74">
        <f>SUM(H55:H76)</f>
        <v>133.59511326200004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>
        <f>SUM(U55:U76)</f>
        <v>106600.30837800003</v>
      </c>
    </row>
    <row r="78" spans="1:21">
      <c r="A78" s="143" t="s">
        <v>141</v>
      </c>
      <c r="B78" s="10" t="s">
        <v>142</v>
      </c>
      <c r="C78" s="76"/>
      <c r="D78" s="77"/>
      <c r="E78" s="126"/>
      <c r="F78" s="78">
        <v>1</v>
      </c>
      <c r="G78" s="79">
        <v>30235</v>
      </c>
      <c r="H78" s="127">
        <f>G78*F78/1000</f>
        <v>30.234999999999999</v>
      </c>
      <c r="I78" s="36">
        <v>0</v>
      </c>
      <c r="J78" s="36">
        <v>0</v>
      </c>
      <c r="K78" s="36">
        <f>G78</f>
        <v>30235</v>
      </c>
      <c r="L78" s="36">
        <v>0</v>
      </c>
      <c r="M78" s="37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f t="shared" si="10"/>
        <v>30235</v>
      </c>
    </row>
    <row r="79" spans="1:21" ht="12.75" customHeight="1">
      <c r="A79" s="64"/>
      <c r="B79" s="75" t="s">
        <v>86</v>
      </c>
      <c r="C79" s="64" t="s">
        <v>87</v>
      </c>
      <c r="D79" s="80"/>
      <c r="E79" s="52">
        <v>3931</v>
      </c>
      <c r="F79" s="52">
        <f>SUM(E79*12)</f>
        <v>47172</v>
      </c>
      <c r="G79" s="81">
        <v>2.2400000000000002</v>
      </c>
      <c r="H79" s="127">
        <f>SUM(F79*G79/1000)</f>
        <v>105.66528000000001</v>
      </c>
      <c r="I79" s="36">
        <f>F79/12*G79</f>
        <v>8805.44</v>
      </c>
      <c r="J79" s="36">
        <f>F79/12*G79</f>
        <v>8805.44</v>
      </c>
      <c r="K79" s="36">
        <f>F79/12*G79</f>
        <v>8805.44</v>
      </c>
      <c r="L79" s="36">
        <f>F79/12*G79</f>
        <v>8805.44</v>
      </c>
      <c r="M79" s="36">
        <f>F79/12*G79</f>
        <v>8805.44</v>
      </c>
      <c r="N79" s="36">
        <f>F79/12*G79</f>
        <v>8805.44</v>
      </c>
      <c r="O79" s="36">
        <f>F79/12*G79</f>
        <v>8805.44</v>
      </c>
      <c r="P79" s="36">
        <f>F79/12*G79</f>
        <v>8805.44</v>
      </c>
      <c r="Q79" s="36">
        <f>F79/12*G79</f>
        <v>8805.44</v>
      </c>
      <c r="R79" s="36">
        <f>F79/12*G79</f>
        <v>8805.44</v>
      </c>
      <c r="S79" s="36">
        <f>F79/12*G79</f>
        <v>8805.44</v>
      </c>
      <c r="T79" s="36">
        <f>F79/12*G79</f>
        <v>8805.44</v>
      </c>
      <c r="U79" s="36">
        <f t="shared" si="10"/>
        <v>79248.960000000006</v>
      </c>
    </row>
    <row r="80" spans="1:21" s="18" customFormat="1">
      <c r="A80" s="82"/>
      <c r="B80" s="19" t="s">
        <v>27</v>
      </c>
      <c r="C80" s="83"/>
      <c r="D80" s="84"/>
      <c r="E80" s="85"/>
      <c r="F80" s="43"/>
      <c r="G80" s="86"/>
      <c r="H80" s="44">
        <f>SUM(H78:H79)</f>
        <v>135.90028000000001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>
        <f>SUM(U78:U79)</f>
        <v>109483.96</v>
      </c>
    </row>
    <row r="81" spans="1:28" ht="25.5" customHeight="1">
      <c r="A81" s="141"/>
      <c r="B81" s="8" t="s">
        <v>88</v>
      </c>
      <c r="C81" s="64"/>
      <c r="D81" s="87"/>
      <c r="E81" s="33">
        <f>E79</f>
        <v>3931</v>
      </c>
      <c r="F81" s="52">
        <f>E81*12</f>
        <v>47172</v>
      </c>
      <c r="G81" s="52">
        <v>1.74</v>
      </c>
      <c r="H81" s="127">
        <f>F81*G81/1000</f>
        <v>82.079279999999997</v>
      </c>
      <c r="I81" s="36">
        <f>F81/12*G81</f>
        <v>6839.94</v>
      </c>
      <c r="J81" s="36">
        <f>F81/12*G81</f>
        <v>6839.94</v>
      </c>
      <c r="K81" s="36">
        <f>F81/12*G81</f>
        <v>6839.94</v>
      </c>
      <c r="L81" s="36">
        <f>F81/12*G81</f>
        <v>6839.94</v>
      </c>
      <c r="M81" s="36">
        <f>F81/12*G81</f>
        <v>6839.94</v>
      </c>
      <c r="N81" s="36">
        <f>F81/12*G81</f>
        <v>6839.94</v>
      </c>
      <c r="O81" s="36">
        <f>F81/12*G81</f>
        <v>6839.94</v>
      </c>
      <c r="P81" s="36">
        <f>F81/12*G81</f>
        <v>6839.94</v>
      </c>
      <c r="Q81" s="36">
        <f>F81/12*G81</f>
        <v>6839.94</v>
      </c>
      <c r="R81" s="36">
        <f>F81/12*G81</f>
        <v>6839.94</v>
      </c>
      <c r="S81" s="36">
        <f>F81/12*G81</f>
        <v>6839.94</v>
      </c>
      <c r="T81" s="36">
        <f>F81/12*G81</f>
        <v>6839.94</v>
      </c>
      <c r="U81" s="36">
        <f t="shared" si="10"/>
        <v>61559.460000000006</v>
      </c>
    </row>
    <row r="82" spans="1:28" s="18" customFormat="1">
      <c r="A82" s="82"/>
      <c r="B82" s="88" t="s">
        <v>89</v>
      </c>
      <c r="C82" s="89"/>
      <c r="D82" s="88"/>
      <c r="E82" s="43"/>
      <c r="F82" s="43"/>
      <c r="G82" s="43"/>
      <c r="H82" s="74">
        <f>H81</f>
        <v>82.079279999999997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122">
        <f>U81</f>
        <v>61559.460000000006</v>
      </c>
    </row>
    <row r="83" spans="1:28" s="18" customFormat="1">
      <c r="A83" s="82"/>
      <c r="B83" s="88" t="s">
        <v>90</v>
      </c>
      <c r="C83" s="90"/>
      <c r="D83" s="91"/>
      <c r="E83" s="92"/>
      <c r="F83" s="92"/>
      <c r="G83" s="92"/>
      <c r="H83" s="74">
        <f>SUM(H82+H80+H77+H53+H41+H31+H20)</f>
        <v>1003.7807060042001</v>
      </c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122">
        <f>SUM(U82+U80+U77+U53+U41+U31+U20)*1.054</f>
        <v>796604.87783990474</v>
      </c>
    </row>
    <row r="84" spans="1:28" s="119" customFormat="1" ht="51" customHeight="1">
      <c r="A84" s="144"/>
      <c r="B84" s="68"/>
      <c r="C84" s="64"/>
      <c r="D84" s="87"/>
      <c r="E84" s="52"/>
      <c r="F84" s="52"/>
      <c r="G84" s="52"/>
      <c r="H84" s="118"/>
      <c r="I84" s="52"/>
      <c r="J84" s="52"/>
      <c r="K84" s="52"/>
      <c r="L84" s="52"/>
      <c r="M84" s="52"/>
      <c r="N84" s="52"/>
      <c r="O84" s="52"/>
      <c r="P84" s="52"/>
      <c r="Q84" s="52"/>
      <c r="R84" s="129"/>
      <c r="S84" s="129"/>
      <c r="T84" s="129"/>
      <c r="U84" s="128" t="s">
        <v>226</v>
      </c>
    </row>
    <row r="85" spans="1:28">
      <c r="A85" s="145"/>
      <c r="B85" s="87" t="s">
        <v>91</v>
      </c>
      <c r="C85" s="64"/>
      <c r="D85" s="87"/>
      <c r="E85" s="52"/>
      <c r="F85" s="52"/>
      <c r="G85" s="52" t="s">
        <v>92</v>
      </c>
      <c r="H85" s="93">
        <f>E81</f>
        <v>3931</v>
      </c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</row>
    <row r="86" spans="1:28" s="18" customFormat="1">
      <c r="A86" s="82"/>
      <c r="B86" s="91" t="s">
        <v>93</v>
      </c>
      <c r="C86" s="90"/>
      <c r="D86" s="91"/>
      <c r="E86" s="92"/>
      <c r="F86" s="92"/>
      <c r="G86" s="92"/>
      <c r="H86" s="94">
        <f>SUM(H83/H85/12*1000)</f>
        <v>21.279163614097346</v>
      </c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123"/>
      <c r="X86" s="173"/>
      <c r="Y86" s="173"/>
      <c r="Z86" s="173"/>
      <c r="AA86" s="173"/>
      <c r="AB86" s="173"/>
    </row>
    <row r="87" spans="1:28">
      <c r="A87" s="95"/>
      <c r="B87" s="87"/>
      <c r="C87" s="64"/>
      <c r="D87" s="87"/>
      <c r="E87" s="52"/>
      <c r="F87" s="52"/>
      <c r="G87" s="52"/>
      <c r="H87" s="9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124"/>
    </row>
    <row r="88" spans="1:28">
      <c r="A88" s="141"/>
      <c r="B88" s="68" t="s">
        <v>94</v>
      </c>
      <c r="C88" s="64"/>
      <c r="D88" s="87"/>
      <c r="E88" s="52"/>
      <c r="F88" s="52"/>
      <c r="G88" s="52"/>
      <c r="H88" s="52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</row>
    <row r="89" spans="1:28">
      <c r="A89" s="130" t="s">
        <v>223</v>
      </c>
      <c r="B89" s="131" t="s">
        <v>224</v>
      </c>
      <c r="C89" s="130" t="s">
        <v>225</v>
      </c>
      <c r="D89" s="8"/>
      <c r="E89" s="65"/>
      <c r="F89" s="52">
        <v>2</v>
      </c>
      <c r="G89" s="52">
        <v>195.85</v>
      </c>
      <c r="H89" s="127">
        <f t="shared" ref="H89:H90" si="14">G89*F89/1000</f>
        <v>0.39169999999999999</v>
      </c>
      <c r="I89" s="97">
        <f>G89*2</f>
        <v>391.7</v>
      </c>
      <c r="J89" s="97">
        <v>0</v>
      </c>
      <c r="K89" s="97">
        <v>0</v>
      </c>
      <c r="L89" s="97">
        <v>0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0</v>
      </c>
      <c r="S89" s="97">
        <v>0</v>
      </c>
      <c r="T89" s="97">
        <v>0</v>
      </c>
      <c r="U89" s="36">
        <f t="shared" ref="U89:U115" si="15">SUM(I89:Q89)</f>
        <v>391.7</v>
      </c>
    </row>
    <row r="90" spans="1:28">
      <c r="A90" s="149" t="s">
        <v>230</v>
      </c>
      <c r="B90" s="150" t="s">
        <v>231</v>
      </c>
      <c r="C90" s="149" t="s">
        <v>147</v>
      </c>
      <c r="D90" s="151"/>
      <c r="E90" s="152"/>
      <c r="F90" s="148">
        <f>(3+15+15+3+15)/3</f>
        <v>17</v>
      </c>
      <c r="G90" s="148">
        <v>1120.8900000000001</v>
      </c>
      <c r="H90" s="153">
        <f t="shared" si="14"/>
        <v>19.055130000000002</v>
      </c>
      <c r="I90" s="97">
        <f>G90</f>
        <v>1120.8900000000001</v>
      </c>
      <c r="J90" s="97">
        <v>0</v>
      </c>
      <c r="K90" s="97">
        <f>G90*((15)/3)</f>
        <v>5604.4500000000007</v>
      </c>
      <c r="L90" s="97">
        <f>G90*((15)/3)</f>
        <v>5604.4500000000007</v>
      </c>
      <c r="M90" s="97">
        <f>G90*((3+15)/3)</f>
        <v>6725.34</v>
      </c>
      <c r="N90" s="97">
        <v>0</v>
      </c>
      <c r="O90" s="97">
        <v>0</v>
      </c>
      <c r="P90" s="97">
        <v>0</v>
      </c>
      <c r="Q90" s="97">
        <v>0</v>
      </c>
      <c r="R90" s="97">
        <v>0</v>
      </c>
      <c r="S90" s="97">
        <v>0</v>
      </c>
      <c r="T90" s="97">
        <v>0</v>
      </c>
      <c r="U90" s="36">
        <f t="shared" si="15"/>
        <v>19055.13</v>
      </c>
    </row>
    <row r="91" spans="1:28">
      <c r="A91" s="137" t="s">
        <v>195</v>
      </c>
      <c r="B91" s="10" t="s">
        <v>227</v>
      </c>
      <c r="C91" s="26" t="s">
        <v>13</v>
      </c>
      <c r="D91" s="87"/>
      <c r="E91" s="52"/>
      <c r="F91" s="52">
        <f>2/100</f>
        <v>0.02</v>
      </c>
      <c r="G91" s="52">
        <v>2029.3</v>
      </c>
      <c r="H91" s="52">
        <f t="shared" ref="H91:H92" si="16">G91*F91/1000</f>
        <v>4.0585999999999997E-2</v>
      </c>
      <c r="I91" s="97">
        <f>G91*F91</f>
        <v>40.585999999999999</v>
      </c>
      <c r="J91" s="97">
        <v>0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0</v>
      </c>
      <c r="S91" s="97">
        <v>0</v>
      </c>
      <c r="T91" s="97">
        <v>0</v>
      </c>
      <c r="U91" s="36">
        <f t="shared" si="15"/>
        <v>40.585999999999999</v>
      </c>
    </row>
    <row r="92" spans="1:28">
      <c r="A92" s="132" t="s">
        <v>229</v>
      </c>
      <c r="B92" s="131" t="s">
        <v>228</v>
      </c>
      <c r="C92" s="130" t="s">
        <v>61</v>
      </c>
      <c r="D92" s="87"/>
      <c r="E92" s="52"/>
      <c r="F92" s="52">
        <v>1</v>
      </c>
      <c r="G92" s="52">
        <v>1102.53</v>
      </c>
      <c r="H92" s="52">
        <f t="shared" si="16"/>
        <v>1.10253</v>
      </c>
      <c r="I92" s="97">
        <f>G92</f>
        <v>1102.53</v>
      </c>
      <c r="J92" s="97">
        <v>0</v>
      </c>
      <c r="K92" s="97">
        <v>0</v>
      </c>
      <c r="L92" s="97">
        <v>0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0</v>
      </c>
      <c r="S92" s="97">
        <v>0</v>
      </c>
      <c r="T92" s="97">
        <v>0</v>
      </c>
      <c r="U92" s="36">
        <f t="shared" si="15"/>
        <v>1102.53</v>
      </c>
    </row>
    <row r="93" spans="1:28" ht="25.5">
      <c r="A93" s="130" t="s">
        <v>193</v>
      </c>
      <c r="B93" s="131" t="s">
        <v>145</v>
      </c>
      <c r="C93" s="130" t="s">
        <v>58</v>
      </c>
      <c r="D93" s="8"/>
      <c r="E93" s="65"/>
      <c r="F93" s="52">
        <v>0.02</v>
      </c>
      <c r="G93" s="52">
        <v>3581.13</v>
      </c>
      <c r="H93" s="127">
        <f t="shared" ref="H93" si="17">G93*F93/1000</f>
        <v>7.1622600000000008E-2</v>
      </c>
      <c r="I93" s="97">
        <f>G93*0.01</f>
        <v>35.811300000000003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97">
        <f>G93*0.01</f>
        <v>35.811300000000003</v>
      </c>
      <c r="R93" s="97">
        <v>0</v>
      </c>
      <c r="S93" s="97">
        <v>0</v>
      </c>
      <c r="T93" s="97">
        <v>0</v>
      </c>
      <c r="U93" s="36">
        <f t="shared" si="15"/>
        <v>71.622600000000006</v>
      </c>
    </row>
    <row r="94" spans="1:28" ht="25.5">
      <c r="A94" s="132" t="s">
        <v>208</v>
      </c>
      <c r="B94" s="131" t="s">
        <v>121</v>
      </c>
      <c r="C94" s="130" t="s">
        <v>61</v>
      </c>
      <c r="D94" s="8"/>
      <c r="E94" s="65"/>
      <c r="F94" s="52">
        <v>3</v>
      </c>
      <c r="G94" s="52">
        <v>83.36</v>
      </c>
      <c r="H94" s="127">
        <f>G94*F94/1000</f>
        <v>0.25007999999999997</v>
      </c>
      <c r="I94" s="97">
        <f>G94</f>
        <v>83.36</v>
      </c>
      <c r="J94" s="97">
        <v>0</v>
      </c>
      <c r="K94" s="97">
        <f>G94</f>
        <v>83.36</v>
      </c>
      <c r="L94" s="97">
        <v>0</v>
      </c>
      <c r="M94" s="97">
        <v>0</v>
      </c>
      <c r="N94" s="97">
        <v>0</v>
      </c>
      <c r="O94" s="97">
        <v>0</v>
      </c>
      <c r="P94" s="97">
        <v>0</v>
      </c>
      <c r="Q94" s="97">
        <f>G94</f>
        <v>83.36</v>
      </c>
      <c r="R94" s="97">
        <v>0</v>
      </c>
      <c r="S94" s="97">
        <v>0</v>
      </c>
      <c r="T94" s="97">
        <v>0</v>
      </c>
      <c r="U94" s="36">
        <f t="shared" si="15"/>
        <v>250.07999999999998</v>
      </c>
    </row>
    <row r="95" spans="1:28" ht="25.5">
      <c r="A95" s="154" t="s">
        <v>232</v>
      </c>
      <c r="B95" s="155" t="s">
        <v>233</v>
      </c>
      <c r="C95" s="154" t="s">
        <v>136</v>
      </c>
      <c r="D95" s="87"/>
      <c r="E95" s="52"/>
      <c r="F95" s="52">
        <v>2</v>
      </c>
      <c r="G95" s="52">
        <v>832.06</v>
      </c>
      <c r="H95" s="127">
        <f t="shared" ref="H95:H97" si="18">G95*F95/1000</f>
        <v>1.6641199999999998</v>
      </c>
      <c r="I95" s="97">
        <v>0</v>
      </c>
      <c r="J95" s="97">
        <f>G95*2</f>
        <v>1664.12</v>
      </c>
      <c r="K95" s="97">
        <v>0</v>
      </c>
      <c r="L95" s="97">
        <v>0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0</v>
      </c>
      <c r="S95" s="97">
        <v>0</v>
      </c>
      <c r="T95" s="97">
        <v>0</v>
      </c>
      <c r="U95" s="36">
        <f t="shared" si="15"/>
        <v>1664.12</v>
      </c>
    </row>
    <row r="96" spans="1:28">
      <c r="A96" s="130" t="s">
        <v>164</v>
      </c>
      <c r="B96" s="131" t="s">
        <v>165</v>
      </c>
      <c r="C96" s="130" t="s">
        <v>61</v>
      </c>
      <c r="D96" s="8"/>
      <c r="E96" s="65"/>
      <c r="F96" s="52">
        <v>4</v>
      </c>
      <c r="G96" s="52">
        <v>140</v>
      </c>
      <c r="H96" s="127">
        <f t="shared" si="18"/>
        <v>0.56000000000000005</v>
      </c>
      <c r="I96" s="97">
        <v>0</v>
      </c>
      <c r="J96" s="97">
        <f>G96*2</f>
        <v>280</v>
      </c>
      <c r="K96" s="97">
        <v>0</v>
      </c>
      <c r="L96" s="97">
        <v>0</v>
      </c>
      <c r="M96" s="97">
        <v>0</v>
      </c>
      <c r="N96" s="97">
        <f>G96*(1+1)</f>
        <v>280</v>
      </c>
      <c r="O96" s="97">
        <v>0</v>
      </c>
      <c r="P96" s="97">
        <v>0</v>
      </c>
      <c r="Q96" s="97">
        <v>0</v>
      </c>
      <c r="R96" s="97">
        <v>0</v>
      </c>
      <c r="S96" s="97">
        <v>0</v>
      </c>
      <c r="T96" s="97">
        <v>0</v>
      </c>
      <c r="U96" s="36">
        <f t="shared" si="15"/>
        <v>560</v>
      </c>
    </row>
    <row r="97" spans="1:25">
      <c r="A97" s="130" t="s">
        <v>164</v>
      </c>
      <c r="B97" s="131" t="s">
        <v>234</v>
      </c>
      <c r="C97" s="130" t="s">
        <v>61</v>
      </c>
      <c r="D97" s="8"/>
      <c r="E97" s="65"/>
      <c r="F97" s="52">
        <v>3</v>
      </c>
      <c r="G97" s="52">
        <v>118</v>
      </c>
      <c r="H97" s="127">
        <f t="shared" si="18"/>
        <v>0.35399999999999998</v>
      </c>
      <c r="I97" s="97">
        <v>0</v>
      </c>
      <c r="J97" s="97">
        <f>G97</f>
        <v>118</v>
      </c>
      <c r="K97" s="97">
        <v>0</v>
      </c>
      <c r="L97" s="97">
        <v>0</v>
      </c>
      <c r="M97" s="97">
        <v>0</v>
      </c>
      <c r="N97" s="97">
        <f>G97*(1+1)</f>
        <v>236</v>
      </c>
      <c r="O97" s="97">
        <v>0</v>
      </c>
      <c r="P97" s="97">
        <v>0</v>
      </c>
      <c r="Q97" s="97">
        <v>0</v>
      </c>
      <c r="R97" s="97">
        <v>0</v>
      </c>
      <c r="S97" s="97">
        <v>0</v>
      </c>
      <c r="T97" s="97">
        <v>0</v>
      </c>
      <c r="U97" s="36">
        <f t="shared" si="15"/>
        <v>354</v>
      </c>
    </row>
    <row r="98" spans="1:25">
      <c r="A98" s="130" t="s">
        <v>164</v>
      </c>
      <c r="B98" s="131" t="s">
        <v>235</v>
      </c>
      <c r="C98" s="130" t="s">
        <v>61</v>
      </c>
      <c r="D98" s="8"/>
      <c r="E98" s="65"/>
      <c r="F98" s="52">
        <v>6</v>
      </c>
      <c r="G98" s="52">
        <v>112</v>
      </c>
      <c r="H98" s="127">
        <f t="shared" ref="H98:H99" si="19">G98*F98/1000</f>
        <v>0.67200000000000004</v>
      </c>
      <c r="I98" s="97">
        <v>0</v>
      </c>
      <c r="J98" s="97">
        <f>G98*2</f>
        <v>224</v>
      </c>
      <c r="K98" s="97">
        <v>0</v>
      </c>
      <c r="L98" s="97">
        <v>0</v>
      </c>
      <c r="M98" s="97">
        <v>0</v>
      </c>
      <c r="N98" s="97">
        <f>G98*(2+2)</f>
        <v>448</v>
      </c>
      <c r="O98" s="97">
        <v>0</v>
      </c>
      <c r="P98" s="97">
        <v>0</v>
      </c>
      <c r="Q98" s="97">
        <v>0</v>
      </c>
      <c r="R98" s="97">
        <v>0</v>
      </c>
      <c r="S98" s="97">
        <v>0</v>
      </c>
      <c r="T98" s="97">
        <v>0</v>
      </c>
      <c r="U98" s="36">
        <f t="shared" si="15"/>
        <v>672</v>
      </c>
    </row>
    <row r="99" spans="1:25">
      <c r="A99" s="130" t="s">
        <v>164</v>
      </c>
      <c r="B99" s="131" t="s">
        <v>236</v>
      </c>
      <c r="C99" s="130" t="s">
        <v>61</v>
      </c>
      <c r="D99" s="8"/>
      <c r="E99" s="65"/>
      <c r="F99" s="52">
        <v>2</v>
      </c>
      <c r="G99" s="52">
        <v>50</v>
      </c>
      <c r="H99" s="127">
        <f t="shared" si="19"/>
        <v>0.1</v>
      </c>
      <c r="I99" s="97">
        <v>0</v>
      </c>
      <c r="J99" s="97">
        <f>G99</f>
        <v>50</v>
      </c>
      <c r="K99" s="97">
        <v>0</v>
      </c>
      <c r="L99" s="97">
        <v>0</v>
      </c>
      <c r="M99" s="97">
        <v>0</v>
      </c>
      <c r="N99" s="97">
        <f>G99</f>
        <v>50</v>
      </c>
      <c r="O99" s="97">
        <v>0</v>
      </c>
      <c r="P99" s="97">
        <v>0</v>
      </c>
      <c r="Q99" s="97">
        <v>0</v>
      </c>
      <c r="R99" s="97">
        <v>0</v>
      </c>
      <c r="S99" s="97">
        <v>0</v>
      </c>
      <c r="T99" s="97">
        <v>0</v>
      </c>
      <c r="U99" s="36">
        <f t="shared" si="15"/>
        <v>100</v>
      </c>
    </row>
    <row r="100" spans="1:25">
      <c r="A100" s="130" t="s">
        <v>164</v>
      </c>
      <c r="B100" s="131" t="s">
        <v>237</v>
      </c>
      <c r="C100" s="130" t="s">
        <v>61</v>
      </c>
      <c r="D100" s="8"/>
      <c r="E100" s="65"/>
      <c r="F100" s="52">
        <v>3</v>
      </c>
      <c r="G100" s="52">
        <v>70</v>
      </c>
      <c r="H100" s="127">
        <f t="shared" ref="H100:H125" si="20">G100*F100/1000</f>
        <v>0.21</v>
      </c>
      <c r="I100" s="97">
        <v>0</v>
      </c>
      <c r="J100" s="97">
        <f>G100*3</f>
        <v>210</v>
      </c>
      <c r="K100" s="97">
        <v>0</v>
      </c>
      <c r="L100" s="97">
        <v>0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0</v>
      </c>
      <c r="S100" s="97">
        <v>0</v>
      </c>
      <c r="T100" s="97">
        <v>0</v>
      </c>
      <c r="U100" s="36">
        <f t="shared" si="15"/>
        <v>210</v>
      </c>
    </row>
    <row r="101" spans="1:25">
      <c r="A101" s="130" t="s">
        <v>164</v>
      </c>
      <c r="B101" s="156" t="s">
        <v>238</v>
      </c>
      <c r="C101" s="130" t="s">
        <v>61</v>
      </c>
      <c r="D101" s="8"/>
      <c r="E101" s="65"/>
      <c r="F101" s="52">
        <v>3</v>
      </c>
      <c r="G101" s="157">
        <v>108</v>
      </c>
      <c r="H101" s="127">
        <f t="shared" si="20"/>
        <v>0.32400000000000001</v>
      </c>
      <c r="I101" s="97">
        <v>0</v>
      </c>
      <c r="J101" s="97">
        <f>G101</f>
        <v>108</v>
      </c>
      <c r="K101" s="97">
        <v>0</v>
      </c>
      <c r="L101" s="97">
        <v>0</v>
      </c>
      <c r="M101" s="97">
        <v>0</v>
      </c>
      <c r="N101" s="97">
        <f>G101*(1+1)</f>
        <v>216</v>
      </c>
      <c r="O101" s="97">
        <v>0</v>
      </c>
      <c r="P101" s="97">
        <v>0</v>
      </c>
      <c r="Q101" s="97">
        <v>0</v>
      </c>
      <c r="R101" s="97">
        <v>0</v>
      </c>
      <c r="S101" s="97">
        <v>0</v>
      </c>
      <c r="T101" s="97">
        <v>0</v>
      </c>
      <c r="U101" s="36">
        <f t="shared" si="15"/>
        <v>324</v>
      </c>
    </row>
    <row r="102" spans="1:25" ht="25.5">
      <c r="A102" s="130" t="s">
        <v>214</v>
      </c>
      <c r="B102" s="131" t="s">
        <v>166</v>
      </c>
      <c r="C102" s="132" t="s">
        <v>167</v>
      </c>
      <c r="D102" s="87"/>
      <c r="E102" s="52"/>
      <c r="F102" s="52">
        <v>4</v>
      </c>
      <c r="G102" s="52">
        <v>294.45</v>
      </c>
      <c r="H102" s="127">
        <f t="shared" si="20"/>
        <v>1.1778</v>
      </c>
      <c r="I102" s="97">
        <v>0</v>
      </c>
      <c r="J102" s="97">
        <f>G102</f>
        <v>294.45</v>
      </c>
      <c r="K102" s="97">
        <v>0</v>
      </c>
      <c r="L102" s="97">
        <v>0</v>
      </c>
      <c r="M102" s="97">
        <v>0</v>
      </c>
      <c r="N102" s="97">
        <f>G102*(1+1)</f>
        <v>588.9</v>
      </c>
      <c r="O102" s="97">
        <f>G102</f>
        <v>294.45</v>
      </c>
      <c r="P102" s="97">
        <v>0</v>
      </c>
      <c r="Q102" s="97">
        <v>0</v>
      </c>
      <c r="R102" s="97">
        <v>0</v>
      </c>
      <c r="S102" s="97">
        <v>0</v>
      </c>
      <c r="T102" s="97">
        <v>0</v>
      </c>
      <c r="U102" s="36">
        <f t="shared" si="15"/>
        <v>1177.8</v>
      </c>
      <c r="V102" s="147"/>
      <c r="W102" s="147"/>
      <c r="X102" s="147"/>
      <c r="Y102" s="147"/>
    </row>
    <row r="103" spans="1:25" ht="38.25">
      <c r="A103" s="130" t="s">
        <v>220</v>
      </c>
      <c r="B103" s="131" t="s">
        <v>218</v>
      </c>
      <c r="C103" s="130" t="s">
        <v>219</v>
      </c>
      <c r="D103" s="87"/>
      <c r="E103" s="52"/>
      <c r="F103" s="52">
        <v>1</v>
      </c>
      <c r="G103" s="52">
        <v>54.17</v>
      </c>
      <c r="H103" s="127">
        <f t="shared" si="20"/>
        <v>5.4170000000000003E-2</v>
      </c>
      <c r="I103" s="97">
        <v>0</v>
      </c>
      <c r="J103" s="97">
        <f>G103</f>
        <v>54.17</v>
      </c>
      <c r="K103" s="97">
        <v>0</v>
      </c>
      <c r="L103" s="97">
        <v>0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0</v>
      </c>
      <c r="S103" s="97">
        <v>0</v>
      </c>
      <c r="T103" s="97">
        <v>0</v>
      </c>
      <c r="U103" s="36">
        <f t="shared" si="15"/>
        <v>54.17</v>
      </c>
      <c r="V103" s="147"/>
      <c r="W103" s="147"/>
      <c r="X103" s="147"/>
      <c r="Y103" s="147"/>
    </row>
    <row r="104" spans="1:25">
      <c r="A104" s="154" t="s">
        <v>212</v>
      </c>
      <c r="B104" s="155" t="s">
        <v>221</v>
      </c>
      <c r="C104" s="154" t="s">
        <v>144</v>
      </c>
      <c r="D104" s="8"/>
      <c r="E104" s="65"/>
      <c r="F104" s="52">
        <v>1</v>
      </c>
      <c r="G104" s="52">
        <v>185.08</v>
      </c>
      <c r="H104" s="127">
        <f t="shared" si="20"/>
        <v>0.18508000000000002</v>
      </c>
      <c r="I104" s="97">
        <v>0</v>
      </c>
      <c r="J104" s="97">
        <f>G104</f>
        <v>185.08</v>
      </c>
      <c r="K104" s="97">
        <v>0</v>
      </c>
      <c r="L104" s="97">
        <v>0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0</v>
      </c>
      <c r="S104" s="97">
        <v>0</v>
      </c>
      <c r="T104" s="97">
        <v>0</v>
      </c>
      <c r="U104" s="36">
        <f t="shared" si="15"/>
        <v>185.08</v>
      </c>
    </row>
    <row r="105" spans="1:25" ht="25.5">
      <c r="A105" s="132" t="s">
        <v>135</v>
      </c>
      <c r="B105" s="131" t="s">
        <v>239</v>
      </c>
      <c r="C105" s="130" t="s">
        <v>136</v>
      </c>
      <c r="D105" s="8"/>
      <c r="E105" s="65"/>
      <c r="F105" s="52">
        <v>8</v>
      </c>
      <c r="G105" s="52">
        <v>1187</v>
      </c>
      <c r="H105" s="127">
        <f t="shared" si="20"/>
        <v>9.4960000000000004</v>
      </c>
      <c r="I105" s="97">
        <v>0</v>
      </c>
      <c r="J105" s="97">
        <v>0</v>
      </c>
      <c r="K105" s="97">
        <f>G105*8</f>
        <v>9496</v>
      </c>
      <c r="L105" s="97">
        <v>0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0</v>
      </c>
      <c r="S105" s="97">
        <v>0</v>
      </c>
      <c r="T105" s="97">
        <v>0</v>
      </c>
      <c r="U105" s="36">
        <f t="shared" si="15"/>
        <v>9496</v>
      </c>
    </row>
    <row r="106" spans="1:25">
      <c r="A106" s="162" t="s">
        <v>242</v>
      </c>
      <c r="B106" s="165" t="s">
        <v>241</v>
      </c>
      <c r="C106" s="166" t="s">
        <v>61</v>
      </c>
      <c r="D106" s="8"/>
      <c r="E106" s="65"/>
      <c r="F106" s="52">
        <v>2</v>
      </c>
      <c r="G106" s="52">
        <v>311.55</v>
      </c>
      <c r="H106" s="127">
        <f t="shared" si="20"/>
        <v>0.62309999999999999</v>
      </c>
      <c r="I106" s="97">
        <v>0</v>
      </c>
      <c r="J106" s="97">
        <v>0</v>
      </c>
      <c r="K106" s="97">
        <f>G106*2</f>
        <v>623.1</v>
      </c>
      <c r="L106" s="97">
        <v>0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0</v>
      </c>
      <c r="S106" s="97">
        <v>0</v>
      </c>
      <c r="T106" s="97">
        <v>0</v>
      </c>
      <c r="U106" s="36">
        <f t="shared" si="15"/>
        <v>623.1</v>
      </c>
    </row>
    <row r="107" spans="1:25">
      <c r="A107" s="158"/>
      <c r="B107" s="159" t="s">
        <v>240</v>
      </c>
      <c r="C107" s="160" t="s">
        <v>61</v>
      </c>
      <c r="D107" s="161"/>
      <c r="E107" s="148"/>
      <c r="F107" s="148">
        <v>1</v>
      </c>
      <c r="G107" s="148">
        <v>470</v>
      </c>
      <c r="H107" s="127">
        <f t="shared" si="20"/>
        <v>0.47</v>
      </c>
      <c r="I107" s="36">
        <v>0</v>
      </c>
      <c r="J107" s="36">
        <v>0</v>
      </c>
      <c r="K107" s="36">
        <v>0</v>
      </c>
      <c r="L107" s="36">
        <v>0</v>
      </c>
      <c r="M107" s="36">
        <f>G107</f>
        <v>470</v>
      </c>
      <c r="N107" s="97">
        <v>0</v>
      </c>
      <c r="O107" s="97">
        <v>0</v>
      </c>
      <c r="P107" s="97">
        <v>0</v>
      </c>
      <c r="Q107" s="97">
        <v>0</v>
      </c>
      <c r="R107" s="97">
        <v>0</v>
      </c>
      <c r="S107" s="97">
        <v>0</v>
      </c>
      <c r="T107" s="97">
        <v>0</v>
      </c>
      <c r="U107" s="36">
        <f t="shared" si="15"/>
        <v>470</v>
      </c>
    </row>
    <row r="108" spans="1:25" ht="25.5">
      <c r="A108" s="130" t="s">
        <v>210</v>
      </c>
      <c r="B108" s="131" t="s">
        <v>137</v>
      </c>
      <c r="C108" s="130" t="s">
        <v>138</v>
      </c>
      <c r="D108" s="8"/>
      <c r="E108" s="65"/>
      <c r="F108" s="52">
        <v>2</v>
      </c>
      <c r="G108" s="52">
        <v>206.54</v>
      </c>
      <c r="H108" s="127">
        <f t="shared" si="20"/>
        <v>0.41308</v>
      </c>
      <c r="I108" s="97">
        <v>0</v>
      </c>
      <c r="J108" s="97">
        <v>0</v>
      </c>
      <c r="K108" s="97">
        <v>0</v>
      </c>
      <c r="L108" s="97">
        <v>0</v>
      </c>
      <c r="M108" s="97">
        <f>G108*2</f>
        <v>413.08</v>
      </c>
      <c r="N108" s="97">
        <v>0</v>
      </c>
      <c r="O108" s="97">
        <v>0</v>
      </c>
      <c r="P108" s="97">
        <v>0</v>
      </c>
      <c r="Q108" s="97">
        <v>0</v>
      </c>
      <c r="R108" s="97">
        <v>0</v>
      </c>
      <c r="S108" s="97">
        <v>0</v>
      </c>
      <c r="T108" s="97">
        <v>0</v>
      </c>
      <c r="U108" s="36">
        <f t="shared" si="15"/>
        <v>413.08</v>
      </c>
    </row>
    <row r="109" spans="1:25" ht="25.5" customHeight="1">
      <c r="A109" s="162" t="s">
        <v>146</v>
      </c>
      <c r="B109" s="163" t="s">
        <v>159</v>
      </c>
      <c r="C109" s="164" t="s">
        <v>160</v>
      </c>
      <c r="D109" s="87"/>
      <c r="E109" s="52"/>
      <c r="F109" s="52">
        <v>1</v>
      </c>
      <c r="G109" s="52">
        <v>403.69</v>
      </c>
      <c r="H109" s="127">
        <f t="shared" si="20"/>
        <v>0.40368999999999999</v>
      </c>
      <c r="I109" s="36">
        <v>0</v>
      </c>
      <c r="J109" s="36">
        <v>0</v>
      </c>
      <c r="K109" s="36">
        <v>0</v>
      </c>
      <c r="L109" s="36">
        <v>0</v>
      </c>
      <c r="M109" s="36">
        <f>G109</f>
        <v>403.69</v>
      </c>
      <c r="N109" s="97">
        <v>0</v>
      </c>
      <c r="O109" s="97">
        <v>0</v>
      </c>
      <c r="P109" s="97">
        <v>0</v>
      </c>
      <c r="Q109" s="97">
        <v>0</v>
      </c>
      <c r="R109" s="97">
        <v>0</v>
      </c>
      <c r="S109" s="97">
        <v>0</v>
      </c>
      <c r="T109" s="97">
        <v>0</v>
      </c>
      <c r="U109" s="36">
        <f t="shared" si="15"/>
        <v>403.69</v>
      </c>
    </row>
    <row r="110" spans="1:25" ht="25.5">
      <c r="A110" s="130" t="s">
        <v>207</v>
      </c>
      <c r="B110" s="131" t="s">
        <v>148</v>
      </c>
      <c r="C110" s="130" t="s">
        <v>61</v>
      </c>
      <c r="D110" s="8"/>
      <c r="E110" s="65"/>
      <c r="F110" s="52">
        <v>3</v>
      </c>
      <c r="G110" s="52">
        <v>189.88</v>
      </c>
      <c r="H110" s="127">
        <f t="shared" si="20"/>
        <v>0.56964000000000004</v>
      </c>
      <c r="I110" s="97">
        <v>0</v>
      </c>
      <c r="J110" s="97">
        <v>0</v>
      </c>
      <c r="K110" s="97">
        <v>0</v>
      </c>
      <c r="L110" s="97">
        <v>0</v>
      </c>
      <c r="M110" s="97">
        <f>G110*2</f>
        <v>379.76</v>
      </c>
      <c r="N110" s="97">
        <v>0</v>
      </c>
      <c r="O110" s="97">
        <v>0</v>
      </c>
      <c r="P110" s="97">
        <f>G110</f>
        <v>189.88</v>
      </c>
      <c r="Q110" s="97">
        <v>0</v>
      </c>
      <c r="R110" s="97">
        <v>0</v>
      </c>
      <c r="S110" s="97">
        <v>0</v>
      </c>
      <c r="T110" s="97">
        <v>0</v>
      </c>
      <c r="U110" s="36">
        <f t="shared" si="15"/>
        <v>569.64</v>
      </c>
    </row>
    <row r="111" spans="1:25">
      <c r="A111" s="158" t="s">
        <v>213</v>
      </c>
      <c r="B111" s="167" t="s">
        <v>161</v>
      </c>
      <c r="C111" s="130" t="s">
        <v>61</v>
      </c>
      <c r="D111" s="87"/>
      <c r="E111" s="52"/>
      <c r="F111" s="52">
        <v>2</v>
      </c>
      <c r="G111" s="52">
        <v>189.67</v>
      </c>
      <c r="H111" s="127">
        <f t="shared" si="20"/>
        <v>0.37933999999999996</v>
      </c>
      <c r="I111" s="97">
        <v>0</v>
      </c>
      <c r="J111" s="97">
        <v>0</v>
      </c>
      <c r="K111" s="97">
        <v>0</v>
      </c>
      <c r="L111" s="97">
        <v>0</v>
      </c>
      <c r="M111" s="97">
        <f>G111*2</f>
        <v>379.34</v>
      </c>
      <c r="N111" s="97">
        <v>0</v>
      </c>
      <c r="O111" s="97">
        <v>0</v>
      </c>
      <c r="P111" s="97">
        <v>0</v>
      </c>
      <c r="Q111" s="97">
        <v>0</v>
      </c>
      <c r="R111" s="97">
        <v>0</v>
      </c>
      <c r="S111" s="97">
        <v>0</v>
      </c>
      <c r="T111" s="97">
        <v>0</v>
      </c>
      <c r="U111" s="36">
        <f t="shared" si="15"/>
        <v>379.34</v>
      </c>
      <c r="V111" s="147"/>
      <c r="W111" s="147"/>
      <c r="X111" s="147"/>
      <c r="Y111" s="147"/>
    </row>
    <row r="112" spans="1:25">
      <c r="A112" s="158" t="s">
        <v>146</v>
      </c>
      <c r="B112" s="167" t="s">
        <v>243</v>
      </c>
      <c r="C112" s="130" t="s">
        <v>217</v>
      </c>
      <c r="D112" s="87"/>
      <c r="E112" s="52"/>
      <c r="F112" s="52">
        <v>1</v>
      </c>
      <c r="G112" s="52">
        <v>1725</v>
      </c>
      <c r="H112" s="127">
        <f t="shared" si="20"/>
        <v>1.7250000000000001</v>
      </c>
      <c r="I112" s="97">
        <v>0</v>
      </c>
      <c r="J112" s="97">
        <v>0</v>
      </c>
      <c r="K112" s="97">
        <v>0</v>
      </c>
      <c r="L112" s="97">
        <v>0</v>
      </c>
      <c r="M112" s="97">
        <f>G112</f>
        <v>1725</v>
      </c>
      <c r="N112" s="97">
        <v>0</v>
      </c>
      <c r="O112" s="97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v>0</v>
      </c>
      <c r="U112" s="36">
        <f t="shared" si="15"/>
        <v>1725</v>
      </c>
      <c r="V112" s="147"/>
      <c r="W112" s="147"/>
      <c r="X112" s="147"/>
      <c r="Y112" s="147"/>
    </row>
    <row r="113" spans="1:25" ht="25.5">
      <c r="A113" s="154" t="s">
        <v>232</v>
      </c>
      <c r="B113" s="155" t="s">
        <v>244</v>
      </c>
      <c r="C113" s="154" t="s">
        <v>144</v>
      </c>
      <c r="D113" s="87"/>
      <c r="E113" s="52"/>
      <c r="F113" s="52">
        <v>7</v>
      </c>
      <c r="G113" s="52">
        <v>1046.06</v>
      </c>
      <c r="H113" s="127">
        <f t="shared" si="20"/>
        <v>7.3224200000000002</v>
      </c>
      <c r="I113" s="97">
        <v>0</v>
      </c>
      <c r="J113" s="97">
        <v>0</v>
      </c>
      <c r="K113" s="97">
        <v>0</v>
      </c>
      <c r="L113" s="97">
        <v>0</v>
      </c>
      <c r="M113" s="97">
        <v>0</v>
      </c>
      <c r="N113" s="97">
        <f>G113*(4+3)</f>
        <v>7322.42</v>
      </c>
      <c r="O113" s="97">
        <v>0</v>
      </c>
      <c r="P113" s="97">
        <v>0</v>
      </c>
      <c r="Q113" s="97">
        <v>0</v>
      </c>
      <c r="R113" s="97">
        <v>0</v>
      </c>
      <c r="S113" s="97">
        <v>0</v>
      </c>
      <c r="T113" s="97">
        <v>0</v>
      </c>
      <c r="U113" s="36">
        <f t="shared" si="15"/>
        <v>7322.42</v>
      </c>
    </row>
    <row r="114" spans="1:25" ht="12.75" customHeight="1">
      <c r="A114" s="130" t="s">
        <v>164</v>
      </c>
      <c r="B114" s="131" t="s">
        <v>245</v>
      </c>
      <c r="C114" s="130" t="s">
        <v>61</v>
      </c>
      <c r="D114" s="87"/>
      <c r="E114" s="52"/>
      <c r="F114" s="52">
        <v>2</v>
      </c>
      <c r="G114" s="52">
        <v>63</v>
      </c>
      <c r="H114" s="127">
        <f t="shared" si="20"/>
        <v>0.126</v>
      </c>
      <c r="I114" s="36">
        <v>0</v>
      </c>
      <c r="J114" s="36">
        <v>0</v>
      </c>
      <c r="K114" s="36">
        <v>0</v>
      </c>
      <c r="L114" s="36">
        <v>0</v>
      </c>
      <c r="M114" s="97">
        <v>0</v>
      </c>
      <c r="N114" s="97">
        <f>G114*(1+1)</f>
        <v>126</v>
      </c>
      <c r="O114" s="36">
        <v>0</v>
      </c>
      <c r="P114" s="36">
        <v>0</v>
      </c>
      <c r="Q114" s="97">
        <v>0</v>
      </c>
      <c r="R114" s="97">
        <v>0</v>
      </c>
      <c r="S114" s="97">
        <v>0</v>
      </c>
      <c r="T114" s="97">
        <v>0</v>
      </c>
      <c r="U114" s="36">
        <f t="shared" si="15"/>
        <v>126</v>
      </c>
    </row>
    <row r="115" spans="1:25" ht="12.75" customHeight="1">
      <c r="A115" s="130" t="s">
        <v>164</v>
      </c>
      <c r="B115" s="131" t="s">
        <v>246</v>
      </c>
      <c r="C115" s="130" t="s">
        <v>61</v>
      </c>
      <c r="D115" s="87"/>
      <c r="E115" s="52"/>
      <c r="F115" s="52">
        <v>3</v>
      </c>
      <c r="G115" s="52">
        <v>40</v>
      </c>
      <c r="H115" s="127">
        <f t="shared" si="20"/>
        <v>0.12</v>
      </c>
      <c r="I115" s="36">
        <v>0</v>
      </c>
      <c r="J115" s="36">
        <v>0</v>
      </c>
      <c r="K115" s="36">
        <v>0</v>
      </c>
      <c r="L115" s="36">
        <v>0</v>
      </c>
      <c r="M115" s="97">
        <v>0</v>
      </c>
      <c r="N115" s="36">
        <f>G115*(1+2)</f>
        <v>120</v>
      </c>
      <c r="O115" s="36">
        <v>0</v>
      </c>
      <c r="P115" s="36">
        <v>0</v>
      </c>
      <c r="Q115" s="97">
        <v>0</v>
      </c>
      <c r="R115" s="97">
        <v>0</v>
      </c>
      <c r="S115" s="97">
        <v>0</v>
      </c>
      <c r="T115" s="97">
        <v>0</v>
      </c>
      <c r="U115" s="36">
        <f t="shared" si="15"/>
        <v>120</v>
      </c>
    </row>
    <row r="116" spans="1:25">
      <c r="A116" s="130" t="s">
        <v>146</v>
      </c>
      <c r="B116" s="131" t="s">
        <v>265</v>
      </c>
      <c r="C116" s="130" t="s">
        <v>38</v>
      </c>
      <c r="D116" s="8"/>
      <c r="E116" s="65"/>
      <c r="F116" s="52">
        <f>(31.27+53.73+90.59+87.34+81.27)-(9.504*6)</f>
        <v>287.17599999999999</v>
      </c>
      <c r="G116" s="52">
        <v>42.61</v>
      </c>
      <c r="H116" s="52">
        <f t="shared" si="20"/>
        <v>12.236569359999999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36">
        <f>G116*F116</f>
        <v>12236.56936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f>SUM(I116:T116)</f>
        <v>12236.56936</v>
      </c>
    </row>
    <row r="117" spans="1:25" s="168" customFormat="1" ht="25.5" customHeight="1">
      <c r="A117" s="130" t="s">
        <v>249</v>
      </c>
      <c r="B117" s="131" t="s">
        <v>250</v>
      </c>
      <c r="C117" s="130" t="s">
        <v>163</v>
      </c>
      <c r="D117" s="87"/>
      <c r="E117" s="52"/>
      <c r="F117" s="52">
        <f>16/10</f>
        <v>1.6</v>
      </c>
      <c r="G117" s="52">
        <v>2064.25</v>
      </c>
      <c r="H117" s="153">
        <f t="shared" si="20"/>
        <v>3.3028000000000004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f>G117*1.6</f>
        <v>3302.8</v>
      </c>
      <c r="P117" s="97">
        <v>0</v>
      </c>
      <c r="Q117" s="97">
        <v>0</v>
      </c>
      <c r="R117" s="97">
        <v>0</v>
      </c>
      <c r="S117" s="97">
        <v>0</v>
      </c>
      <c r="T117" s="97">
        <v>0</v>
      </c>
      <c r="U117" s="36">
        <f t="shared" ref="U117:U125" si="21">SUM(I117:Q117)</f>
        <v>3302.8</v>
      </c>
    </row>
    <row r="118" spans="1:25">
      <c r="A118" s="154" t="s">
        <v>247</v>
      </c>
      <c r="B118" s="155" t="s">
        <v>248</v>
      </c>
      <c r="C118" s="154" t="s">
        <v>144</v>
      </c>
      <c r="D118" s="8"/>
      <c r="E118" s="65"/>
      <c r="F118" s="52">
        <v>1</v>
      </c>
      <c r="G118" s="52">
        <f>1334.87+2373</f>
        <v>3707.87</v>
      </c>
      <c r="H118" s="52">
        <f t="shared" si="20"/>
        <v>3.7078699999999998</v>
      </c>
      <c r="I118" s="97">
        <v>0</v>
      </c>
      <c r="J118" s="97">
        <v>0</v>
      </c>
      <c r="K118" s="97">
        <v>0</v>
      </c>
      <c r="L118" s="97">
        <v>0</v>
      </c>
      <c r="M118" s="97">
        <v>0</v>
      </c>
      <c r="N118" s="97">
        <v>0</v>
      </c>
      <c r="O118" s="97">
        <v>0</v>
      </c>
      <c r="P118" s="97">
        <f>G118</f>
        <v>3707.87</v>
      </c>
      <c r="Q118" s="97">
        <v>0</v>
      </c>
      <c r="R118" s="97">
        <v>0</v>
      </c>
      <c r="S118" s="97">
        <v>0</v>
      </c>
      <c r="T118" s="97">
        <v>0</v>
      </c>
      <c r="U118" s="36">
        <f t="shared" si="21"/>
        <v>3707.87</v>
      </c>
    </row>
    <row r="119" spans="1:25" ht="25.5">
      <c r="A119" s="132" t="s">
        <v>209</v>
      </c>
      <c r="B119" s="131" t="s">
        <v>143</v>
      </c>
      <c r="C119" s="130" t="s">
        <v>144</v>
      </c>
      <c r="D119" s="8"/>
      <c r="E119" s="65"/>
      <c r="F119" s="52">
        <v>2</v>
      </c>
      <c r="G119" s="52">
        <v>589.84</v>
      </c>
      <c r="H119" s="127">
        <f t="shared" si="20"/>
        <v>1.1796800000000001</v>
      </c>
      <c r="I119" s="97">
        <v>0</v>
      </c>
      <c r="J119" s="97">
        <v>0</v>
      </c>
      <c r="K119" s="97">
        <v>0</v>
      </c>
      <c r="L119" s="97">
        <v>0</v>
      </c>
      <c r="M119" s="97">
        <v>0</v>
      </c>
      <c r="N119" s="97">
        <v>0</v>
      </c>
      <c r="O119" s="97">
        <v>0</v>
      </c>
      <c r="P119" s="97">
        <f>G119</f>
        <v>589.84</v>
      </c>
      <c r="Q119" s="97">
        <f>G119</f>
        <v>589.84</v>
      </c>
      <c r="R119" s="97">
        <v>0</v>
      </c>
      <c r="S119" s="97">
        <v>0</v>
      </c>
      <c r="T119" s="97">
        <v>0</v>
      </c>
      <c r="U119" s="36">
        <f t="shared" si="21"/>
        <v>1179.68</v>
      </c>
    </row>
    <row r="120" spans="1:25" ht="25.5">
      <c r="A120" s="132" t="s">
        <v>135</v>
      </c>
      <c r="B120" s="131" t="s">
        <v>215</v>
      </c>
      <c r="C120" s="130" t="s">
        <v>136</v>
      </c>
      <c r="D120" s="8"/>
      <c r="E120" s="65"/>
      <c r="F120" s="52">
        <v>1</v>
      </c>
      <c r="G120" s="52">
        <v>1272</v>
      </c>
      <c r="H120" s="127">
        <f t="shared" si="20"/>
        <v>1.272</v>
      </c>
      <c r="I120" s="97">
        <v>0</v>
      </c>
      <c r="J120" s="97">
        <v>0</v>
      </c>
      <c r="K120" s="97">
        <v>0</v>
      </c>
      <c r="L120" s="97">
        <v>0</v>
      </c>
      <c r="M120" s="97">
        <v>0</v>
      </c>
      <c r="N120" s="97">
        <v>0</v>
      </c>
      <c r="O120" s="97">
        <v>0</v>
      </c>
      <c r="P120" s="97">
        <v>0</v>
      </c>
      <c r="Q120" s="97">
        <f>G120</f>
        <v>1272</v>
      </c>
      <c r="R120" s="97">
        <v>0</v>
      </c>
      <c r="S120" s="97">
        <v>0</v>
      </c>
      <c r="T120" s="97">
        <v>0</v>
      </c>
      <c r="U120" s="36">
        <f t="shared" si="21"/>
        <v>1272</v>
      </c>
    </row>
    <row r="121" spans="1:25" ht="25.5">
      <c r="A121" s="154" t="s">
        <v>251</v>
      </c>
      <c r="B121" s="155" t="s">
        <v>252</v>
      </c>
      <c r="C121" s="154" t="s">
        <v>144</v>
      </c>
      <c r="D121" s="8"/>
      <c r="E121" s="65"/>
      <c r="F121" s="52">
        <v>1</v>
      </c>
      <c r="G121" s="52">
        <v>4369.6099999999997</v>
      </c>
      <c r="H121" s="127">
        <f t="shared" si="20"/>
        <v>4.3696099999999998</v>
      </c>
      <c r="I121" s="97">
        <v>0</v>
      </c>
      <c r="J121" s="97">
        <v>0</v>
      </c>
      <c r="K121" s="97">
        <v>0</v>
      </c>
      <c r="L121" s="97">
        <v>0</v>
      </c>
      <c r="M121" s="97">
        <v>0</v>
      </c>
      <c r="N121" s="97">
        <v>0</v>
      </c>
      <c r="O121" s="97">
        <v>0</v>
      </c>
      <c r="P121" s="97">
        <v>0</v>
      </c>
      <c r="Q121" s="97">
        <f>G121</f>
        <v>4369.6099999999997</v>
      </c>
      <c r="R121" s="97">
        <v>0</v>
      </c>
      <c r="S121" s="97">
        <v>0</v>
      </c>
      <c r="T121" s="97">
        <v>0</v>
      </c>
      <c r="U121" s="36">
        <f t="shared" si="21"/>
        <v>4369.6099999999997</v>
      </c>
    </row>
    <row r="122" spans="1:25" ht="51">
      <c r="A122" s="130" t="s">
        <v>211</v>
      </c>
      <c r="B122" s="131" t="s">
        <v>162</v>
      </c>
      <c r="C122" s="130" t="s">
        <v>163</v>
      </c>
      <c r="D122" s="8"/>
      <c r="E122" s="65"/>
      <c r="F122" s="52">
        <f>(15+20)/10</f>
        <v>3.5</v>
      </c>
      <c r="G122" s="52">
        <v>4084.72</v>
      </c>
      <c r="H122" s="127">
        <f t="shared" si="20"/>
        <v>14.296519999999999</v>
      </c>
      <c r="I122" s="97">
        <v>0</v>
      </c>
      <c r="J122" s="97">
        <v>0</v>
      </c>
      <c r="K122" s="97">
        <v>0</v>
      </c>
      <c r="L122" s="97">
        <v>0</v>
      </c>
      <c r="M122" s="97">
        <v>0</v>
      </c>
      <c r="N122" s="97">
        <v>0</v>
      </c>
      <c r="O122" s="97">
        <v>0</v>
      </c>
      <c r="P122" s="97">
        <v>0</v>
      </c>
      <c r="Q122" s="97">
        <f>G122*((15+20)/10)</f>
        <v>14296.519999999999</v>
      </c>
      <c r="R122" s="97">
        <v>0</v>
      </c>
      <c r="S122" s="97">
        <v>0</v>
      </c>
      <c r="T122" s="97">
        <v>0</v>
      </c>
      <c r="U122" s="36">
        <f t="shared" si="21"/>
        <v>14296.519999999999</v>
      </c>
    </row>
    <row r="123" spans="1:25">
      <c r="A123" s="130" t="s">
        <v>146</v>
      </c>
      <c r="B123" s="131" t="s">
        <v>216</v>
      </c>
      <c r="C123" s="130" t="s">
        <v>217</v>
      </c>
      <c r="D123" s="87"/>
      <c r="E123" s="52"/>
      <c r="F123" s="52">
        <v>3</v>
      </c>
      <c r="G123" s="148">
        <v>1582</v>
      </c>
      <c r="H123" s="127">
        <f t="shared" si="20"/>
        <v>4.7460000000000004</v>
      </c>
      <c r="I123" s="97">
        <v>0</v>
      </c>
      <c r="J123" s="97">
        <v>0</v>
      </c>
      <c r="K123" s="97">
        <v>0</v>
      </c>
      <c r="L123" s="97">
        <v>0</v>
      </c>
      <c r="M123" s="97">
        <v>0</v>
      </c>
      <c r="N123" s="97">
        <v>0</v>
      </c>
      <c r="O123" s="97">
        <v>0</v>
      </c>
      <c r="P123" s="97">
        <v>0</v>
      </c>
      <c r="Q123" s="97">
        <f>G123*(1+2)</f>
        <v>4746</v>
      </c>
      <c r="R123" s="97">
        <v>0</v>
      </c>
      <c r="S123" s="97">
        <v>0</v>
      </c>
      <c r="T123" s="97">
        <v>0</v>
      </c>
      <c r="U123" s="36">
        <f t="shared" si="21"/>
        <v>4746</v>
      </c>
      <c r="V123" s="147"/>
      <c r="W123" s="147"/>
      <c r="X123" s="147"/>
      <c r="Y123" s="147"/>
    </row>
    <row r="124" spans="1:25" ht="25.5">
      <c r="A124" s="130" t="s">
        <v>214</v>
      </c>
      <c r="B124" s="131" t="s">
        <v>264</v>
      </c>
      <c r="C124" s="132" t="s">
        <v>167</v>
      </c>
      <c r="D124" s="87"/>
      <c r="E124" s="52"/>
      <c r="F124" s="52">
        <v>3</v>
      </c>
      <c r="G124" s="52">
        <v>294.45</v>
      </c>
      <c r="H124" s="127">
        <f t="shared" si="20"/>
        <v>0.88334999999999986</v>
      </c>
      <c r="I124" s="97">
        <v>0</v>
      </c>
      <c r="J124" s="97">
        <v>0</v>
      </c>
      <c r="K124" s="97">
        <v>0</v>
      </c>
      <c r="L124" s="97">
        <v>0</v>
      </c>
      <c r="M124" s="97">
        <v>0</v>
      </c>
      <c r="N124" s="97">
        <v>0</v>
      </c>
      <c r="O124" s="97">
        <v>0</v>
      </c>
      <c r="P124" s="97">
        <v>0</v>
      </c>
      <c r="Q124" s="97">
        <f>G124*3</f>
        <v>883.34999999999991</v>
      </c>
      <c r="R124" s="97">
        <v>0</v>
      </c>
      <c r="S124" s="97">
        <v>0</v>
      </c>
      <c r="T124" s="97">
        <v>0</v>
      </c>
      <c r="U124" s="36">
        <f t="shared" si="21"/>
        <v>883.34999999999991</v>
      </c>
      <c r="V124" s="147"/>
      <c r="W124" s="147"/>
      <c r="X124" s="147"/>
      <c r="Y124" s="147"/>
    </row>
    <row r="125" spans="1:25" ht="25.5">
      <c r="A125" s="162" t="s">
        <v>255</v>
      </c>
      <c r="B125" s="155" t="s">
        <v>256</v>
      </c>
      <c r="C125" s="166" t="s">
        <v>254</v>
      </c>
      <c r="D125" s="87"/>
      <c r="E125" s="52"/>
      <c r="F125" s="52">
        <f>0.9/10</f>
        <v>0.09</v>
      </c>
      <c r="G125" s="148">
        <v>14419.85</v>
      </c>
      <c r="H125" s="127">
        <f t="shared" si="20"/>
        <v>1.2977865</v>
      </c>
      <c r="I125" s="97">
        <v>0</v>
      </c>
      <c r="J125" s="97">
        <v>0</v>
      </c>
      <c r="K125" s="97">
        <v>0</v>
      </c>
      <c r="L125" s="97">
        <v>0</v>
      </c>
      <c r="M125" s="97">
        <v>0</v>
      </c>
      <c r="N125" s="97">
        <v>0</v>
      </c>
      <c r="O125" s="97">
        <v>0</v>
      </c>
      <c r="P125" s="97">
        <v>0</v>
      </c>
      <c r="Q125" s="97">
        <f>G125*0.09</f>
        <v>1297.7864999999999</v>
      </c>
      <c r="R125" s="97">
        <v>0</v>
      </c>
      <c r="S125" s="97">
        <v>0</v>
      </c>
      <c r="T125" s="97">
        <v>0</v>
      </c>
      <c r="U125" s="36">
        <f t="shared" si="21"/>
        <v>1297.7864999999999</v>
      </c>
      <c r="V125" s="147"/>
      <c r="W125" s="147"/>
      <c r="X125" s="147"/>
      <c r="Y125" s="147"/>
    </row>
    <row r="126" spans="1:25" s="18" customFormat="1">
      <c r="A126" s="98"/>
      <c r="B126" s="99" t="s">
        <v>95</v>
      </c>
      <c r="C126" s="98"/>
      <c r="D126" s="98"/>
      <c r="E126" s="92"/>
      <c r="F126" s="92"/>
      <c r="G126" s="92"/>
      <c r="H126" s="44">
        <f>SUM(H88:H125)</f>
        <v>95.153274459999992</v>
      </c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43">
        <f>SUM(U88:U125)</f>
        <v>95153.274460000001</v>
      </c>
    </row>
    <row r="127" spans="1:25">
      <c r="A127" s="95"/>
      <c r="B127" s="100"/>
      <c r="C127" s="101"/>
      <c r="D127" s="101"/>
      <c r="E127" s="52"/>
      <c r="F127" s="52"/>
      <c r="G127" s="52"/>
      <c r="H127" s="102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125"/>
    </row>
    <row r="128" spans="1:25" ht="12" customHeight="1">
      <c r="A128" s="141"/>
      <c r="B128" s="17" t="s">
        <v>96</v>
      </c>
      <c r="C128" s="64"/>
      <c r="D128" s="87"/>
      <c r="E128" s="52"/>
      <c r="F128" s="52"/>
      <c r="G128" s="52"/>
      <c r="H128" s="103">
        <f>H126/E129/12*1000</f>
        <v>2.0171558225218345</v>
      </c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125"/>
    </row>
    <row r="129" spans="1:21" s="18" customFormat="1">
      <c r="A129" s="82"/>
      <c r="B129" s="104" t="s">
        <v>97</v>
      </c>
      <c r="C129" s="105"/>
      <c r="D129" s="104"/>
      <c r="E129" s="146">
        <v>3931</v>
      </c>
      <c r="F129" s="106">
        <f>SUM(E129*12)</f>
        <v>47172</v>
      </c>
      <c r="G129" s="107">
        <f>H86+H128</f>
        <v>23.296319436619179</v>
      </c>
      <c r="H129" s="108">
        <f>SUM(F129*G129/1000)</f>
        <v>1098.9339804641997</v>
      </c>
      <c r="I129" s="92">
        <f t="shared" ref="I129:T129" si="22">SUM(I11:I128)</f>
        <v>93685.037585783342</v>
      </c>
      <c r="J129" s="92">
        <f t="shared" si="22"/>
        <v>67884.580285783333</v>
      </c>
      <c r="K129" s="92">
        <f t="shared" si="22"/>
        <v>111980.76359878335</v>
      </c>
      <c r="L129" s="92">
        <f t="shared" si="22"/>
        <v>69287.232898783346</v>
      </c>
      <c r="M129" s="92">
        <f t="shared" si="22"/>
        <v>191391.0857849</v>
      </c>
      <c r="N129" s="92">
        <f t="shared" si="22"/>
        <v>77459.025000199996</v>
      </c>
      <c r="O129" s="92">
        <f t="shared" si="22"/>
        <v>59432.385640200002</v>
      </c>
      <c r="P129" s="92">
        <f t="shared" si="22"/>
        <v>60322.725640199998</v>
      </c>
      <c r="Q129" s="92">
        <f t="shared" si="22"/>
        <v>119502.54223780005</v>
      </c>
      <c r="R129" s="92">
        <f t="shared" si="22"/>
        <v>55835.135640200002</v>
      </c>
      <c r="S129" s="92">
        <f t="shared" si="22"/>
        <v>63478.779556783338</v>
      </c>
      <c r="T129" s="92">
        <f t="shared" si="22"/>
        <v>64798.761956783339</v>
      </c>
      <c r="U129" s="43">
        <f>U83+U126</f>
        <v>891758.15229990473</v>
      </c>
    </row>
    <row r="130" spans="1:21">
      <c r="A130" s="67"/>
      <c r="B130" s="67"/>
      <c r="C130" s="67"/>
      <c r="D130" s="67"/>
      <c r="E130" s="109"/>
      <c r="F130" s="109"/>
      <c r="G130" s="109"/>
      <c r="H130" s="109"/>
      <c r="I130" s="109"/>
      <c r="J130" s="109"/>
      <c r="K130" s="109"/>
      <c r="L130" s="109"/>
      <c r="M130" s="67"/>
      <c r="N130" s="109"/>
      <c r="O130" s="67"/>
      <c r="P130" s="67"/>
      <c r="Q130" s="67"/>
      <c r="R130" s="67"/>
      <c r="S130" s="67"/>
      <c r="T130" s="67"/>
      <c r="U130" s="67"/>
    </row>
    <row r="131" spans="1:21">
      <c r="A131" s="67"/>
      <c r="B131" s="67"/>
      <c r="C131" s="67"/>
      <c r="D131" s="67"/>
      <c r="E131" s="109"/>
      <c r="F131" s="109"/>
      <c r="G131" s="109"/>
      <c r="H131" s="109"/>
      <c r="I131" s="109"/>
      <c r="J131" s="110"/>
      <c r="K131" s="111"/>
      <c r="L131" s="110"/>
      <c r="M131" s="109"/>
      <c r="N131" s="67"/>
      <c r="O131" s="67"/>
      <c r="P131" s="67"/>
      <c r="Q131" s="67"/>
      <c r="R131" s="67"/>
      <c r="S131" s="67"/>
      <c r="T131" s="67"/>
      <c r="U131" s="67"/>
    </row>
    <row r="132" spans="1:21" ht="45">
      <c r="A132" s="67"/>
      <c r="B132" s="112" t="s">
        <v>222</v>
      </c>
      <c r="C132" s="174">
        <v>-275430.11</v>
      </c>
      <c r="D132" s="175"/>
      <c r="E132" s="175"/>
      <c r="F132" s="176"/>
      <c r="G132" s="109"/>
      <c r="H132" s="109"/>
      <c r="I132" s="109"/>
      <c r="J132" s="110"/>
      <c r="K132" s="111"/>
      <c r="L132" s="110"/>
      <c r="M132" s="109"/>
      <c r="N132" s="67"/>
      <c r="O132" s="67"/>
      <c r="P132" s="67"/>
      <c r="Q132" s="67"/>
      <c r="R132" s="67"/>
      <c r="S132" s="67"/>
      <c r="T132" s="67"/>
      <c r="U132" s="67"/>
    </row>
    <row r="133" spans="1:21" ht="30">
      <c r="A133" s="67"/>
      <c r="B133" s="21" t="s">
        <v>260</v>
      </c>
      <c r="C133" s="178">
        <f>94504.34*9</f>
        <v>850539.05999999994</v>
      </c>
      <c r="D133" s="179"/>
      <c r="E133" s="179"/>
      <c r="F133" s="180"/>
      <c r="G133" s="109"/>
      <c r="H133" s="109"/>
      <c r="I133" s="109"/>
      <c r="J133" s="110"/>
      <c r="K133" s="111"/>
      <c r="L133" s="110"/>
      <c r="M133" s="109"/>
      <c r="N133" s="67"/>
      <c r="O133" s="67"/>
      <c r="P133" s="67"/>
      <c r="Q133" s="67"/>
      <c r="R133" s="67"/>
      <c r="S133" s="67"/>
      <c r="T133" s="67"/>
      <c r="U133" s="67"/>
    </row>
    <row r="134" spans="1:21" ht="30">
      <c r="A134" s="67"/>
      <c r="B134" s="21" t="s">
        <v>261</v>
      </c>
      <c r="C134" s="178">
        <f>SUM(U129-U126)</f>
        <v>796604.87783990474</v>
      </c>
      <c r="D134" s="179"/>
      <c r="E134" s="179"/>
      <c r="F134" s="180"/>
      <c r="G134" s="109"/>
      <c r="H134" s="109"/>
      <c r="I134" s="109"/>
      <c r="J134" s="110"/>
      <c r="K134" s="111"/>
      <c r="L134" s="110"/>
      <c r="M134" s="109"/>
      <c r="N134" s="67"/>
      <c r="O134" s="67"/>
      <c r="P134" s="67"/>
      <c r="Q134" s="67"/>
      <c r="R134" s="67"/>
      <c r="S134" s="67"/>
      <c r="T134" s="67"/>
      <c r="U134" s="67"/>
    </row>
    <row r="135" spans="1:21" ht="30">
      <c r="A135" s="67"/>
      <c r="B135" s="21" t="s">
        <v>262</v>
      </c>
      <c r="C135" s="178">
        <f>SUM(U126)</f>
        <v>95153.274460000001</v>
      </c>
      <c r="D135" s="179"/>
      <c r="E135" s="179"/>
      <c r="F135" s="180"/>
      <c r="G135" s="109"/>
      <c r="H135" s="109"/>
      <c r="I135" s="109"/>
      <c r="J135" s="110"/>
      <c r="K135" s="111"/>
      <c r="L135" s="110"/>
      <c r="M135" s="109"/>
      <c r="N135" s="67"/>
      <c r="O135" s="67"/>
      <c r="P135" s="67"/>
      <c r="Q135" s="67"/>
      <c r="R135" s="67"/>
      <c r="S135" s="67"/>
      <c r="T135" s="67"/>
      <c r="U135" s="67"/>
    </row>
    <row r="136" spans="1:21" ht="30">
      <c r="A136" s="67"/>
      <c r="B136" s="120" t="s">
        <v>263</v>
      </c>
      <c r="C136" s="178">
        <f>96931.4+72267.83+92095.75+83983.95+77929.22+79219.06+84643.98+84737.6+90556.53</f>
        <v>762365.32000000007</v>
      </c>
      <c r="D136" s="179"/>
      <c r="E136" s="179"/>
      <c r="F136" s="180"/>
      <c r="G136" s="67"/>
      <c r="I136" s="113" t="s">
        <v>102</v>
      </c>
      <c r="J136" s="114"/>
      <c r="K136" s="115"/>
      <c r="L136" s="116"/>
      <c r="M136" s="113"/>
      <c r="N136" s="113"/>
      <c r="O136" s="67"/>
      <c r="P136" s="67"/>
      <c r="Q136" s="67"/>
      <c r="R136" s="67"/>
      <c r="S136" s="67"/>
      <c r="T136" s="67"/>
      <c r="U136" s="67"/>
    </row>
    <row r="137" spans="1:21" ht="78.75" customHeight="1">
      <c r="A137" s="67"/>
      <c r="B137" s="22" t="s">
        <v>257</v>
      </c>
      <c r="C137" s="181">
        <v>583211.04</v>
      </c>
      <c r="D137" s="182"/>
      <c r="E137" s="182"/>
      <c r="F137" s="183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</row>
    <row r="138" spans="1:21" ht="45">
      <c r="A138" s="67"/>
      <c r="B138" s="117" t="s">
        <v>258</v>
      </c>
      <c r="C138" s="177">
        <f>SUM(U129-C133)+C132</f>
        <v>-234211.0177000952</v>
      </c>
      <c r="D138" s="175"/>
      <c r="E138" s="175"/>
      <c r="F138" s="176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</row>
    <row r="140" spans="1:21">
      <c r="J140" s="3"/>
      <c r="K140" s="4"/>
      <c r="L140" s="4"/>
      <c r="M140" s="2"/>
    </row>
    <row r="141" spans="1:21">
      <c r="G141" s="5"/>
      <c r="H141" s="5"/>
    </row>
    <row r="142" spans="1:21">
      <c r="G142" s="6"/>
    </row>
  </sheetData>
  <mergeCells count="12">
    <mergeCell ref="C132:F132"/>
    <mergeCell ref="C138:F138"/>
    <mergeCell ref="C133:F133"/>
    <mergeCell ref="C134:F134"/>
    <mergeCell ref="C135:F135"/>
    <mergeCell ref="C136:F136"/>
    <mergeCell ref="C137:F137"/>
    <mergeCell ref="B3:L3"/>
    <mergeCell ref="B4:L4"/>
    <mergeCell ref="B5:L5"/>
    <mergeCell ref="B6:L6"/>
    <mergeCell ref="X86:AB86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Косм.,8</vt:lpstr>
      <vt:lpstr>'Косм.,8'!Область_печати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2018-03-27T07:59:36Z</dcterms:modified>
</cp:coreProperties>
</file>