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,1" sheetId="1" r:id="rId1"/>
  </sheets>
  <definedNames>
    <definedName name="_xlnm.Print_Area" localSheetId="0">'Нефт.,1'!$A$1:$U$126</definedName>
  </definedNames>
  <calcPr calcId="124519"/>
</workbook>
</file>

<file path=xl/calcChain.xml><?xml version="1.0" encoding="utf-8"?>
<calcChain xmlns="http://schemas.openxmlformats.org/spreadsheetml/2006/main">
  <c r="L39" i="1"/>
  <c r="K39"/>
  <c r="T83"/>
  <c r="R83"/>
  <c r="R84"/>
  <c r="T113"/>
  <c r="U113"/>
  <c r="H113"/>
  <c r="C124"/>
  <c r="C121"/>
  <c r="U82" l="1"/>
  <c r="U85"/>
  <c r="U86"/>
  <c r="U87"/>
  <c r="U88"/>
  <c r="U89"/>
  <c r="U90"/>
  <c r="U81"/>
  <c r="U57"/>
  <c r="U61"/>
  <c r="U63"/>
  <c r="U64"/>
  <c r="U72"/>
  <c r="U73"/>
  <c r="U74"/>
  <c r="U75"/>
  <c r="U76"/>
  <c r="U78"/>
  <c r="U30"/>
  <c r="U31"/>
  <c r="Q105"/>
  <c r="Q84"/>
  <c r="U84" s="1"/>
  <c r="P112" l="1"/>
  <c r="U112" s="1"/>
  <c r="N111"/>
  <c r="U111" s="1"/>
  <c r="H111"/>
  <c r="N83"/>
  <c r="U83" s="1"/>
  <c r="R53" l="1"/>
  <c r="R52"/>
  <c r="N52"/>
  <c r="L108"/>
  <c r="U108" s="1"/>
  <c r="H108"/>
  <c r="L107"/>
  <c r="U107" s="1"/>
  <c r="H107"/>
  <c r="L106"/>
  <c r="U106" s="1"/>
  <c r="H106"/>
  <c r="M110" l="1"/>
  <c r="U110" s="1"/>
  <c r="M109"/>
  <c r="U109" s="1"/>
  <c r="H109"/>
  <c r="L105"/>
  <c r="U105" s="1"/>
  <c r="H105"/>
  <c r="L104" l="1"/>
  <c r="U104" s="1"/>
  <c r="J93"/>
  <c r="U93" s="1"/>
  <c r="I103"/>
  <c r="H103"/>
  <c r="U103" l="1"/>
  <c r="U114" s="1"/>
  <c r="C123" s="1"/>
  <c r="T40"/>
  <c r="T35"/>
  <c r="S35"/>
  <c r="Q70" l="1"/>
  <c r="U70" s="1"/>
  <c r="R51"/>
  <c r="S40"/>
  <c r="H104" l="1"/>
  <c r="N53" l="1"/>
  <c r="M51"/>
  <c r="U51" s="1"/>
  <c r="F91"/>
  <c r="Q91" s="1"/>
  <c r="F90"/>
  <c r="H90" s="1"/>
  <c r="F89"/>
  <c r="F88"/>
  <c r="H88" s="1"/>
  <c r="F87"/>
  <c r="H87" s="1"/>
  <c r="F86"/>
  <c r="H86" s="1"/>
  <c r="F85"/>
  <c r="H85" s="1"/>
  <c r="F84"/>
  <c r="H84" s="1"/>
  <c r="H89"/>
  <c r="F83"/>
  <c r="H83" s="1"/>
  <c r="F82"/>
  <c r="H82" s="1"/>
  <c r="H91" l="1"/>
  <c r="M91"/>
  <c r="U91" s="1"/>
  <c r="F81"/>
  <c r="H81" s="1"/>
  <c r="H92" s="1"/>
  <c r="F74"/>
  <c r="H74" s="1"/>
  <c r="F61"/>
  <c r="F59"/>
  <c r="F56"/>
  <c r="F47"/>
  <c r="F39"/>
  <c r="F38"/>
  <c r="F36"/>
  <c r="T56" l="1"/>
  <c r="S56"/>
  <c r="T38"/>
  <c r="S38"/>
  <c r="H47"/>
  <c r="Q47"/>
  <c r="T36"/>
  <c r="S36"/>
  <c r="U92"/>
  <c r="M47"/>
  <c r="U47" s="1"/>
  <c r="M21"/>
  <c r="U21" s="1"/>
  <c r="E28"/>
  <c r="F27"/>
  <c r="Q27" l="1"/>
  <c r="R27"/>
  <c r="P27"/>
  <c r="O27"/>
  <c r="N27"/>
  <c r="M27"/>
  <c r="U27" s="1"/>
  <c r="H27"/>
  <c r="F26"/>
  <c r="M26" s="1"/>
  <c r="U26" s="1"/>
  <c r="F17" l="1"/>
  <c r="F16"/>
  <c r="M17" l="1"/>
  <c r="Q17"/>
  <c r="Q16"/>
  <c r="M16"/>
  <c r="U16" s="1"/>
  <c r="H21"/>
  <c r="U17" l="1"/>
  <c r="I53"/>
  <c r="U53" s="1"/>
  <c r="I52"/>
  <c r="U52" s="1"/>
  <c r="H110"/>
  <c r="H112"/>
  <c r="H114" l="1"/>
  <c r="L40"/>
  <c r="L35"/>
  <c r="K35"/>
  <c r="K40" l="1"/>
  <c r="J35"/>
  <c r="F52" l="1"/>
  <c r="M59"/>
  <c r="U59" s="1"/>
  <c r="F28" l="1"/>
  <c r="H93"/>
  <c r="J40"/>
  <c r="F53"/>
  <c r="I40"/>
  <c r="U40" s="1"/>
  <c r="I35"/>
  <c r="U35" s="1"/>
  <c r="N28" l="1"/>
  <c r="Q28"/>
  <c r="R28"/>
  <c r="P28"/>
  <c r="O28"/>
  <c r="M28"/>
  <c r="U28" s="1"/>
  <c r="H28"/>
  <c r="H75"/>
  <c r="H73"/>
  <c r="H59"/>
  <c r="F15"/>
  <c r="M15" s="1"/>
  <c r="U15" s="1"/>
  <c r="K38" l="1"/>
  <c r="L38"/>
  <c r="I38"/>
  <c r="J38"/>
  <c r="F117"/>
  <c r="H116"/>
  <c r="E96"/>
  <c r="H99" s="1"/>
  <c r="F94"/>
  <c r="H78"/>
  <c r="F72"/>
  <c r="H72" s="1"/>
  <c r="F76"/>
  <c r="H76" s="1"/>
  <c r="F70"/>
  <c r="H70" s="1"/>
  <c r="F69"/>
  <c r="F68"/>
  <c r="F67"/>
  <c r="F66"/>
  <c r="F65"/>
  <c r="H64"/>
  <c r="H63"/>
  <c r="H61"/>
  <c r="H53"/>
  <c r="H52"/>
  <c r="H51"/>
  <c r="F50"/>
  <c r="F49"/>
  <c r="F48"/>
  <c r="F46"/>
  <c r="F45"/>
  <c r="F44"/>
  <c r="F43"/>
  <c r="H40"/>
  <c r="H38"/>
  <c r="F37"/>
  <c r="H35"/>
  <c r="F32"/>
  <c r="H31"/>
  <c r="H30"/>
  <c r="F29"/>
  <c r="H26"/>
  <c r="F25"/>
  <c r="F24"/>
  <c r="F20"/>
  <c r="F19"/>
  <c r="F18"/>
  <c r="F14"/>
  <c r="M14" s="1"/>
  <c r="U14" s="1"/>
  <c r="E13"/>
  <c r="F13" s="1"/>
  <c r="F12"/>
  <c r="F11"/>
  <c r="U38" l="1"/>
  <c r="R49"/>
  <c r="M49"/>
  <c r="T48"/>
  <c r="Q48"/>
  <c r="S94"/>
  <c r="T94"/>
  <c r="T13"/>
  <c r="R13"/>
  <c r="Q13"/>
  <c r="S13"/>
  <c r="P13"/>
  <c r="O13"/>
  <c r="T12"/>
  <c r="Q12"/>
  <c r="S12"/>
  <c r="R12"/>
  <c r="O12"/>
  <c r="P12"/>
  <c r="R24"/>
  <c r="P24"/>
  <c r="Q24"/>
  <c r="M24"/>
  <c r="O24"/>
  <c r="N24"/>
  <c r="T32"/>
  <c r="R32"/>
  <c r="S32"/>
  <c r="Q32"/>
  <c r="P32"/>
  <c r="N32"/>
  <c r="O32"/>
  <c r="T37"/>
  <c r="S37"/>
  <c r="M44"/>
  <c r="Q44"/>
  <c r="M46"/>
  <c r="Q46"/>
  <c r="S11"/>
  <c r="T11"/>
  <c r="R11"/>
  <c r="P11"/>
  <c r="Q11"/>
  <c r="N11"/>
  <c r="O11"/>
  <c r="N25"/>
  <c r="Q25"/>
  <c r="R25"/>
  <c r="P25"/>
  <c r="O25"/>
  <c r="T29"/>
  <c r="S29"/>
  <c r="R29"/>
  <c r="Q29"/>
  <c r="O29"/>
  <c r="P29"/>
  <c r="N29"/>
  <c r="Q43"/>
  <c r="M43"/>
  <c r="M45"/>
  <c r="U45" s="1"/>
  <c r="Q45"/>
  <c r="M48"/>
  <c r="M50"/>
  <c r="R50"/>
  <c r="R94"/>
  <c r="P94"/>
  <c r="Q94"/>
  <c r="O94"/>
  <c r="N94"/>
  <c r="M13"/>
  <c r="N13"/>
  <c r="M12"/>
  <c r="N12"/>
  <c r="M32"/>
  <c r="M11"/>
  <c r="M29"/>
  <c r="M94"/>
  <c r="H65"/>
  <c r="M65"/>
  <c r="U65" s="1"/>
  <c r="H67"/>
  <c r="M67"/>
  <c r="U67" s="1"/>
  <c r="H69"/>
  <c r="M69"/>
  <c r="U69" s="1"/>
  <c r="H66"/>
  <c r="M66"/>
  <c r="U66" s="1"/>
  <c r="H68"/>
  <c r="M68"/>
  <c r="U68" s="1"/>
  <c r="H18"/>
  <c r="M18"/>
  <c r="U18" s="1"/>
  <c r="H20"/>
  <c r="M20"/>
  <c r="U20" s="1"/>
  <c r="H25"/>
  <c r="M25"/>
  <c r="U25" s="1"/>
  <c r="H14"/>
  <c r="H19"/>
  <c r="M19"/>
  <c r="U19" s="1"/>
  <c r="H24"/>
  <c r="L11"/>
  <c r="K11"/>
  <c r="K13"/>
  <c r="L13"/>
  <c r="L32"/>
  <c r="K32"/>
  <c r="K36"/>
  <c r="L36"/>
  <c r="K56"/>
  <c r="L56"/>
  <c r="K12"/>
  <c r="L12"/>
  <c r="L29"/>
  <c r="K29"/>
  <c r="K37"/>
  <c r="L37"/>
  <c r="K94"/>
  <c r="L94"/>
  <c r="J11"/>
  <c r="J32"/>
  <c r="J56"/>
  <c r="J29"/>
  <c r="J94"/>
  <c r="I13"/>
  <c r="U13" s="1"/>
  <c r="J13"/>
  <c r="I12"/>
  <c r="U12" s="1"/>
  <c r="J12"/>
  <c r="I29"/>
  <c r="U29" s="1"/>
  <c r="J37"/>
  <c r="H43"/>
  <c r="H45"/>
  <c r="H49"/>
  <c r="I94"/>
  <c r="U94" s="1"/>
  <c r="I11"/>
  <c r="U11" s="1"/>
  <c r="J36"/>
  <c r="H44"/>
  <c r="H46"/>
  <c r="I48"/>
  <c r="J48"/>
  <c r="H50"/>
  <c r="H37"/>
  <c r="I37"/>
  <c r="U37" s="1"/>
  <c r="H39"/>
  <c r="U39"/>
  <c r="H57"/>
  <c r="H32"/>
  <c r="I32"/>
  <c r="U32" s="1"/>
  <c r="H36"/>
  <c r="I36"/>
  <c r="U36" s="1"/>
  <c r="H56"/>
  <c r="I56"/>
  <c r="U56" s="1"/>
  <c r="H94"/>
  <c r="H29"/>
  <c r="H48"/>
  <c r="H11"/>
  <c r="H12"/>
  <c r="H17"/>
  <c r="H13"/>
  <c r="H16"/>
  <c r="H95"/>
  <c r="F96"/>
  <c r="T96" s="1"/>
  <c r="H15"/>
  <c r="U50" l="1"/>
  <c r="U43"/>
  <c r="U46"/>
  <c r="U44"/>
  <c r="U24"/>
  <c r="U49"/>
  <c r="U48"/>
  <c r="S96"/>
  <c r="Q96"/>
  <c r="R96"/>
  <c r="P96"/>
  <c r="O96"/>
  <c r="N96"/>
  <c r="U95"/>
  <c r="P117"/>
  <c r="T117"/>
  <c r="O117"/>
  <c r="Q117"/>
  <c r="R117"/>
  <c r="S117"/>
  <c r="M96"/>
  <c r="N117"/>
  <c r="H41"/>
  <c r="H79"/>
  <c r="U79"/>
  <c r="H54"/>
  <c r="H33"/>
  <c r="U22"/>
  <c r="K96"/>
  <c r="K117" s="1"/>
  <c r="L96"/>
  <c r="J96"/>
  <c r="J117" s="1"/>
  <c r="U41"/>
  <c r="I96"/>
  <c r="U96" s="1"/>
  <c r="L117"/>
  <c r="U33"/>
  <c r="H22"/>
  <c r="H96"/>
  <c r="H97" s="1"/>
  <c r="H98" l="1"/>
  <c r="H100" s="1"/>
  <c r="I117"/>
  <c r="U54"/>
  <c r="M117"/>
  <c r="U97"/>
  <c r="G117"/>
  <c r="H117" s="1"/>
  <c r="U98" l="1"/>
  <c r="U117" s="1"/>
  <c r="C122" l="1"/>
  <c r="C126" s="1"/>
</calcChain>
</file>

<file path=xl/sharedStrings.xml><?xml version="1.0" encoding="utf-8"?>
<sst xmlns="http://schemas.openxmlformats.org/spreadsheetml/2006/main" count="360" uniqueCount="253">
  <si>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</si>
  <si>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</si>
  <si>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</si>
  <si>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</si>
  <si>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</si>
  <si>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</si>
  <si>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</si>
  <si>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</si>
  <si>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</si>
  <si>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</si>
  <si>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</si>
  <si>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</si>
  <si>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</si>
  <si>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</si>
  <si>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</si>
  <si>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</si>
  <si>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</si>
  <si>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</si>
  <si>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</si>
  <si>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</si>
  <si>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</si>
  <si>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</si>
  <si>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</si>
  <si>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</si>
  <si>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</si>
  <si>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</si>
  <si>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</si>
  <si>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</si>
  <si>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</si>
  <si>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</si>
  <si>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</si>
  <si>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</si>
  <si>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</si>
  <si>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</si>
  <si>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</si>
  <si>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</si>
  <si>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</si>
  <si>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</si>
  <si>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</si>
  <si>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</si>
  <si>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</si>
  <si>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</si>
  <si>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</si>
  <si>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</si>
  <si>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</si>
  <si>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</si>
  <si>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</si>
  <si>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</si>
  <si>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>155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</si>
  <si>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</si>
  <si>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</si>
  <si>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</si>
  <si>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</si>
  <si>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</si>
  <si>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деревянных конструкций стропил</t>
  </si>
  <si>
    <t>100 м3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</si>
  <si>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</si>
  <si>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</si>
  <si>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</si>
  <si>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</si>
  <si>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</si>
  <si>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</si>
  <si>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</si>
  <si>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2-1-1а</t>
  </si>
  <si>
    <t xml:space="preserve">Проверка дымоходов </t>
  </si>
  <si>
    <t>шт</t>
  </si>
  <si>
    <t>2-1-1б</t>
  </si>
  <si>
    <t>Проверка вентканалов</t>
  </si>
  <si>
    <t>Кровля</t>
  </si>
  <si>
    <t xml:space="preserve">6 раз за сезон </t>
  </si>
  <si>
    <t>Чердак, подвал, технический этаж</t>
  </si>
  <si>
    <t>Лестничная клетка</t>
  </si>
  <si>
    <t xml:space="preserve"> - установка пружин на входных дверях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</si>
  <si>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</si>
  <si>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</si>
  <si>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</si>
  <si>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</si>
  <si>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</si>
  <si>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</si>
  <si>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</si>
  <si>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</si>
  <si>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</si>
  <si>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</si>
  <si>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</si>
  <si>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</si>
  <si>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Смена ламп накаливания</t>
  </si>
  <si>
    <t>10 шт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</si>
  <si>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</si>
  <si>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</si>
  <si>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</si>
  <si>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</si>
  <si>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</si>
  <si>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</si>
  <si>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</si>
  <si>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</si>
  <si>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</si>
  <si>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</si>
  <si>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</si>
  <si>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</si>
  <si>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</si>
  <si>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</si>
  <si>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</si>
  <si>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</si>
  <si>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</si>
  <si>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 xml:space="preserve">1 раз в год  </t>
  </si>
  <si>
    <t>Влажная протирка шкафов для щитов и слаботочн. устройств</t>
  </si>
  <si>
    <t>20 раз за сезон</t>
  </si>
  <si>
    <t>3 раза в год</t>
  </si>
  <si>
    <t>Очистка чердака, подвала от мусора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</si>
  <si>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</si>
  <si>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</si>
  <si>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</si>
  <si>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</si>
  <si>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</si>
  <si>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</si>
  <si>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</si>
  <si>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</si>
  <si>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май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</si>
  <si>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</si>
  <si>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</si>
  <si>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</si>
  <si>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</si>
  <si>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</si>
  <si>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</si>
  <si>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</si>
  <si>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3 этажа, 3 подъезда</t>
  </si>
  <si>
    <t>Стоимость (руб.)</t>
  </si>
  <si>
    <t>договор</t>
  </si>
  <si>
    <t>ТО внутридомового газ.оборудования</t>
  </si>
  <si>
    <t>калькуляция</t>
  </si>
  <si>
    <t>Работа автовышки</t>
  </si>
  <si>
    <t>Подключение и отключение сварочного аппарата</t>
  </si>
  <si>
    <t>Ремонт групповых щитков на лестничной клетке без ремонта автоматов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</si>
  <si>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</si>
  <si>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</si>
  <si>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</si>
  <si>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</si>
  <si>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Осмотр шиферной кровли</t>
  </si>
  <si>
    <t xml:space="preserve">Погрузка травы, ветвей </t>
  </si>
  <si>
    <t>Вывоз смета, травы, ветвей и т.п.- м/ч</t>
  </si>
  <si>
    <t>Влажное подметание лестничных клеток 2-3 этажа</t>
  </si>
  <si>
    <t xml:space="preserve"> - Уборка газонов, грунта</t>
  </si>
  <si>
    <t xml:space="preserve"> - Подметание территории с усовершенствованным покрытием асф.: крыльца, контейнерн. пл., проезд, тротуар</t>
  </si>
  <si>
    <t>Уборка газонов, грунта сильной загрязненности</t>
  </si>
  <si>
    <t>Очистка урн от мусора</t>
  </si>
  <si>
    <t>30 раз за сезон</t>
  </si>
  <si>
    <t>35 раз за сезон</t>
  </si>
  <si>
    <t>Очистка края кровли от слежавшегося снега со сбрасыванием сосулек (10% от S кровли, козырьки над подъездами)</t>
  </si>
  <si>
    <t>Смена светодиодных светильников</t>
  </si>
  <si>
    <t>счёт</t>
  </si>
  <si>
    <t>Стоимость светодиодного светильника</t>
  </si>
  <si>
    <t>1м2</t>
  </si>
  <si>
    <t>Водоснабжение, канализация</t>
  </si>
  <si>
    <t>Зачеканка раструбов канализационных труб диаметром до 100 мм</t>
  </si>
  <si>
    <t>1 шт</t>
  </si>
  <si>
    <t>Очистка канализационной сети внутренней</t>
  </si>
  <si>
    <t>1 м</t>
  </si>
  <si>
    <t>Прочистка засоров ХВС</t>
  </si>
  <si>
    <t>3 м</t>
  </si>
  <si>
    <t>10 м3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</si>
  <si>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</si>
  <si>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</si>
  <si>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</si>
  <si>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</si>
  <si>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</si>
  <si>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1 шт.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</si>
  <si>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</si>
  <si>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</si>
  <si>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t>руб.</t>
  </si>
  <si>
    <t>Водоотлив с подвала электрическими (механическими) насосами (100 м3 воды)</t>
  </si>
  <si>
    <t>маш.-час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</si>
  <si>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</si>
  <si>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</si>
  <si>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</si>
  <si>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</si>
  <si>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</si>
  <si>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</si>
  <si>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</si>
  <si>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</si>
  <si>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51-024</t>
  </si>
  <si>
    <t>ТЕР 51-022</t>
  </si>
  <si>
    <t>ТЕР 53-020</t>
  </si>
  <si>
    <t>ТЕР 53-001</t>
  </si>
  <si>
    <t>ТЕР 53-021</t>
  </si>
  <si>
    <t>ТЕР 52-033</t>
  </si>
  <si>
    <t>пр.ТЕР 52-003</t>
  </si>
  <si>
    <t>ТЕР 53-030</t>
  </si>
  <si>
    <t>ТЕР 53-003</t>
  </si>
  <si>
    <t>ТЕР 54-013</t>
  </si>
  <si>
    <t>ТЕР 54-003</t>
  </si>
  <si>
    <t>ТЕР 54-022</t>
  </si>
  <si>
    <t>ТЕР 54-025</t>
  </si>
  <si>
    <t>ТЕР 3-7-1в</t>
  </si>
  <si>
    <t>ТЕР 42-007</t>
  </si>
  <si>
    <t>ТЕР 42-009</t>
  </si>
  <si>
    <t>ТЕР 42-010</t>
  </si>
  <si>
    <t>ТЕР 42-003</t>
  </si>
  <si>
    <t>ТЕР 42-011</t>
  </si>
  <si>
    <t>ТЕР 42-013</t>
  </si>
  <si>
    <t>ТЕР 42-012</t>
  </si>
  <si>
    <t>ТЕР 42-014</t>
  </si>
  <si>
    <t>ТЕР 54-041 и 42</t>
  </si>
  <si>
    <t>ТЕР 51-034</t>
  </si>
  <si>
    <t>ТЕР 15-018</t>
  </si>
  <si>
    <t>ТЕР 31-065</t>
  </si>
  <si>
    <t>ТЕР 31-064</t>
  </si>
  <si>
    <t>ТЕР 31-052</t>
  </si>
  <si>
    <t>ТЕР 31-043</t>
  </si>
  <si>
    <t>ТЕР 31-068</t>
  </si>
  <si>
    <t>ТЕР 31-045</t>
  </si>
  <si>
    <t>пр.ТЕР 33-024</t>
  </si>
  <si>
    <t>ТЕР 33-019</t>
  </si>
  <si>
    <t>ТЕР 33-043</t>
  </si>
  <si>
    <t>ТЕР 33-049</t>
  </si>
  <si>
    <t>ТЕР 32-072</t>
  </si>
  <si>
    <t>ТЕР 32-093</t>
  </si>
  <si>
    <t>ТЕР 32-101</t>
  </si>
  <si>
    <t>ТЕР 11-012</t>
  </si>
  <si>
    <t>ТЕР 32-079</t>
  </si>
  <si>
    <t>ТЕР 32-080</t>
  </si>
  <si>
    <t>ТЕР 32-082</t>
  </si>
  <si>
    <t>ТЕР 32-083</t>
  </si>
  <si>
    <t>ТЕР 32-071</t>
  </si>
  <si>
    <t>ТЕР 32-089</t>
  </si>
  <si>
    <t>пр.ТЕР 42-015</t>
  </si>
  <si>
    <t>ТЕР 33-060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</si>
  <si>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</si>
  <si>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</si>
  <si>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2-2-1-2-7</t>
  </si>
  <si>
    <t>ТЕР 33-030</t>
  </si>
  <si>
    <t>Баланс выполненных работ на 01.01.2017 г. ( -долг за предприятием, +долг за населением)</t>
  </si>
  <si>
    <t>Начислено за содержание и текущий ремонт за 2017 г.</t>
  </si>
  <si>
    <t>Выполнено работ по содержанию за 2017 г.</t>
  </si>
  <si>
    <t>Выполнено работ по текущему ремонту за 2017 г.</t>
  </si>
  <si>
    <t>Фактически оплачено за 2017 г.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</si>
  <si>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1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2017 год</t>
    </r>
  </si>
  <si>
    <t>Ремонт и регулировка доводчика (со стоимостью доводчика)</t>
  </si>
  <si>
    <t>1шт.</t>
  </si>
  <si>
    <t>ТЕР 32-027</t>
  </si>
  <si>
    <t>Смена арматуры - вентилей и клапанов обратных муфтовых диаметром до 20 мм</t>
  </si>
  <si>
    <t>Установка заглушек диаметром трубопроводов до 100 мм</t>
  </si>
  <si>
    <t>заглушка</t>
  </si>
  <si>
    <t>ТЕР 31-012</t>
  </si>
  <si>
    <t>маш/час</t>
  </si>
  <si>
    <t>Смена оконных приборов - ручки</t>
  </si>
  <si>
    <t>ТЕР 15-022</t>
  </si>
  <si>
    <t>пр.ТЕР 15-008</t>
  </si>
  <si>
    <t>Ремонт слухового окна</t>
  </si>
  <si>
    <t>Смена автомата на ток до 25А</t>
  </si>
  <si>
    <t>ТЕР 33-046</t>
  </si>
  <si>
    <t>Просроченная задолженность по Вашему дому по статье "Содержание и текущий ремонт МКД" на конец декабря 2017 г., составляет:</t>
  </si>
  <si>
    <t>Баланс выполненных работ на 01.01.2018 г. ( -долг за предприятием, +долг за населением)</t>
  </si>
  <si>
    <t>Ремонт и регулировка доводчика (без стоимости доводчика)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</si>
</sst>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5" borderId="0" xfId="0" applyFill="1"/>
    <xf numFmtId="0" fontId="1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vertical="center"/>
    </xf>
    <xf numFmtId="4" fontId="1" fillId="8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4" fontId="1" fillId="0" borderId="0" xfId="0" applyNumberFormat="1" applyFont="1"/>
    <xf numFmtId="0" fontId="1" fillId="0" borderId="0" xfId="0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3" fillId="10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4" fillId="8" borderId="1" xfId="0" applyNumberFormat="1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vertical="center"/>
    </xf>
    <xf numFmtId="4" fontId="3" fillId="11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30"/>
  <sheetViews>
    <sheetView tabSelected="1" view="pageBreakPreview" zoomScaleNormal="75" zoomScaleSheetLayoutView="100" workbookViewId="0">
      <pane ySplit="7" topLeftCell="A123" activePane="bottomLeft" state="frozen"/>
      <selection activeCell="B1" sqref="B1"/>
      <selection pane="bottomLeft" activeCell="B127" sqref="B127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/>
    <row r="3" spans="1:21" ht="18">
      <c r="A3" s="65"/>
      <c r="B3" s="110" t="s">
        <v>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52"/>
      <c r="N3" s="52"/>
      <c r="O3" s="52"/>
      <c r="P3" s="52"/>
      <c r="Q3" s="52"/>
      <c r="R3" s="52"/>
      <c r="S3" s="52"/>
      <c r="T3" s="52"/>
      <c r="U3" s="52"/>
    </row>
    <row r="4" spans="1:21" ht="33" customHeight="1">
      <c r="A4" s="52"/>
      <c r="B4" s="111" t="s">
        <v>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52"/>
      <c r="N4" s="52"/>
      <c r="O4" s="52"/>
      <c r="P4" s="52"/>
      <c r="Q4" s="52"/>
      <c r="R4" s="52"/>
      <c r="S4" s="52"/>
      <c r="T4" s="52"/>
      <c r="U4" s="52"/>
    </row>
    <row r="5" spans="1:21" ht="18">
      <c r="A5" s="52"/>
      <c r="B5" s="111" t="s">
        <v>235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52"/>
      <c r="N5" s="52"/>
      <c r="O5" s="52"/>
      <c r="P5" s="52"/>
      <c r="Q5" s="52"/>
      <c r="R5" s="52"/>
      <c r="S5" s="52"/>
      <c r="T5" s="52"/>
      <c r="U5" s="52"/>
    </row>
    <row r="6" spans="1:21" ht="14.25">
      <c r="A6" s="52"/>
      <c r="B6" s="112" t="s">
        <v>125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52"/>
      <c r="N6" s="52"/>
      <c r="O6" s="52"/>
      <c r="P6" s="52"/>
      <c r="Q6" s="52"/>
      <c r="R6" s="52"/>
      <c r="S6" s="52"/>
      <c r="T6" s="52"/>
      <c r="U6" s="52"/>
    </row>
    <row r="7" spans="1:21" ht="54" customHeight="1">
      <c r="A7" s="95" t="s">
        <v>2</v>
      </c>
      <c r="B7" s="95" t="s">
        <v>3</v>
      </c>
      <c r="C7" s="95" t="s">
        <v>4</v>
      </c>
      <c r="D7" s="95" t="s">
        <v>5</v>
      </c>
      <c r="E7" s="95" t="s">
        <v>6</v>
      </c>
      <c r="F7" s="95" t="s">
        <v>7</v>
      </c>
      <c r="G7" s="95" t="s">
        <v>8</v>
      </c>
      <c r="H7" s="95" t="s">
        <v>9</v>
      </c>
      <c r="I7" s="14" t="s">
        <v>113</v>
      </c>
      <c r="J7" s="14" t="s">
        <v>114</v>
      </c>
      <c r="K7" s="14" t="s">
        <v>115</v>
      </c>
      <c r="L7" s="14" t="s">
        <v>116</v>
      </c>
      <c r="M7" s="14" t="s">
        <v>117</v>
      </c>
      <c r="N7" s="14" t="s">
        <v>118</v>
      </c>
      <c r="O7" s="14" t="s">
        <v>119</v>
      </c>
      <c r="P7" s="14" t="s">
        <v>120</v>
      </c>
      <c r="Q7" s="14" t="s">
        <v>121</v>
      </c>
      <c r="R7" s="14" t="s">
        <v>122</v>
      </c>
      <c r="S7" s="14" t="s">
        <v>123</v>
      </c>
      <c r="T7" s="14" t="s">
        <v>124</v>
      </c>
      <c r="U7" s="14" t="s">
        <v>126</v>
      </c>
    </row>
    <row r="8" spans="1:21">
      <c r="A8" s="25">
        <v>1</v>
      </c>
      <c r="B8" s="87">
        <v>2</v>
      </c>
      <c r="C8" s="25">
        <v>3</v>
      </c>
      <c r="D8" s="87">
        <v>4</v>
      </c>
      <c r="E8" s="87">
        <v>5</v>
      </c>
      <c r="F8" s="25">
        <v>6</v>
      </c>
      <c r="G8" s="25">
        <v>7</v>
      </c>
      <c r="H8" s="25">
        <v>8</v>
      </c>
      <c r="I8" s="15">
        <v>9</v>
      </c>
      <c r="J8" s="15">
        <v>10</v>
      </c>
      <c r="K8" s="15">
        <v>11</v>
      </c>
      <c r="L8" s="15">
        <v>12</v>
      </c>
      <c r="M8" s="85">
        <v>13</v>
      </c>
      <c r="N8" s="15">
        <v>14</v>
      </c>
      <c r="O8" s="85">
        <v>15</v>
      </c>
      <c r="P8" s="15">
        <v>16</v>
      </c>
      <c r="Q8" s="85">
        <v>17</v>
      </c>
      <c r="R8" s="15">
        <v>18</v>
      </c>
      <c r="S8" s="85">
        <v>19</v>
      </c>
      <c r="T8" s="15">
        <v>20</v>
      </c>
      <c r="U8" s="85">
        <v>21</v>
      </c>
    </row>
    <row r="9" spans="1:21" ht="38.25">
      <c r="A9" s="25"/>
      <c r="B9" s="96" t="s">
        <v>10</v>
      </c>
      <c r="C9" s="25"/>
      <c r="D9" s="8"/>
      <c r="E9" s="8"/>
      <c r="F9" s="25"/>
      <c r="G9" s="25"/>
      <c r="H9" s="97"/>
      <c r="I9" s="17"/>
      <c r="J9" s="17"/>
      <c r="K9" s="17"/>
      <c r="L9" s="17"/>
      <c r="M9" s="98"/>
      <c r="N9" s="16"/>
      <c r="O9" s="16"/>
      <c r="P9" s="16"/>
      <c r="Q9" s="16"/>
      <c r="R9" s="16"/>
      <c r="S9" s="16"/>
      <c r="T9" s="16"/>
      <c r="U9" s="16"/>
    </row>
    <row r="10" spans="1:21">
      <c r="A10" s="25"/>
      <c r="B10" s="96" t="s">
        <v>11</v>
      </c>
      <c r="C10" s="25"/>
      <c r="D10" s="8"/>
      <c r="E10" s="8"/>
      <c r="F10" s="25"/>
      <c r="G10" s="25"/>
      <c r="H10" s="97"/>
      <c r="I10" s="17"/>
      <c r="J10" s="17"/>
      <c r="K10" s="17"/>
      <c r="L10" s="17"/>
      <c r="M10" s="98"/>
      <c r="N10" s="16"/>
      <c r="O10" s="16"/>
      <c r="P10" s="16"/>
      <c r="Q10" s="16"/>
      <c r="R10" s="16"/>
      <c r="S10" s="16"/>
      <c r="T10" s="16"/>
      <c r="U10" s="16"/>
    </row>
    <row r="11" spans="1:21" ht="25.5">
      <c r="A11" s="25" t="s">
        <v>171</v>
      </c>
      <c r="B11" s="8" t="s">
        <v>12</v>
      </c>
      <c r="C11" s="25" t="s">
        <v>13</v>
      </c>
      <c r="D11" s="8" t="s">
        <v>14</v>
      </c>
      <c r="E11" s="26">
        <v>53.8</v>
      </c>
      <c r="F11" s="21">
        <f>SUM(E11*156/100)</f>
        <v>83.927999999999997</v>
      </c>
      <c r="G11" s="21">
        <v>218.21</v>
      </c>
      <c r="H11" s="21">
        <f t="shared" ref="H11:H21" si="0">SUM(F11*G11/1000)</f>
        <v>18.313928879999999</v>
      </c>
      <c r="I11" s="18">
        <f>F11/12*G11</f>
        <v>1526.16074</v>
      </c>
      <c r="J11" s="18">
        <f>F11/12*G11</f>
        <v>1526.16074</v>
      </c>
      <c r="K11" s="18">
        <f>F11/12*G11</f>
        <v>1526.16074</v>
      </c>
      <c r="L11" s="18">
        <f>F11/12*G11</f>
        <v>1526.16074</v>
      </c>
      <c r="M11" s="18">
        <f>F11/12*G11</f>
        <v>1526.16074</v>
      </c>
      <c r="N11" s="18">
        <f>F11/12*G11</f>
        <v>1526.16074</v>
      </c>
      <c r="O11" s="18">
        <f>F11/12*G11</f>
        <v>1526.16074</v>
      </c>
      <c r="P11" s="18">
        <f>F11/12*G11</f>
        <v>1526.16074</v>
      </c>
      <c r="Q11" s="18">
        <f>F11/12*G11</f>
        <v>1526.16074</v>
      </c>
      <c r="R11" s="18">
        <f>F11/12*G11</f>
        <v>1526.16074</v>
      </c>
      <c r="S11" s="18">
        <f>F11/12*G11</f>
        <v>1526.16074</v>
      </c>
      <c r="T11" s="18">
        <f>F11/12*G11</f>
        <v>1526.16074</v>
      </c>
      <c r="U11" s="18">
        <f>SUM(I11:T11)</f>
        <v>18313.928879999996</v>
      </c>
    </row>
    <row r="12" spans="1:21" ht="25.5">
      <c r="A12" s="25" t="s">
        <v>171</v>
      </c>
      <c r="B12" s="8" t="s">
        <v>140</v>
      </c>
      <c r="C12" s="25" t="s">
        <v>13</v>
      </c>
      <c r="D12" s="8" t="s">
        <v>15</v>
      </c>
      <c r="E12" s="26">
        <v>107.6</v>
      </c>
      <c r="F12" s="21">
        <f>SUM(E12*104/100)</f>
        <v>111.904</v>
      </c>
      <c r="G12" s="21">
        <v>218.21</v>
      </c>
      <c r="H12" s="21">
        <f t="shared" si="0"/>
        <v>24.418571840000002</v>
      </c>
      <c r="I12" s="18">
        <f>F12/12*G12</f>
        <v>2034.8809866666668</v>
      </c>
      <c r="J12" s="18">
        <f>F12/12*G12</f>
        <v>2034.8809866666668</v>
      </c>
      <c r="K12" s="18">
        <f t="shared" ref="K12:K13" si="1">F12/12*G12</f>
        <v>2034.8809866666668</v>
      </c>
      <c r="L12" s="18">
        <f t="shared" ref="L12:L13" si="2">F12/12*G12</f>
        <v>2034.8809866666668</v>
      </c>
      <c r="M12" s="18">
        <f>F12/12*G12</f>
        <v>2034.8809866666668</v>
      </c>
      <c r="N12" s="18">
        <f t="shared" ref="N12:N13" si="3">F12/12*G12</f>
        <v>2034.8809866666668</v>
      </c>
      <c r="O12" s="18">
        <f t="shared" ref="O12:O13" si="4">F12/12*G12</f>
        <v>2034.8809866666668</v>
      </c>
      <c r="P12" s="18">
        <f t="shared" ref="P12:P13" si="5">F12/12*G12</f>
        <v>2034.8809866666668</v>
      </c>
      <c r="Q12" s="18">
        <f t="shared" ref="Q12:Q13" si="6">F12/12*G12</f>
        <v>2034.8809866666668</v>
      </c>
      <c r="R12" s="18">
        <f t="shared" ref="R12:R13" si="7">F12/12*G12</f>
        <v>2034.8809866666668</v>
      </c>
      <c r="S12" s="18">
        <f t="shared" ref="S12:S13" si="8">F12/12*G12</f>
        <v>2034.8809866666668</v>
      </c>
      <c r="T12" s="18">
        <f t="shared" ref="T12:T13" si="9">F12/12*G12</f>
        <v>2034.8809866666668</v>
      </c>
      <c r="U12" s="18">
        <f t="shared" ref="U12:U21" si="10">SUM(I12:T12)</f>
        <v>24418.571840000001</v>
      </c>
    </row>
    <row r="13" spans="1:21" ht="25.5">
      <c r="A13" s="25" t="s">
        <v>172</v>
      </c>
      <c r="B13" s="8" t="s">
        <v>16</v>
      </c>
      <c r="C13" s="25" t="s">
        <v>13</v>
      </c>
      <c r="D13" s="8" t="s">
        <v>17</v>
      </c>
      <c r="E13" s="26">
        <f>SUM(E11+E12)</f>
        <v>161.39999999999998</v>
      </c>
      <c r="F13" s="21">
        <f>SUM(E13*24/100)</f>
        <v>38.735999999999997</v>
      </c>
      <c r="G13" s="21">
        <v>627.77</v>
      </c>
      <c r="H13" s="21">
        <f t="shared" si="0"/>
        <v>24.31729872</v>
      </c>
      <c r="I13" s="18">
        <f>F13/12*G13</f>
        <v>2026.4415599999998</v>
      </c>
      <c r="J13" s="18">
        <f>F13/12*G13</f>
        <v>2026.4415599999998</v>
      </c>
      <c r="K13" s="18">
        <f t="shared" si="1"/>
        <v>2026.4415599999998</v>
      </c>
      <c r="L13" s="18">
        <f t="shared" si="2"/>
        <v>2026.4415599999998</v>
      </c>
      <c r="M13" s="18">
        <f t="shared" ref="M13" si="11">F13/12*G13</f>
        <v>2026.4415599999998</v>
      </c>
      <c r="N13" s="18">
        <f t="shared" si="3"/>
        <v>2026.4415599999998</v>
      </c>
      <c r="O13" s="18">
        <f t="shared" si="4"/>
        <v>2026.4415599999998</v>
      </c>
      <c r="P13" s="18">
        <f t="shared" si="5"/>
        <v>2026.4415599999998</v>
      </c>
      <c r="Q13" s="18">
        <f t="shared" si="6"/>
        <v>2026.4415599999998</v>
      </c>
      <c r="R13" s="18">
        <f t="shared" si="7"/>
        <v>2026.4415599999998</v>
      </c>
      <c r="S13" s="18">
        <f t="shared" si="8"/>
        <v>2026.4415599999998</v>
      </c>
      <c r="T13" s="18">
        <f t="shared" si="9"/>
        <v>2026.4415599999998</v>
      </c>
      <c r="U13" s="18">
        <f t="shared" si="10"/>
        <v>24317.298719999995</v>
      </c>
    </row>
    <row r="14" spans="1:21">
      <c r="A14" s="25" t="s">
        <v>173</v>
      </c>
      <c r="B14" s="8" t="s">
        <v>18</v>
      </c>
      <c r="C14" s="25" t="s">
        <v>19</v>
      </c>
      <c r="D14" s="8" t="s">
        <v>103</v>
      </c>
      <c r="E14" s="26">
        <v>15.3</v>
      </c>
      <c r="F14" s="21">
        <f>SUM(E14/10)</f>
        <v>1.53</v>
      </c>
      <c r="G14" s="21">
        <v>211.74</v>
      </c>
      <c r="H14" s="21">
        <f t="shared" si="0"/>
        <v>0.32396219999999998</v>
      </c>
      <c r="I14" s="18">
        <v>0</v>
      </c>
      <c r="J14" s="18">
        <v>0</v>
      </c>
      <c r="K14" s="18">
        <v>0</v>
      </c>
      <c r="L14" s="18">
        <v>0</v>
      </c>
      <c r="M14" s="18">
        <f>F14/2*G14</f>
        <v>161.9811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f t="shared" si="10"/>
        <v>161.9811</v>
      </c>
    </row>
    <row r="15" spans="1:21">
      <c r="A15" s="25" t="s">
        <v>178</v>
      </c>
      <c r="B15" s="8" t="s">
        <v>25</v>
      </c>
      <c r="C15" s="25" t="s">
        <v>23</v>
      </c>
      <c r="D15" s="8" t="s">
        <v>104</v>
      </c>
      <c r="E15" s="26">
        <v>4.5</v>
      </c>
      <c r="F15" s="21">
        <f>E15/100</f>
        <v>4.4999999999999998E-2</v>
      </c>
      <c r="G15" s="21">
        <v>484.94</v>
      </c>
      <c r="H15" s="21">
        <f>SUM(F15*G15/1000)</f>
        <v>2.1822299999999999E-2</v>
      </c>
      <c r="I15" s="18">
        <v>0</v>
      </c>
      <c r="J15" s="18">
        <v>0</v>
      </c>
      <c r="K15" s="18">
        <v>0</v>
      </c>
      <c r="L15" s="18">
        <v>0</v>
      </c>
      <c r="M15" s="18">
        <f>F15*G15</f>
        <v>21.822299999999998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f t="shared" si="10"/>
        <v>21.822299999999998</v>
      </c>
    </row>
    <row r="16" spans="1:21">
      <c r="A16" s="25" t="s">
        <v>174</v>
      </c>
      <c r="B16" s="8" t="s">
        <v>20</v>
      </c>
      <c r="C16" s="25" t="s">
        <v>13</v>
      </c>
      <c r="D16" s="8" t="s">
        <v>50</v>
      </c>
      <c r="E16" s="26">
        <v>19.62</v>
      </c>
      <c r="F16" s="21">
        <f>SUM(E16*2/100)</f>
        <v>0.39240000000000003</v>
      </c>
      <c r="G16" s="21">
        <v>271.12</v>
      </c>
      <c r="H16" s="21">
        <f t="shared" si="0"/>
        <v>0.106387488</v>
      </c>
      <c r="I16" s="18">
        <v>0</v>
      </c>
      <c r="J16" s="18">
        <v>0</v>
      </c>
      <c r="K16" s="18">
        <v>0</v>
      </c>
      <c r="L16" s="18">
        <v>0</v>
      </c>
      <c r="M16" s="18">
        <f>F16/2*G16</f>
        <v>53.193744000000002</v>
      </c>
      <c r="N16" s="18">
        <v>0</v>
      </c>
      <c r="O16" s="18">
        <v>0</v>
      </c>
      <c r="P16" s="18">
        <v>0</v>
      </c>
      <c r="Q16" s="18">
        <f>F16/2*G16</f>
        <v>53.193744000000002</v>
      </c>
      <c r="R16" s="18">
        <v>0</v>
      </c>
      <c r="S16" s="18">
        <v>0</v>
      </c>
      <c r="T16" s="18">
        <v>0</v>
      </c>
      <c r="U16" s="18">
        <f t="shared" si="10"/>
        <v>106.387488</v>
      </c>
    </row>
    <row r="17" spans="1:21">
      <c r="A17" s="25" t="s">
        <v>175</v>
      </c>
      <c r="B17" s="8" t="s">
        <v>21</v>
      </c>
      <c r="C17" s="25" t="s">
        <v>13</v>
      </c>
      <c r="D17" s="8" t="s">
        <v>50</v>
      </c>
      <c r="E17" s="26">
        <v>8.68</v>
      </c>
      <c r="F17" s="21">
        <f>SUM(E17*2/100)</f>
        <v>0.1736</v>
      </c>
      <c r="G17" s="21">
        <v>268.92</v>
      </c>
      <c r="H17" s="21">
        <f t="shared" si="0"/>
        <v>4.6684512000000004E-2</v>
      </c>
      <c r="I17" s="18">
        <v>0</v>
      </c>
      <c r="J17" s="18">
        <v>0</v>
      </c>
      <c r="K17" s="18">
        <v>0</v>
      </c>
      <c r="L17" s="18">
        <v>0</v>
      </c>
      <c r="M17" s="18">
        <f>F17/2*G17</f>
        <v>23.342256000000003</v>
      </c>
      <c r="N17" s="18">
        <v>0</v>
      </c>
      <c r="O17" s="18">
        <v>0</v>
      </c>
      <c r="P17" s="18">
        <v>0</v>
      </c>
      <c r="Q17" s="18">
        <f>F17/2*G17</f>
        <v>23.342256000000003</v>
      </c>
      <c r="R17" s="18">
        <v>0</v>
      </c>
      <c r="S17" s="18">
        <v>0</v>
      </c>
      <c r="T17" s="18">
        <v>0</v>
      </c>
      <c r="U17" s="18">
        <f t="shared" si="10"/>
        <v>46.684512000000005</v>
      </c>
    </row>
    <row r="18" spans="1:21">
      <c r="A18" s="25" t="s">
        <v>176</v>
      </c>
      <c r="B18" s="8" t="s">
        <v>22</v>
      </c>
      <c r="C18" s="25" t="s">
        <v>23</v>
      </c>
      <c r="D18" s="8" t="s">
        <v>103</v>
      </c>
      <c r="E18" s="26">
        <v>215</v>
      </c>
      <c r="F18" s="21">
        <f>SUM(E18/100)</f>
        <v>2.15</v>
      </c>
      <c r="G18" s="21">
        <v>335.05</v>
      </c>
      <c r="H18" s="21">
        <f t="shared" si="0"/>
        <v>0.72035749999999998</v>
      </c>
      <c r="I18" s="18">
        <v>0</v>
      </c>
      <c r="J18" s="18">
        <v>0</v>
      </c>
      <c r="K18" s="18">
        <v>0</v>
      </c>
      <c r="L18" s="18">
        <v>0</v>
      </c>
      <c r="M18" s="18">
        <f t="shared" ref="M18:M20" si="12">F18*G18</f>
        <v>720.35749999999996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f t="shared" si="10"/>
        <v>720.35749999999996</v>
      </c>
    </row>
    <row r="19" spans="1:21">
      <c r="A19" s="25" t="s">
        <v>177</v>
      </c>
      <c r="B19" s="8" t="s">
        <v>24</v>
      </c>
      <c r="C19" s="25" t="s">
        <v>23</v>
      </c>
      <c r="D19" s="8" t="s">
        <v>103</v>
      </c>
      <c r="E19" s="26">
        <v>17.64</v>
      </c>
      <c r="F19" s="21">
        <f>SUM(E19/100)</f>
        <v>0.1764</v>
      </c>
      <c r="G19" s="21">
        <v>55.1</v>
      </c>
      <c r="H19" s="21">
        <f t="shared" si="0"/>
        <v>9.7196399999999999E-3</v>
      </c>
      <c r="I19" s="18">
        <v>0</v>
      </c>
      <c r="J19" s="18">
        <v>0</v>
      </c>
      <c r="K19" s="18">
        <v>0</v>
      </c>
      <c r="L19" s="18">
        <v>0</v>
      </c>
      <c r="M19" s="18">
        <f t="shared" si="12"/>
        <v>9.7196400000000001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f t="shared" si="10"/>
        <v>9.7196400000000001</v>
      </c>
    </row>
    <row r="20" spans="1:21">
      <c r="A20" s="25" t="s">
        <v>179</v>
      </c>
      <c r="B20" s="8" t="s">
        <v>26</v>
      </c>
      <c r="C20" s="25" t="s">
        <v>23</v>
      </c>
      <c r="D20" s="8" t="s">
        <v>103</v>
      </c>
      <c r="E20" s="26">
        <v>14.4</v>
      </c>
      <c r="F20" s="21">
        <f>SUM(E20/100)</f>
        <v>0.14400000000000002</v>
      </c>
      <c r="G20" s="21">
        <v>648.04999999999995</v>
      </c>
      <c r="H20" s="21">
        <f>SUM(F20*G20/1000)</f>
        <v>9.3319200000000005E-2</v>
      </c>
      <c r="I20" s="18">
        <v>0</v>
      </c>
      <c r="J20" s="18">
        <v>0</v>
      </c>
      <c r="K20" s="18">
        <v>0</v>
      </c>
      <c r="L20" s="18">
        <v>0</v>
      </c>
      <c r="M20" s="18">
        <f t="shared" si="12"/>
        <v>93.319200000000009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f t="shared" si="10"/>
        <v>93.319200000000009</v>
      </c>
    </row>
    <row r="21" spans="1:21" ht="25.5">
      <c r="A21" s="25" t="s">
        <v>180</v>
      </c>
      <c r="B21" s="8" t="s">
        <v>105</v>
      </c>
      <c r="C21" s="25" t="s">
        <v>23</v>
      </c>
      <c r="D21" s="8" t="s">
        <v>32</v>
      </c>
      <c r="E21" s="26">
        <v>9.4499999999999993</v>
      </c>
      <c r="F21" s="21">
        <v>0.09</v>
      </c>
      <c r="G21" s="21">
        <v>268.92</v>
      </c>
      <c r="H21" s="21">
        <f t="shared" si="0"/>
        <v>2.42028E-2</v>
      </c>
      <c r="I21" s="18">
        <v>0</v>
      </c>
      <c r="J21" s="18">
        <v>0</v>
      </c>
      <c r="K21" s="18">
        <v>0</v>
      </c>
      <c r="L21" s="18">
        <v>0</v>
      </c>
      <c r="M21" s="18">
        <f>F21*G21</f>
        <v>24.2028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f t="shared" si="10"/>
        <v>24.2028</v>
      </c>
    </row>
    <row r="22" spans="1:21" s="12" customFormat="1">
      <c r="A22" s="43"/>
      <c r="B22" s="36" t="s">
        <v>27</v>
      </c>
      <c r="C22" s="42"/>
      <c r="D22" s="36"/>
      <c r="E22" s="37"/>
      <c r="F22" s="19"/>
      <c r="G22" s="19"/>
      <c r="H22" s="99">
        <f>SUM(H11:H21)</f>
        <v>68.396255079999989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>
        <f>SUM(U11:U21)</f>
        <v>68234.273979999984</v>
      </c>
    </row>
    <row r="23" spans="1:21">
      <c r="A23" s="25"/>
      <c r="B23" s="75" t="s">
        <v>28</v>
      </c>
      <c r="C23" s="25"/>
      <c r="D23" s="8"/>
      <c r="E23" s="26"/>
      <c r="F23" s="21"/>
      <c r="G23" s="21"/>
      <c r="H23" s="2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5.5" customHeight="1">
      <c r="A24" s="25" t="s">
        <v>181</v>
      </c>
      <c r="B24" s="8" t="s">
        <v>141</v>
      </c>
      <c r="C24" s="25" t="s">
        <v>30</v>
      </c>
      <c r="D24" s="8" t="s">
        <v>29</v>
      </c>
      <c r="E24" s="21">
        <v>306.55</v>
      </c>
      <c r="F24" s="21">
        <f>SUM(E24*52/1000)</f>
        <v>15.9406</v>
      </c>
      <c r="G24" s="21">
        <v>193.97</v>
      </c>
      <c r="H24" s="21">
        <f t="shared" ref="H24:H32" si="13">SUM(F24*G24/1000)</f>
        <v>3.0919981819999998</v>
      </c>
      <c r="I24" s="18">
        <v>0</v>
      </c>
      <c r="J24" s="18">
        <v>0</v>
      </c>
      <c r="K24" s="18">
        <v>0</v>
      </c>
      <c r="L24" s="18">
        <v>0</v>
      </c>
      <c r="M24" s="18">
        <f>F24/6*G24</f>
        <v>515.33303033333334</v>
      </c>
      <c r="N24" s="18">
        <f>F24/6*G24</f>
        <v>515.33303033333334</v>
      </c>
      <c r="O24" s="18">
        <f>F24/6*G24</f>
        <v>515.33303033333334</v>
      </c>
      <c r="P24" s="18">
        <f>F24/6*G24</f>
        <v>515.33303033333334</v>
      </c>
      <c r="Q24" s="18">
        <f>F24/6*G24</f>
        <v>515.33303033333334</v>
      </c>
      <c r="R24" s="18">
        <f>F24/6*G24</f>
        <v>515.33303033333334</v>
      </c>
      <c r="S24" s="18">
        <v>0</v>
      </c>
      <c r="T24" s="18">
        <v>0</v>
      </c>
      <c r="U24" s="18">
        <f t="shared" ref="U24:U32" si="14">SUM(I24:T24)</f>
        <v>3091.9981819999998</v>
      </c>
    </row>
    <row r="25" spans="1:21" ht="38.25" customHeight="1">
      <c r="A25" s="25" t="s">
        <v>182</v>
      </c>
      <c r="B25" s="8" t="s">
        <v>142</v>
      </c>
      <c r="C25" s="25" t="s">
        <v>30</v>
      </c>
      <c r="D25" s="8" t="s">
        <v>31</v>
      </c>
      <c r="E25" s="21">
        <v>42.5</v>
      </c>
      <c r="F25" s="21">
        <f>SUM(E25*78/1000)</f>
        <v>3.3149999999999999</v>
      </c>
      <c r="G25" s="21">
        <v>321.82</v>
      </c>
      <c r="H25" s="21">
        <f t="shared" si="13"/>
        <v>1.0668333000000001</v>
      </c>
      <c r="I25" s="18">
        <v>0</v>
      </c>
      <c r="J25" s="18">
        <v>0</v>
      </c>
      <c r="K25" s="18">
        <v>0</v>
      </c>
      <c r="L25" s="18">
        <v>0</v>
      </c>
      <c r="M25" s="18">
        <f>F25/6*G25</f>
        <v>177.80554999999998</v>
      </c>
      <c r="N25" s="18">
        <f t="shared" ref="N25:N28" si="15">F25/6*G25</f>
        <v>177.80554999999998</v>
      </c>
      <c r="O25" s="18">
        <f t="shared" ref="O25:O28" si="16">F25/6*G25</f>
        <v>177.80554999999998</v>
      </c>
      <c r="P25" s="18">
        <f t="shared" ref="P25:P28" si="17">F25/6*G25</f>
        <v>177.80554999999998</v>
      </c>
      <c r="Q25" s="18">
        <f t="shared" ref="Q25:Q28" si="18">F25/6*G25</f>
        <v>177.80554999999998</v>
      </c>
      <c r="R25" s="18">
        <f t="shared" ref="R25:R28" si="19">F25/6*G25</f>
        <v>177.80554999999998</v>
      </c>
      <c r="S25" s="18">
        <v>0</v>
      </c>
      <c r="T25" s="18">
        <v>0</v>
      </c>
      <c r="U25" s="18">
        <f t="shared" si="14"/>
        <v>1066.8333</v>
      </c>
    </row>
    <row r="26" spans="1:21" ht="12.75" customHeight="1">
      <c r="A26" s="25" t="s">
        <v>183</v>
      </c>
      <c r="B26" s="8" t="s">
        <v>143</v>
      </c>
      <c r="C26" s="25" t="s">
        <v>30</v>
      </c>
      <c r="D26" s="8" t="s">
        <v>32</v>
      </c>
      <c r="E26" s="21">
        <v>306.55</v>
      </c>
      <c r="F26" s="21">
        <f>SUM(E26/1000)</f>
        <v>0.30654999999999999</v>
      </c>
      <c r="G26" s="21">
        <v>3758.28</v>
      </c>
      <c r="H26" s="21">
        <f t="shared" si="13"/>
        <v>1.152100734</v>
      </c>
      <c r="I26" s="18">
        <v>0</v>
      </c>
      <c r="J26" s="18">
        <v>0</v>
      </c>
      <c r="K26" s="18">
        <v>0</v>
      </c>
      <c r="L26" s="18">
        <v>0</v>
      </c>
      <c r="M26" s="18">
        <f t="shared" ref="M26" si="20">F26*G26</f>
        <v>1152.1007340000001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f t="shared" si="14"/>
        <v>1152.1007340000001</v>
      </c>
    </row>
    <row r="27" spans="1:21" ht="12.75" customHeight="1">
      <c r="A27" s="25" t="s">
        <v>187</v>
      </c>
      <c r="B27" s="8" t="s">
        <v>144</v>
      </c>
      <c r="C27" s="25" t="s">
        <v>62</v>
      </c>
      <c r="D27" s="8" t="s">
        <v>35</v>
      </c>
      <c r="E27" s="21">
        <v>3</v>
      </c>
      <c r="F27" s="21">
        <f>E27*155/100</f>
        <v>4.6500000000000004</v>
      </c>
      <c r="G27" s="21">
        <v>1620.15</v>
      </c>
      <c r="H27" s="21">
        <f t="shared" si="13"/>
        <v>7.5336975000000015</v>
      </c>
      <c r="I27" s="18">
        <v>0</v>
      </c>
      <c r="J27" s="18">
        <v>0</v>
      </c>
      <c r="K27" s="18">
        <v>0</v>
      </c>
      <c r="L27" s="18">
        <v>0</v>
      </c>
      <c r="M27" s="18">
        <f>F27/6*G27</f>
        <v>1255.61625</v>
      </c>
      <c r="N27" s="18">
        <f>F27/6*G27</f>
        <v>1255.61625</v>
      </c>
      <c r="O27" s="18">
        <f t="shared" si="16"/>
        <v>1255.61625</v>
      </c>
      <c r="P27" s="18">
        <f t="shared" si="17"/>
        <v>1255.61625</v>
      </c>
      <c r="Q27" s="18">
        <f t="shared" si="18"/>
        <v>1255.61625</v>
      </c>
      <c r="R27" s="18">
        <f t="shared" si="19"/>
        <v>1255.61625</v>
      </c>
      <c r="S27" s="18">
        <v>0</v>
      </c>
      <c r="T27" s="18">
        <v>0</v>
      </c>
      <c r="U27" s="18">
        <f t="shared" si="14"/>
        <v>7533.6975000000002</v>
      </c>
    </row>
    <row r="28" spans="1:21">
      <c r="A28" s="25" t="s">
        <v>184</v>
      </c>
      <c r="B28" s="8" t="s">
        <v>33</v>
      </c>
      <c r="C28" s="25" t="s">
        <v>34</v>
      </c>
      <c r="D28" s="8" t="s">
        <v>35</v>
      </c>
      <c r="E28" s="24">
        <f>1/3</f>
        <v>0.33333333333333331</v>
      </c>
      <c r="F28" s="21">
        <f>155/3</f>
        <v>51.666666666666664</v>
      </c>
      <c r="G28" s="21">
        <v>70.540000000000006</v>
      </c>
      <c r="H28" s="21">
        <f t="shared" si="13"/>
        <v>3.6445666666666665</v>
      </c>
      <c r="I28" s="18">
        <v>0</v>
      </c>
      <c r="J28" s="18">
        <v>0</v>
      </c>
      <c r="K28" s="18">
        <v>0</v>
      </c>
      <c r="L28" s="18">
        <v>0</v>
      </c>
      <c r="M28" s="18">
        <f>F28/6*G28</f>
        <v>607.42777777777781</v>
      </c>
      <c r="N28" s="18">
        <f t="shared" si="15"/>
        <v>607.42777777777781</v>
      </c>
      <c r="O28" s="18">
        <f t="shared" si="16"/>
        <v>607.42777777777781</v>
      </c>
      <c r="P28" s="18">
        <f t="shared" si="17"/>
        <v>607.42777777777781</v>
      </c>
      <c r="Q28" s="18">
        <f t="shared" si="18"/>
        <v>607.42777777777781</v>
      </c>
      <c r="R28" s="18">
        <f t="shared" si="19"/>
        <v>607.42777777777781</v>
      </c>
      <c r="S28" s="18">
        <v>0</v>
      </c>
      <c r="T28" s="18">
        <v>0</v>
      </c>
      <c r="U28" s="18">
        <f t="shared" si="14"/>
        <v>3644.5666666666671</v>
      </c>
    </row>
    <row r="29" spans="1:21" ht="12.75" customHeight="1">
      <c r="A29" s="25" t="s">
        <v>185</v>
      </c>
      <c r="B29" s="8" t="s">
        <v>36</v>
      </c>
      <c r="C29" s="25" t="s">
        <v>37</v>
      </c>
      <c r="D29" s="8" t="s">
        <v>38</v>
      </c>
      <c r="E29" s="30">
        <v>0.1</v>
      </c>
      <c r="F29" s="21">
        <f>SUM(E29*365)</f>
        <v>36.5</v>
      </c>
      <c r="G29" s="21">
        <v>182.96</v>
      </c>
      <c r="H29" s="21">
        <f t="shared" si="13"/>
        <v>6.6780400000000002</v>
      </c>
      <c r="I29" s="18">
        <f>F29/12*G29</f>
        <v>556.50333333333333</v>
      </c>
      <c r="J29" s="18">
        <f>F29/12*G29</f>
        <v>556.50333333333333</v>
      </c>
      <c r="K29" s="18">
        <f>F29/12*G29</f>
        <v>556.50333333333333</v>
      </c>
      <c r="L29" s="18">
        <f>F29/12*G29</f>
        <v>556.50333333333333</v>
      </c>
      <c r="M29" s="18">
        <f>F29/12*G29</f>
        <v>556.50333333333333</v>
      </c>
      <c r="N29" s="18">
        <f>F29/12*G29</f>
        <v>556.50333333333333</v>
      </c>
      <c r="O29" s="18">
        <f>F29/12*G29</f>
        <v>556.50333333333333</v>
      </c>
      <c r="P29" s="18">
        <f>F29/12*G29</f>
        <v>556.50333333333333</v>
      </c>
      <c r="Q29" s="18">
        <f>F29/12*G29</f>
        <v>556.50333333333333</v>
      </c>
      <c r="R29" s="18">
        <f>F29/12*G29</f>
        <v>556.50333333333333</v>
      </c>
      <c r="S29" s="18">
        <f>F29/12*G29</f>
        <v>556.50333333333333</v>
      </c>
      <c r="T29" s="18">
        <f>F29/12*G29</f>
        <v>556.50333333333333</v>
      </c>
      <c r="U29" s="18">
        <f t="shared" si="14"/>
        <v>6678.0399999999981</v>
      </c>
    </row>
    <row r="30" spans="1:21" ht="12.75" customHeight="1">
      <c r="A30" s="25" t="s">
        <v>186</v>
      </c>
      <c r="B30" s="8" t="s">
        <v>138</v>
      </c>
      <c r="C30" s="25" t="s">
        <v>37</v>
      </c>
      <c r="D30" s="8" t="s">
        <v>39</v>
      </c>
      <c r="E30" s="26"/>
      <c r="F30" s="21">
        <v>2</v>
      </c>
      <c r="G30" s="21">
        <v>238.07</v>
      </c>
      <c r="H30" s="21">
        <f t="shared" si="13"/>
        <v>0.47614000000000001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f t="shared" si="14"/>
        <v>0</v>
      </c>
    </row>
    <row r="31" spans="1:21" ht="12.75" customHeight="1">
      <c r="A31" s="25" t="s">
        <v>129</v>
      </c>
      <c r="B31" s="8" t="s">
        <v>139</v>
      </c>
      <c r="C31" s="25" t="s">
        <v>40</v>
      </c>
      <c r="D31" s="8" t="s">
        <v>39</v>
      </c>
      <c r="E31" s="26"/>
      <c r="F31" s="21">
        <v>3</v>
      </c>
      <c r="G31" s="21">
        <v>1413.96</v>
      </c>
      <c r="H31" s="21">
        <f t="shared" si="13"/>
        <v>4.2418800000000001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f t="shared" si="14"/>
        <v>0</v>
      </c>
    </row>
    <row r="32" spans="1:21">
      <c r="A32" s="25"/>
      <c r="B32" s="40" t="s">
        <v>41</v>
      </c>
      <c r="C32" s="25" t="s">
        <v>42</v>
      </c>
      <c r="D32" s="40" t="s">
        <v>43</v>
      </c>
      <c r="E32" s="26">
        <v>1832</v>
      </c>
      <c r="F32" s="21">
        <f>SUM(E32*12)</f>
        <v>21984</v>
      </c>
      <c r="G32" s="21">
        <v>5.25</v>
      </c>
      <c r="H32" s="21">
        <f t="shared" si="13"/>
        <v>115.416</v>
      </c>
      <c r="I32" s="18">
        <f>F32/12*G32</f>
        <v>9618</v>
      </c>
      <c r="J32" s="18">
        <f>F32/12*G32</f>
        <v>9618</v>
      </c>
      <c r="K32" s="18">
        <f>F32/12*G32</f>
        <v>9618</v>
      </c>
      <c r="L32" s="18">
        <f>F32/12*G32</f>
        <v>9618</v>
      </c>
      <c r="M32" s="18">
        <f>F32/12*G32</f>
        <v>9618</v>
      </c>
      <c r="N32" s="18">
        <f>F32/12*G32</f>
        <v>9618</v>
      </c>
      <c r="O32" s="18">
        <f>F32/12*G32</f>
        <v>9618</v>
      </c>
      <c r="P32" s="18">
        <f>F32/12*G32</f>
        <v>9618</v>
      </c>
      <c r="Q32" s="18">
        <f t="shared" ref="Q32" si="21">F32/12*G32</f>
        <v>9618</v>
      </c>
      <c r="R32" s="18">
        <f t="shared" ref="R32" si="22">F32/12*G32</f>
        <v>9618</v>
      </c>
      <c r="S32" s="18">
        <f t="shared" ref="S32" si="23">F32/12*G32</f>
        <v>9618</v>
      </c>
      <c r="T32" s="18">
        <f t="shared" ref="T32" si="24">F32/12*G32</f>
        <v>9618</v>
      </c>
      <c r="U32" s="18">
        <f t="shared" si="14"/>
        <v>115416</v>
      </c>
    </row>
    <row r="33" spans="1:21" s="12" customFormat="1">
      <c r="A33" s="43"/>
      <c r="B33" s="36" t="s">
        <v>27</v>
      </c>
      <c r="C33" s="42"/>
      <c r="D33" s="36"/>
      <c r="E33" s="37"/>
      <c r="F33" s="19"/>
      <c r="G33" s="19"/>
      <c r="H33" s="61">
        <f>SUM(H24:H32)</f>
        <v>143.30125638266668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>
        <f>SUM(U24:U32)</f>
        <v>138583.23638266666</v>
      </c>
    </row>
    <row r="34" spans="1:21">
      <c r="A34" s="25"/>
      <c r="B34" s="75" t="s">
        <v>44</v>
      </c>
      <c r="C34" s="25"/>
      <c r="D34" s="8"/>
      <c r="E34" s="26"/>
      <c r="F34" s="21"/>
      <c r="G34" s="21"/>
      <c r="H34" s="21" t="s">
        <v>43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12.75" customHeight="1">
      <c r="A35" s="25" t="s">
        <v>129</v>
      </c>
      <c r="B35" s="9" t="s">
        <v>45</v>
      </c>
      <c r="C35" s="25" t="s">
        <v>40</v>
      </c>
      <c r="D35" s="8"/>
      <c r="E35" s="26"/>
      <c r="F35" s="21">
        <v>2</v>
      </c>
      <c r="G35" s="21">
        <v>1900.37</v>
      </c>
      <c r="H35" s="21">
        <f t="shared" ref="H35:H40" si="25">SUM(F35*G35/1000)</f>
        <v>3.8007399999999998</v>
      </c>
      <c r="I35" s="18">
        <f t="shared" ref="I35:I40" si="26">F35/6*G35</f>
        <v>633.45666666666659</v>
      </c>
      <c r="J35" s="18">
        <f t="shared" ref="J35:J40" si="27">F35/6*G35</f>
        <v>633.45666666666659</v>
      </c>
      <c r="K35" s="18">
        <f>F35/6*G35</f>
        <v>633.45666666666659</v>
      </c>
      <c r="L35" s="18">
        <f>F35/6*G35</f>
        <v>633.45666666666659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f>F35/6*G35</f>
        <v>633.45666666666659</v>
      </c>
      <c r="T35" s="18">
        <f>F35/6*G35</f>
        <v>633.45666666666659</v>
      </c>
      <c r="U35" s="18">
        <f t="shared" ref="U35:U40" si="28">SUM(I35:T35)</f>
        <v>3800.7399999999993</v>
      </c>
    </row>
    <row r="36" spans="1:21" s="1" customFormat="1">
      <c r="A36" s="27" t="s">
        <v>188</v>
      </c>
      <c r="B36" s="9" t="s">
        <v>46</v>
      </c>
      <c r="C36" s="27" t="s">
        <v>47</v>
      </c>
      <c r="D36" s="9" t="s">
        <v>145</v>
      </c>
      <c r="E36" s="22">
        <v>42.5</v>
      </c>
      <c r="F36" s="22">
        <f>SUM(E36*30/1000)</f>
        <v>1.2749999999999999</v>
      </c>
      <c r="G36" s="22">
        <v>2616.4899999999998</v>
      </c>
      <c r="H36" s="21">
        <f t="shared" si="25"/>
        <v>3.3360247499999995</v>
      </c>
      <c r="I36" s="20">
        <f t="shared" si="26"/>
        <v>556.00412499999993</v>
      </c>
      <c r="J36" s="20">
        <f t="shared" si="27"/>
        <v>556.00412499999993</v>
      </c>
      <c r="K36" s="18">
        <f t="shared" ref="K36:K40" si="29">F36/6*G36</f>
        <v>556.00412499999993</v>
      </c>
      <c r="L36" s="18">
        <f t="shared" ref="L36:L40" si="30">F36/6*G36</f>
        <v>556.00412499999993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f t="shared" ref="S36:S40" si="31">F36/6*G36</f>
        <v>556.00412499999993</v>
      </c>
      <c r="T36" s="18">
        <f t="shared" ref="T36:T40" si="32">F36/6*G36</f>
        <v>556.00412499999993</v>
      </c>
      <c r="U36" s="18">
        <f t="shared" si="28"/>
        <v>3336.0247499999996</v>
      </c>
    </row>
    <row r="37" spans="1:21" ht="24.75" customHeight="1">
      <c r="A37" s="25" t="s">
        <v>189</v>
      </c>
      <c r="B37" s="8" t="s">
        <v>133</v>
      </c>
      <c r="C37" s="25" t="s">
        <v>47</v>
      </c>
      <c r="D37" s="8" t="s">
        <v>48</v>
      </c>
      <c r="E37" s="21">
        <v>42.5</v>
      </c>
      <c r="F37" s="22">
        <f>SUM(E37*155/1000)</f>
        <v>6.5875000000000004</v>
      </c>
      <c r="G37" s="21">
        <v>436.45</v>
      </c>
      <c r="H37" s="21">
        <f t="shared" si="25"/>
        <v>2.8751143749999999</v>
      </c>
      <c r="I37" s="18">
        <f t="shared" si="26"/>
        <v>479.18572916666665</v>
      </c>
      <c r="J37" s="18">
        <f t="shared" si="27"/>
        <v>479.18572916666665</v>
      </c>
      <c r="K37" s="18">
        <f t="shared" si="29"/>
        <v>479.18572916666665</v>
      </c>
      <c r="L37" s="18">
        <f t="shared" si="30"/>
        <v>479.18572916666665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f t="shared" si="31"/>
        <v>479.18572916666665</v>
      </c>
      <c r="T37" s="18">
        <f t="shared" si="32"/>
        <v>479.18572916666665</v>
      </c>
      <c r="U37" s="18">
        <f t="shared" si="28"/>
        <v>2875.1143749999997</v>
      </c>
    </row>
    <row r="38" spans="1:21" ht="51" customHeight="1">
      <c r="A38" s="25" t="s">
        <v>190</v>
      </c>
      <c r="B38" s="8" t="s">
        <v>134</v>
      </c>
      <c r="C38" s="25" t="s">
        <v>30</v>
      </c>
      <c r="D38" s="8" t="s">
        <v>146</v>
      </c>
      <c r="E38" s="21">
        <v>42.5</v>
      </c>
      <c r="F38" s="22">
        <f>SUM(E38*35/1000)</f>
        <v>1.4875</v>
      </c>
      <c r="G38" s="21">
        <v>7221.21</v>
      </c>
      <c r="H38" s="21">
        <f t="shared" si="25"/>
        <v>10.741549875</v>
      </c>
      <c r="I38" s="18">
        <f t="shared" si="26"/>
        <v>1790.2583125000001</v>
      </c>
      <c r="J38" s="18">
        <f t="shared" si="27"/>
        <v>1790.2583125000001</v>
      </c>
      <c r="K38" s="18">
        <f t="shared" si="29"/>
        <v>1790.2583125000001</v>
      </c>
      <c r="L38" s="18">
        <f t="shared" si="30"/>
        <v>1790.2583125000001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f t="shared" si="31"/>
        <v>1790.2583125000001</v>
      </c>
      <c r="T38" s="18">
        <f t="shared" si="32"/>
        <v>1790.2583125000001</v>
      </c>
      <c r="U38" s="18">
        <f t="shared" si="28"/>
        <v>10741.549875000001</v>
      </c>
    </row>
    <row r="39" spans="1:21" ht="12.75" customHeight="1">
      <c r="A39" s="25" t="s">
        <v>191</v>
      </c>
      <c r="B39" s="8" t="s">
        <v>135</v>
      </c>
      <c r="C39" s="25" t="s">
        <v>30</v>
      </c>
      <c r="D39" s="8" t="s">
        <v>106</v>
      </c>
      <c r="E39" s="21">
        <v>42.5</v>
      </c>
      <c r="F39" s="22">
        <f>SUM(E39*20/1000)</f>
        <v>0.85</v>
      </c>
      <c r="G39" s="21">
        <v>533.45000000000005</v>
      </c>
      <c r="H39" s="21">
        <f t="shared" si="25"/>
        <v>0.45343250000000002</v>
      </c>
      <c r="I39" s="18">
        <v>0</v>
      </c>
      <c r="J39" s="18">
        <v>0</v>
      </c>
      <c r="K39" s="18">
        <f>F39/2*G39</f>
        <v>226.71625</v>
      </c>
      <c r="L39" s="18">
        <f>F39/2*G39</f>
        <v>226.71625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f t="shared" si="28"/>
        <v>453.4325</v>
      </c>
    </row>
    <row r="40" spans="1:21" s="2" customFormat="1">
      <c r="A40" s="27"/>
      <c r="B40" s="9" t="s">
        <v>136</v>
      </c>
      <c r="C40" s="27" t="s">
        <v>37</v>
      </c>
      <c r="D40" s="9"/>
      <c r="E40" s="30"/>
      <c r="F40" s="22">
        <v>0.5</v>
      </c>
      <c r="G40" s="22">
        <v>992.97</v>
      </c>
      <c r="H40" s="21">
        <f t="shared" si="25"/>
        <v>0.49648500000000001</v>
      </c>
      <c r="I40" s="20">
        <f t="shared" si="26"/>
        <v>82.747500000000002</v>
      </c>
      <c r="J40" s="20">
        <f t="shared" si="27"/>
        <v>82.747500000000002</v>
      </c>
      <c r="K40" s="18">
        <f t="shared" si="29"/>
        <v>82.747500000000002</v>
      </c>
      <c r="L40" s="18">
        <f t="shared" si="30"/>
        <v>82.747500000000002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f t="shared" si="31"/>
        <v>82.747500000000002</v>
      </c>
      <c r="T40" s="18">
        <f t="shared" si="32"/>
        <v>82.747500000000002</v>
      </c>
      <c r="U40" s="18">
        <f t="shared" si="28"/>
        <v>496.48500000000001</v>
      </c>
    </row>
    <row r="41" spans="1:21" s="12" customFormat="1">
      <c r="A41" s="43"/>
      <c r="B41" s="36" t="s">
        <v>27</v>
      </c>
      <c r="C41" s="42"/>
      <c r="D41" s="36"/>
      <c r="E41" s="37"/>
      <c r="F41" s="19" t="s">
        <v>43</v>
      </c>
      <c r="G41" s="19"/>
      <c r="H41" s="61">
        <f>SUM(H35:H40)</f>
        <v>21.703346500000002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>
        <f>SUM(U35:U40)</f>
        <v>21703.346499999996</v>
      </c>
    </row>
    <row r="42" spans="1:21">
      <c r="A42" s="25"/>
      <c r="B42" s="100" t="s">
        <v>49</v>
      </c>
      <c r="C42" s="25"/>
      <c r="D42" s="8"/>
      <c r="E42" s="26"/>
      <c r="F42" s="21"/>
      <c r="G42" s="21"/>
      <c r="H42" s="2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>
      <c r="A43" s="25" t="s">
        <v>192</v>
      </c>
      <c r="B43" s="8" t="s">
        <v>137</v>
      </c>
      <c r="C43" s="25" t="s">
        <v>30</v>
      </c>
      <c r="D43" s="8" t="s">
        <v>50</v>
      </c>
      <c r="E43" s="26">
        <v>1060.4000000000001</v>
      </c>
      <c r="F43" s="21">
        <f>SUM(E43*2/1000)</f>
        <v>2.1208</v>
      </c>
      <c r="G43" s="21">
        <v>1283.46</v>
      </c>
      <c r="H43" s="21">
        <f t="shared" ref="H43:H53" si="33">SUM(F43*G43/1000)</f>
        <v>2.721961968</v>
      </c>
      <c r="I43" s="18">
        <v>0</v>
      </c>
      <c r="J43" s="18">
        <v>0</v>
      </c>
      <c r="K43" s="18">
        <v>0</v>
      </c>
      <c r="L43" s="18">
        <v>0</v>
      </c>
      <c r="M43" s="18">
        <f>F43/2*G43</f>
        <v>1360.980984</v>
      </c>
      <c r="N43" s="18">
        <v>0</v>
      </c>
      <c r="O43" s="18">
        <v>0</v>
      </c>
      <c r="P43" s="18">
        <v>0</v>
      </c>
      <c r="Q43" s="18">
        <f>F43/2*G43</f>
        <v>1360.980984</v>
      </c>
      <c r="R43" s="18">
        <v>0</v>
      </c>
      <c r="S43" s="18">
        <v>0</v>
      </c>
      <c r="T43" s="18">
        <v>0</v>
      </c>
      <c r="U43" s="18">
        <f t="shared" ref="U43:U53" si="34">SUM(I43:T43)</f>
        <v>2721.9619680000001</v>
      </c>
    </row>
    <row r="44" spans="1:21">
      <c r="A44" s="25" t="s">
        <v>193</v>
      </c>
      <c r="B44" s="8" t="s">
        <v>51</v>
      </c>
      <c r="C44" s="25" t="s">
        <v>30</v>
      </c>
      <c r="D44" s="8" t="s">
        <v>50</v>
      </c>
      <c r="E44" s="26">
        <v>19.8</v>
      </c>
      <c r="F44" s="21">
        <f>SUM(E44*2/1000)</f>
        <v>3.9600000000000003E-2</v>
      </c>
      <c r="G44" s="21">
        <v>721.04</v>
      </c>
      <c r="H44" s="21">
        <f t="shared" si="33"/>
        <v>2.8553184000000002E-2</v>
      </c>
      <c r="I44" s="18">
        <v>0</v>
      </c>
      <c r="J44" s="18">
        <v>0</v>
      </c>
      <c r="K44" s="18">
        <v>0</v>
      </c>
      <c r="L44" s="18">
        <v>0</v>
      </c>
      <c r="M44" s="18">
        <f t="shared" ref="M44:M47" si="35">F44/2*G44</f>
        <v>14.276592000000001</v>
      </c>
      <c r="N44" s="18">
        <v>0</v>
      </c>
      <c r="O44" s="18">
        <v>0</v>
      </c>
      <c r="P44" s="18">
        <v>0</v>
      </c>
      <c r="Q44" s="18">
        <f t="shared" ref="Q44:Q47" si="36">F44/2*G44</f>
        <v>14.276592000000001</v>
      </c>
      <c r="R44" s="18">
        <v>0</v>
      </c>
      <c r="S44" s="18">
        <v>0</v>
      </c>
      <c r="T44" s="18">
        <v>0</v>
      </c>
      <c r="U44" s="18">
        <f t="shared" si="34"/>
        <v>28.553184000000002</v>
      </c>
    </row>
    <row r="45" spans="1:21" ht="12.75" customHeight="1">
      <c r="A45" s="25" t="s">
        <v>194</v>
      </c>
      <c r="B45" s="8" t="s">
        <v>52</v>
      </c>
      <c r="C45" s="25" t="s">
        <v>30</v>
      </c>
      <c r="D45" s="8" t="s">
        <v>50</v>
      </c>
      <c r="E45" s="26">
        <v>660.84</v>
      </c>
      <c r="F45" s="21">
        <f>SUM(E45*2/1000)</f>
        <v>1.32168</v>
      </c>
      <c r="G45" s="21">
        <v>1711.28</v>
      </c>
      <c r="H45" s="21">
        <f t="shared" si="33"/>
        <v>2.2617645503999997</v>
      </c>
      <c r="I45" s="18">
        <v>0</v>
      </c>
      <c r="J45" s="18">
        <v>0</v>
      </c>
      <c r="K45" s="18">
        <v>0</v>
      </c>
      <c r="L45" s="18">
        <v>0</v>
      </c>
      <c r="M45" s="18">
        <f t="shared" si="35"/>
        <v>1130.8822751999999</v>
      </c>
      <c r="N45" s="18">
        <v>0</v>
      </c>
      <c r="O45" s="18">
        <v>0</v>
      </c>
      <c r="P45" s="18">
        <v>0</v>
      </c>
      <c r="Q45" s="18">
        <f t="shared" si="36"/>
        <v>1130.8822751999999</v>
      </c>
      <c r="R45" s="18">
        <v>0</v>
      </c>
      <c r="S45" s="18">
        <v>0</v>
      </c>
      <c r="T45" s="18">
        <v>0</v>
      </c>
      <c r="U45" s="18">
        <f t="shared" si="34"/>
        <v>2261.7645503999997</v>
      </c>
    </row>
    <row r="46" spans="1:21">
      <c r="A46" s="25" t="s">
        <v>195</v>
      </c>
      <c r="B46" s="8" t="s">
        <v>53</v>
      </c>
      <c r="C46" s="25" t="s">
        <v>30</v>
      </c>
      <c r="D46" s="8" t="s">
        <v>50</v>
      </c>
      <c r="E46" s="26">
        <v>1156.21</v>
      </c>
      <c r="F46" s="21">
        <f>SUM(E46*2/1000)</f>
        <v>2.3124199999999999</v>
      </c>
      <c r="G46" s="21">
        <v>1179.73</v>
      </c>
      <c r="H46" s="21">
        <f t="shared" si="33"/>
        <v>2.7280312466000001</v>
      </c>
      <c r="I46" s="18">
        <v>0</v>
      </c>
      <c r="J46" s="18">
        <v>0</v>
      </c>
      <c r="K46" s="18">
        <v>0</v>
      </c>
      <c r="L46" s="18">
        <v>0</v>
      </c>
      <c r="M46" s="18">
        <f t="shared" si="35"/>
        <v>1364.0156233</v>
      </c>
      <c r="N46" s="18">
        <v>0</v>
      </c>
      <c r="O46" s="18">
        <v>0</v>
      </c>
      <c r="P46" s="18">
        <v>0</v>
      </c>
      <c r="Q46" s="18">
        <f t="shared" si="36"/>
        <v>1364.0156233</v>
      </c>
      <c r="R46" s="18">
        <v>0</v>
      </c>
      <c r="S46" s="18">
        <v>0</v>
      </c>
      <c r="T46" s="18">
        <v>0</v>
      </c>
      <c r="U46" s="18">
        <f t="shared" si="34"/>
        <v>2728.0312466</v>
      </c>
    </row>
    <row r="47" spans="1:21">
      <c r="A47" s="25" t="s">
        <v>196</v>
      </c>
      <c r="B47" s="8" t="s">
        <v>54</v>
      </c>
      <c r="C47" s="25" t="s">
        <v>55</v>
      </c>
      <c r="D47" s="8" t="s">
        <v>50</v>
      </c>
      <c r="E47" s="26">
        <v>15.38</v>
      </c>
      <c r="F47" s="21">
        <f>SUM(E47*2/100)</f>
        <v>0.30760000000000004</v>
      </c>
      <c r="G47" s="21">
        <v>90.61</v>
      </c>
      <c r="H47" s="21">
        <f t="shared" si="33"/>
        <v>2.7871636000000002E-2</v>
      </c>
      <c r="I47" s="18">
        <v>0</v>
      </c>
      <c r="J47" s="18">
        <v>0</v>
      </c>
      <c r="K47" s="18">
        <v>0</v>
      </c>
      <c r="L47" s="18">
        <v>0</v>
      </c>
      <c r="M47" s="18">
        <f t="shared" si="35"/>
        <v>13.935818000000001</v>
      </c>
      <c r="N47" s="18">
        <v>0</v>
      </c>
      <c r="O47" s="18">
        <v>0</v>
      </c>
      <c r="P47" s="18">
        <v>0</v>
      </c>
      <c r="Q47" s="18">
        <f t="shared" si="36"/>
        <v>13.935818000000001</v>
      </c>
      <c r="R47" s="18">
        <v>0</v>
      </c>
      <c r="S47" s="18">
        <v>0</v>
      </c>
      <c r="T47" s="18">
        <v>0</v>
      </c>
      <c r="U47" s="18">
        <f t="shared" si="34"/>
        <v>27.871636000000002</v>
      </c>
    </row>
    <row r="48" spans="1:21" ht="25.5">
      <c r="A48" s="25" t="s">
        <v>197</v>
      </c>
      <c r="B48" s="8" t="s">
        <v>56</v>
      </c>
      <c r="C48" s="25" t="s">
        <v>30</v>
      </c>
      <c r="D48" s="8" t="s">
        <v>57</v>
      </c>
      <c r="E48" s="26">
        <v>823</v>
      </c>
      <c r="F48" s="21">
        <f>SUM(E48*5/1000)</f>
        <v>4.1150000000000002</v>
      </c>
      <c r="G48" s="21">
        <v>1711.28</v>
      </c>
      <c r="H48" s="21">
        <f t="shared" si="33"/>
        <v>7.0419171999999994</v>
      </c>
      <c r="I48" s="18">
        <f>F48/5*G48</f>
        <v>1408.3834400000001</v>
      </c>
      <c r="J48" s="18">
        <f>F48/5*G48</f>
        <v>1408.3834400000001</v>
      </c>
      <c r="K48" s="18">
        <v>0</v>
      </c>
      <c r="L48" s="18">
        <v>0</v>
      </c>
      <c r="M48" s="18">
        <f>F48/5*G48</f>
        <v>1408.3834400000001</v>
      </c>
      <c r="N48" s="18">
        <v>0</v>
      </c>
      <c r="O48" s="18">
        <v>0</v>
      </c>
      <c r="P48" s="18">
        <v>0</v>
      </c>
      <c r="Q48" s="18">
        <f>F48/5*G48</f>
        <v>1408.3834400000001</v>
      </c>
      <c r="R48" s="18">
        <v>0</v>
      </c>
      <c r="S48" s="18">
        <v>0</v>
      </c>
      <c r="T48" s="18">
        <f>F48/5*G48</f>
        <v>1408.3834400000001</v>
      </c>
      <c r="U48" s="18">
        <f t="shared" si="34"/>
        <v>7041.9171999999999</v>
      </c>
    </row>
    <row r="49" spans="1:21" ht="38.25" customHeight="1">
      <c r="A49" s="25" t="s">
        <v>198</v>
      </c>
      <c r="B49" s="8" t="s">
        <v>58</v>
      </c>
      <c r="C49" s="25" t="s">
        <v>30</v>
      </c>
      <c r="D49" s="8" t="s">
        <v>50</v>
      </c>
      <c r="E49" s="26">
        <v>823</v>
      </c>
      <c r="F49" s="21">
        <f>SUM(E49*2/1000)</f>
        <v>1.6459999999999999</v>
      </c>
      <c r="G49" s="21">
        <v>1510.06</v>
      </c>
      <c r="H49" s="21">
        <f t="shared" si="33"/>
        <v>2.48555876</v>
      </c>
      <c r="I49" s="18">
        <v>0</v>
      </c>
      <c r="J49" s="18">
        <v>0</v>
      </c>
      <c r="K49" s="18">
        <v>0</v>
      </c>
      <c r="L49" s="18">
        <v>0</v>
      </c>
      <c r="M49" s="18">
        <f>F49/2*G49</f>
        <v>1242.7793799999999</v>
      </c>
      <c r="N49" s="18">
        <v>0</v>
      </c>
      <c r="O49" s="18">
        <v>0</v>
      </c>
      <c r="P49" s="18">
        <v>0</v>
      </c>
      <c r="Q49" s="18">
        <v>0</v>
      </c>
      <c r="R49" s="18">
        <f>F49/2*G49</f>
        <v>1242.7793799999999</v>
      </c>
      <c r="S49" s="18">
        <v>0</v>
      </c>
      <c r="T49" s="18">
        <v>0</v>
      </c>
      <c r="U49" s="18">
        <f t="shared" si="34"/>
        <v>2485.5587599999999</v>
      </c>
    </row>
    <row r="50" spans="1:21" ht="25.5" customHeight="1">
      <c r="A50" s="25" t="s">
        <v>199</v>
      </c>
      <c r="B50" s="8" t="s">
        <v>59</v>
      </c>
      <c r="C50" s="25" t="s">
        <v>60</v>
      </c>
      <c r="D50" s="8" t="s">
        <v>50</v>
      </c>
      <c r="E50" s="26">
        <v>9</v>
      </c>
      <c r="F50" s="21">
        <f>SUM(E50*2/100)</f>
        <v>0.18</v>
      </c>
      <c r="G50" s="21">
        <v>3850.4</v>
      </c>
      <c r="H50" s="21">
        <f t="shared" si="33"/>
        <v>0.69307200000000002</v>
      </c>
      <c r="I50" s="18">
        <v>0</v>
      </c>
      <c r="J50" s="18">
        <v>0</v>
      </c>
      <c r="K50" s="18">
        <v>0</v>
      </c>
      <c r="L50" s="18">
        <v>0</v>
      </c>
      <c r="M50" s="18">
        <f>F50/2*G50</f>
        <v>346.536</v>
      </c>
      <c r="N50" s="18">
        <v>0</v>
      </c>
      <c r="O50" s="18">
        <v>0</v>
      </c>
      <c r="P50" s="18">
        <v>0</v>
      </c>
      <c r="Q50" s="18">
        <v>0</v>
      </c>
      <c r="R50" s="18">
        <f>F50/2*G50</f>
        <v>346.536</v>
      </c>
      <c r="S50" s="18">
        <v>0</v>
      </c>
      <c r="T50" s="18">
        <v>0</v>
      </c>
      <c r="U50" s="18">
        <f t="shared" si="34"/>
        <v>693.072</v>
      </c>
    </row>
    <row r="51" spans="1:21">
      <c r="A51" s="25" t="s">
        <v>200</v>
      </c>
      <c r="B51" s="8" t="s">
        <v>61</v>
      </c>
      <c r="C51" s="25" t="s">
        <v>62</v>
      </c>
      <c r="D51" s="8" t="s">
        <v>50</v>
      </c>
      <c r="E51" s="26">
        <v>1</v>
      </c>
      <c r="F51" s="21">
        <v>0.02</v>
      </c>
      <c r="G51" s="21">
        <v>7033.13</v>
      </c>
      <c r="H51" s="21">
        <f t="shared" si="33"/>
        <v>0.1406626</v>
      </c>
      <c r="I51" s="18">
        <v>0</v>
      </c>
      <c r="J51" s="18">
        <v>0</v>
      </c>
      <c r="K51" s="18">
        <v>0</v>
      </c>
      <c r="L51" s="18">
        <v>0</v>
      </c>
      <c r="M51" s="18">
        <f>F51/2*G51</f>
        <v>70.331299999999999</v>
      </c>
      <c r="N51" s="18">
        <v>0</v>
      </c>
      <c r="O51" s="18">
        <v>0</v>
      </c>
      <c r="P51" s="18">
        <v>0</v>
      </c>
      <c r="Q51" s="18">
        <v>0</v>
      </c>
      <c r="R51" s="18">
        <f>F51/2*G51</f>
        <v>70.331299999999999</v>
      </c>
      <c r="S51" s="18">
        <v>0</v>
      </c>
      <c r="T51" s="18">
        <v>0</v>
      </c>
      <c r="U51" s="18">
        <f t="shared" si="34"/>
        <v>140.6626</v>
      </c>
    </row>
    <row r="52" spans="1:21" ht="13.5" customHeight="1">
      <c r="A52" s="25" t="s">
        <v>63</v>
      </c>
      <c r="B52" s="8" t="s">
        <v>64</v>
      </c>
      <c r="C52" s="25" t="s">
        <v>65</v>
      </c>
      <c r="D52" s="8" t="s">
        <v>107</v>
      </c>
      <c r="E52" s="26">
        <v>36</v>
      </c>
      <c r="F52" s="21">
        <f>SUM(E52*3)</f>
        <v>108</v>
      </c>
      <c r="G52" s="22">
        <v>175.6</v>
      </c>
      <c r="H52" s="21">
        <f t="shared" si="33"/>
        <v>18.9648</v>
      </c>
      <c r="I52" s="18">
        <f>E52*G52</f>
        <v>6321.5999999999995</v>
      </c>
      <c r="J52" s="18">
        <v>0</v>
      </c>
      <c r="K52" s="18">
        <v>0</v>
      </c>
      <c r="L52" s="18">
        <v>0</v>
      </c>
      <c r="M52" s="18">
        <v>0</v>
      </c>
      <c r="N52" s="18">
        <f>E52*G52</f>
        <v>6321.5999999999995</v>
      </c>
      <c r="O52" s="18">
        <v>0</v>
      </c>
      <c r="P52" s="18">
        <v>0</v>
      </c>
      <c r="Q52" s="18">
        <v>0</v>
      </c>
      <c r="R52" s="18">
        <f>E52*G52</f>
        <v>6321.5999999999995</v>
      </c>
      <c r="S52" s="18">
        <v>0</v>
      </c>
      <c r="T52" s="18">
        <v>0</v>
      </c>
      <c r="U52" s="18">
        <f t="shared" si="34"/>
        <v>18964.8</v>
      </c>
    </row>
    <row r="53" spans="1:21" ht="13.5" customHeight="1">
      <c r="A53" s="25" t="s">
        <v>66</v>
      </c>
      <c r="B53" s="8" t="s">
        <v>67</v>
      </c>
      <c r="C53" s="25" t="s">
        <v>65</v>
      </c>
      <c r="D53" s="8" t="s">
        <v>107</v>
      </c>
      <c r="E53" s="26">
        <v>36</v>
      </c>
      <c r="F53" s="21">
        <f>SUM(E53)*3</f>
        <v>108</v>
      </c>
      <c r="G53" s="22">
        <v>81.73</v>
      </c>
      <c r="H53" s="21">
        <f t="shared" si="33"/>
        <v>8.8268400000000007</v>
      </c>
      <c r="I53" s="18">
        <f>E53*G53</f>
        <v>2942.28</v>
      </c>
      <c r="J53" s="18">
        <v>0</v>
      </c>
      <c r="K53" s="18">
        <v>0</v>
      </c>
      <c r="L53" s="18">
        <v>0</v>
      </c>
      <c r="M53" s="18">
        <v>0</v>
      </c>
      <c r="N53" s="18">
        <f>E53*G53</f>
        <v>2942.28</v>
      </c>
      <c r="O53" s="18">
        <v>0</v>
      </c>
      <c r="P53" s="18">
        <v>0</v>
      </c>
      <c r="Q53" s="18">
        <v>0</v>
      </c>
      <c r="R53" s="18">
        <f>E53*G53</f>
        <v>2942.28</v>
      </c>
      <c r="S53" s="18">
        <v>0</v>
      </c>
      <c r="T53" s="18">
        <v>0</v>
      </c>
      <c r="U53" s="18">
        <f t="shared" si="34"/>
        <v>8826.84</v>
      </c>
    </row>
    <row r="54" spans="1:21" s="13" customFormat="1">
      <c r="A54" s="31"/>
      <c r="B54" s="36" t="s">
        <v>27</v>
      </c>
      <c r="C54" s="101"/>
      <c r="D54" s="36"/>
      <c r="E54" s="102"/>
      <c r="F54" s="23"/>
      <c r="G54" s="23"/>
      <c r="H54" s="61">
        <f>SUM(H43:H53)</f>
        <v>45.921033144999996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>
        <f>SUM(U43:U53)</f>
        <v>45921.033144999994</v>
      </c>
    </row>
    <row r="55" spans="1:21">
      <c r="A55" s="25"/>
      <c r="B55" s="75" t="s">
        <v>68</v>
      </c>
      <c r="C55" s="25"/>
      <c r="D55" s="8"/>
      <c r="E55" s="26"/>
      <c r="F55" s="21"/>
      <c r="G55" s="21"/>
      <c r="H55" s="21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38.25" customHeight="1">
      <c r="A56" s="87" t="s">
        <v>201</v>
      </c>
      <c r="B56" s="8" t="s">
        <v>147</v>
      </c>
      <c r="C56" s="25" t="s">
        <v>13</v>
      </c>
      <c r="D56" s="8" t="s">
        <v>69</v>
      </c>
      <c r="E56" s="26">
        <v>71.02</v>
      </c>
      <c r="F56" s="21">
        <f>SUM(E56*6/100)</f>
        <v>4.2611999999999997</v>
      </c>
      <c r="G56" s="21">
        <v>2306.62</v>
      </c>
      <c r="H56" s="21">
        <f>SUM(F56*G56/1000)</f>
        <v>9.8289691439999984</v>
      </c>
      <c r="I56" s="18">
        <f>F56/6*G56</f>
        <v>1638.1615239999999</v>
      </c>
      <c r="J56" s="18">
        <f>F56/6*G56</f>
        <v>1638.1615239999999</v>
      </c>
      <c r="K56" s="18">
        <f>F56/6*G56</f>
        <v>1638.1615239999999</v>
      </c>
      <c r="L56" s="18">
        <f>F56/6*G56</f>
        <v>1638.1615239999999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f>F56/6*G56</f>
        <v>1638.1615239999999</v>
      </c>
      <c r="T56" s="18">
        <f>F56/6*G56</f>
        <v>1638.1615239999999</v>
      </c>
      <c r="U56" s="18">
        <f t="shared" ref="U56:U78" si="37">SUM(I56:T56)</f>
        <v>9828.9691439999988</v>
      </c>
    </row>
    <row r="57" spans="1:21">
      <c r="A57" s="25" t="s">
        <v>129</v>
      </c>
      <c r="B57" s="8" t="s">
        <v>130</v>
      </c>
      <c r="C57" s="25" t="s">
        <v>170</v>
      </c>
      <c r="D57" s="8" t="s">
        <v>39</v>
      </c>
      <c r="E57" s="24"/>
      <c r="F57" s="21">
        <v>2</v>
      </c>
      <c r="G57" s="22">
        <v>1501</v>
      </c>
      <c r="H57" s="21">
        <f>SUM(F57*G57/1000)</f>
        <v>3.0019999999999998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f t="shared" si="37"/>
        <v>0</v>
      </c>
    </row>
    <row r="58" spans="1:21">
      <c r="A58" s="25"/>
      <c r="B58" s="75" t="s">
        <v>70</v>
      </c>
      <c r="C58" s="25"/>
      <c r="D58" s="8"/>
      <c r="E58" s="26"/>
      <c r="F58" s="21"/>
      <c r="G58" s="21"/>
      <c r="H58" s="2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>
      <c r="A59" s="25" t="s">
        <v>202</v>
      </c>
      <c r="B59" s="8" t="s">
        <v>108</v>
      </c>
      <c r="C59" s="25" t="s">
        <v>23</v>
      </c>
      <c r="D59" s="8" t="s">
        <v>32</v>
      </c>
      <c r="E59" s="26">
        <v>434.4</v>
      </c>
      <c r="F59" s="21">
        <f>SUM(E59/100)</f>
        <v>4.3439999999999994</v>
      </c>
      <c r="G59" s="21">
        <v>987.51</v>
      </c>
      <c r="H59" s="21">
        <f>F59*G59/1000</f>
        <v>4.2897434399999996</v>
      </c>
      <c r="I59" s="18">
        <v>0</v>
      </c>
      <c r="J59" s="18">
        <v>0</v>
      </c>
      <c r="K59" s="18">
        <v>0</v>
      </c>
      <c r="L59" s="18">
        <v>0</v>
      </c>
      <c r="M59" s="18">
        <f>0</f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f t="shared" si="37"/>
        <v>0</v>
      </c>
    </row>
    <row r="60" spans="1:21">
      <c r="A60" s="25"/>
      <c r="B60" s="75" t="s">
        <v>71</v>
      </c>
      <c r="C60" s="25"/>
      <c r="D60" s="8"/>
      <c r="E60" s="26"/>
      <c r="F60" s="21"/>
      <c r="G60" s="21"/>
      <c r="H60" s="21" t="s">
        <v>43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>
      <c r="A61" s="25" t="s">
        <v>203</v>
      </c>
      <c r="B61" s="8" t="s">
        <v>72</v>
      </c>
      <c r="C61" s="25" t="s">
        <v>65</v>
      </c>
      <c r="D61" s="8" t="s">
        <v>39</v>
      </c>
      <c r="E61" s="26">
        <v>1</v>
      </c>
      <c r="F61" s="21">
        <f>E61</f>
        <v>1</v>
      </c>
      <c r="G61" s="21">
        <v>323.38</v>
      </c>
      <c r="H61" s="21">
        <f t="shared" ref="H61:H78" si="38">SUM(F61*G61/1000)</f>
        <v>0.32338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f t="shared" si="37"/>
        <v>0</v>
      </c>
    </row>
    <row r="62" spans="1:21">
      <c r="A62" s="25"/>
      <c r="B62" s="103" t="s">
        <v>73</v>
      </c>
      <c r="C62" s="25"/>
      <c r="D62" s="8"/>
      <c r="E62" s="26"/>
      <c r="F62" s="21"/>
      <c r="G62" s="21"/>
      <c r="H62" s="21" t="s">
        <v>43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12.75" customHeight="1">
      <c r="A63" s="25" t="s">
        <v>204</v>
      </c>
      <c r="B63" s="9" t="s">
        <v>74</v>
      </c>
      <c r="C63" s="25" t="s">
        <v>65</v>
      </c>
      <c r="D63" s="8" t="s">
        <v>39</v>
      </c>
      <c r="E63" s="26">
        <v>10</v>
      </c>
      <c r="F63" s="21">
        <v>10</v>
      </c>
      <c r="G63" s="21">
        <v>276.74</v>
      </c>
      <c r="H63" s="21">
        <f t="shared" si="38"/>
        <v>2.7674000000000003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f t="shared" si="37"/>
        <v>0</v>
      </c>
    </row>
    <row r="64" spans="1:21" ht="12.75" customHeight="1">
      <c r="A64" s="25" t="s">
        <v>205</v>
      </c>
      <c r="B64" s="9" t="s">
        <v>75</v>
      </c>
      <c r="C64" s="25" t="s">
        <v>65</v>
      </c>
      <c r="D64" s="8" t="s">
        <v>39</v>
      </c>
      <c r="E64" s="26">
        <v>3</v>
      </c>
      <c r="F64" s="21">
        <v>3</v>
      </c>
      <c r="G64" s="21">
        <v>94.89</v>
      </c>
      <c r="H64" s="21">
        <f t="shared" si="38"/>
        <v>0.28467000000000003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f t="shared" si="37"/>
        <v>0</v>
      </c>
    </row>
    <row r="65" spans="1:21" s="2" customFormat="1">
      <c r="A65" s="27" t="s">
        <v>206</v>
      </c>
      <c r="B65" s="9" t="s">
        <v>76</v>
      </c>
      <c r="C65" s="27" t="s">
        <v>77</v>
      </c>
      <c r="D65" s="8" t="s">
        <v>32</v>
      </c>
      <c r="E65" s="26">
        <v>7265</v>
      </c>
      <c r="F65" s="22">
        <f>SUM(E65/100)</f>
        <v>72.650000000000006</v>
      </c>
      <c r="G65" s="21">
        <v>263.99</v>
      </c>
      <c r="H65" s="21">
        <f t="shared" si="38"/>
        <v>19.178873500000002</v>
      </c>
      <c r="I65" s="20">
        <v>0</v>
      </c>
      <c r="J65" s="20">
        <v>0</v>
      </c>
      <c r="K65" s="20">
        <v>0</v>
      </c>
      <c r="L65" s="20">
        <v>0</v>
      </c>
      <c r="M65" s="18">
        <f>F65*G65</f>
        <v>19178.873500000002</v>
      </c>
      <c r="N65" s="20">
        <v>0</v>
      </c>
      <c r="O65" s="20">
        <v>0</v>
      </c>
      <c r="P65" s="20">
        <v>0</v>
      </c>
      <c r="Q65" s="20">
        <v>0</v>
      </c>
      <c r="R65" s="18">
        <v>0</v>
      </c>
      <c r="S65" s="20">
        <v>0</v>
      </c>
      <c r="T65" s="20">
        <v>0</v>
      </c>
      <c r="U65" s="18">
        <f t="shared" si="37"/>
        <v>19178.873500000002</v>
      </c>
    </row>
    <row r="66" spans="1:21" ht="12.75" customHeight="1">
      <c r="A66" s="25" t="s">
        <v>207</v>
      </c>
      <c r="B66" s="9" t="s">
        <v>78</v>
      </c>
      <c r="C66" s="25" t="s">
        <v>79</v>
      </c>
      <c r="D66" s="8" t="s">
        <v>32</v>
      </c>
      <c r="E66" s="26">
        <v>7265</v>
      </c>
      <c r="F66" s="21">
        <f>SUM(E66/1000)</f>
        <v>7.2649999999999997</v>
      </c>
      <c r="G66" s="21">
        <v>205.57</v>
      </c>
      <c r="H66" s="21">
        <f t="shared" si="38"/>
        <v>1.4934660500000001</v>
      </c>
      <c r="I66" s="18">
        <v>0</v>
      </c>
      <c r="J66" s="18">
        <v>0</v>
      </c>
      <c r="K66" s="18">
        <v>0</v>
      </c>
      <c r="L66" s="18">
        <v>0</v>
      </c>
      <c r="M66" s="18">
        <f t="shared" ref="M66:M69" si="39">F66*G66</f>
        <v>1493.46605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f t="shared" si="37"/>
        <v>1493.46605</v>
      </c>
    </row>
    <row r="67" spans="1:21">
      <c r="A67" s="25" t="s">
        <v>208</v>
      </c>
      <c r="B67" s="9" t="s">
        <v>80</v>
      </c>
      <c r="C67" s="25" t="s">
        <v>81</v>
      </c>
      <c r="D67" s="8" t="s">
        <v>32</v>
      </c>
      <c r="E67" s="26">
        <v>1090</v>
      </c>
      <c r="F67" s="21">
        <f>SUM(E67/100)</f>
        <v>10.9</v>
      </c>
      <c r="G67" s="21">
        <v>2581.5300000000002</v>
      </c>
      <c r="H67" s="21">
        <f t="shared" si="38"/>
        <v>28.138677000000005</v>
      </c>
      <c r="I67" s="18">
        <v>0</v>
      </c>
      <c r="J67" s="18">
        <v>0</v>
      </c>
      <c r="K67" s="18">
        <v>0</v>
      </c>
      <c r="L67" s="18">
        <v>0</v>
      </c>
      <c r="M67" s="18">
        <f>F67*G67</f>
        <v>28138.677000000003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f t="shared" si="37"/>
        <v>28138.677000000003</v>
      </c>
    </row>
    <row r="68" spans="1:21">
      <c r="A68" s="25"/>
      <c r="B68" s="10" t="s">
        <v>109</v>
      </c>
      <c r="C68" s="25" t="s">
        <v>37</v>
      </c>
      <c r="D68" s="8"/>
      <c r="E68" s="26">
        <v>7.4</v>
      </c>
      <c r="F68" s="21">
        <f>SUM(E68)</f>
        <v>7.4</v>
      </c>
      <c r="G68" s="21">
        <v>47.45</v>
      </c>
      <c r="H68" s="21">
        <f t="shared" si="38"/>
        <v>0.35113000000000005</v>
      </c>
      <c r="I68" s="18">
        <v>0</v>
      </c>
      <c r="J68" s="18">
        <v>0</v>
      </c>
      <c r="K68" s="18">
        <v>0</v>
      </c>
      <c r="L68" s="18">
        <v>0</v>
      </c>
      <c r="M68" s="18">
        <f t="shared" si="39"/>
        <v>351.13000000000005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f t="shared" si="37"/>
        <v>351.13000000000005</v>
      </c>
    </row>
    <row r="69" spans="1:21" ht="12.75" customHeight="1">
      <c r="A69" s="25"/>
      <c r="B69" s="10" t="s">
        <v>110</v>
      </c>
      <c r="C69" s="25" t="s">
        <v>37</v>
      </c>
      <c r="D69" s="8"/>
      <c r="E69" s="26">
        <v>7.4</v>
      </c>
      <c r="F69" s="21">
        <f>SUM(E69)</f>
        <v>7.4</v>
      </c>
      <c r="G69" s="21">
        <v>44.27</v>
      </c>
      <c r="H69" s="21">
        <f t="shared" si="38"/>
        <v>0.327598</v>
      </c>
      <c r="I69" s="18">
        <v>0</v>
      </c>
      <c r="J69" s="18">
        <v>0</v>
      </c>
      <c r="K69" s="18">
        <v>0</v>
      </c>
      <c r="L69" s="18">
        <v>0</v>
      </c>
      <c r="M69" s="18">
        <f t="shared" si="39"/>
        <v>327.59800000000001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f t="shared" si="37"/>
        <v>327.59800000000001</v>
      </c>
    </row>
    <row r="70" spans="1:21">
      <c r="A70" s="25" t="s">
        <v>209</v>
      </c>
      <c r="B70" s="8" t="s">
        <v>82</v>
      </c>
      <c r="C70" s="25" t="s">
        <v>83</v>
      </c>
      <c r="D70" s="8" t="s">
        <v>32</v>
      </c>
      <c r="E70" s="26">
        <v>3</v>
      </c>
      <c r="F70" s="21">
        <f>SUM(E70)</f>
        <v>3</v>
      </c>
      <c r="G70" s="21">
        <v>62.07</v>
      </c>
      <c r="H70" s="21">
        <f t="shared" si="38"/>
        <v>0.18621000000000001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f>G70*3</f>
        <v>186.21</v>
      </c>
      <c r="R70" s="18">
        <v>0</v>
      </c>
      <c r="S70" s="18">
        <v>0</v>
      </c>
      <c r="T70" s="18">
        <v>0</v>
      </c>
      <c r="U70" s="18">
        <f t="shared" si="37"/>
        <v>186.21</v>
      </c>
    </row>
    <row r="71" spans="1:21">
      <c r="A71" s="25"/>
      <c r="B71" s="75" t="s">
        <v>84</v>
      </c>
      <c r="C71" s="25"/>
      <c r="D71" s="8"/>
      <c r="E71" s="26"/>
      <c r="F71" s="21"/>
      <c r="G71" s="21"/>
      <c r="H71" s="21" t="s">
        <v>43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>
      <c r="A72" s="25" t="s">
        <v>210</v>
      </c>
      <c r="B72" s="8" t="s">
        <v>148</v>
      </c>
      <c r="C72" s="25" t="s">
        <v>165</v>
      </c>
      <c r="D72" s="8" t="s">
        <v>39</v>
      </c>
      <c r="E72" s="26">
        <v>1</v>
      </c>
      <c r="F72" s="21">
        <f>E72</f>
        <v>1</v>
      </c>
      <c r="G72" s="21">
        <v>976.4</v>
      </c>
      <c r="H72" s="21">
        <f>F72*G72/1000</f>
        <v>0.97639999999999993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f t="shared" si="37"/>
        <v>0</v>
      </c>
    </row>
    <row r="73" spans="1:21">
      <c r="A73" s="25" t="s">
        <v>149</v>
      </c>
      <c r="B73" s="8" t="s">
        <v>150</v>
      </c>
      <c r="C73" s="25" t="s">
        <v>168</v>
      </c>
      <c r="D73" s="8"/>
      <c r="E73" s="26">
        <v>1</v>
      </c>
      <c r="F73" s="21">
        <v>1</v>
      </c>
      <c r="G73" s="21">
        <v>750</v>
      </c>
      <c r="H73" s="21">
        <f>F73*G73/1000</f>
        <v>0.75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f t="shared" si="37"/>
        <v>0</v>
      </c>
    </row>
    <row r="74" spans="1:21">
      <c r="A74" s="25" t="s">
        <v>211</v>
      </c>
      <c r="B74" s="8" t="s">
        <v>85</v>
      </c>
      <c r="C74" s="25" t="s">
        <v>86</v>
      </c>
      <c r="D74" s="8" t="s">
        <v>39</v>
      </c>
      <c r="E74" s="26">
        <v>3</v>
      </c>
      <c r="F74" s="21">
        <f>SUM(E74/100)</f>
        <v>0.03</v>
      </c>
      <c r="G74" s="21">
        <v>624.16999999999996</v>
      </c>
      <c r="H74" s="21">
        <f>F74*G74/1000</f>
        <v>1.8725099999999998E-2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f t="shared" si="37"/>
        <v>0</v>
      </c>
    </row>
    <row r="75" spans="1:21">
      <c r="A75" s="25" t="s">
        <v>212</v>
      </c>
      <c r="B75" s="8" t="s">
        <v>111</v>
      </c>
      <c r="C75" s="25" t="s">
        <v>34</v>
      </c>
      <c r="D75" s="8" t="s">
        <v>39</v>
      </c>
      <c r="E75" s="26">
        <v>1</v>
      </c>
      <c r="F75" s="21">
        <v>1</v>
      </c>
      <c r="G75" s="21">
        <v>1061.4100000000001</v>
      </c>
      <c r="H75" s="21">
        <f>F75*G75/1000</f>
        <v>1.0614100000000002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f t="shared" si="37"/>
        <v>0</v>
      </c>
    </row>
    <row r="76" spans="1:21">
      <c r="A76" s="25" t="s">
        <v>213</v>
      </c>
      <c r="B76" s="8" t="s">
        <v>87</v>
      </c>
      <c r="C76" s="25" t="s">
        <v>34</v>
      </c>
      <c r="D76" s="8" t="s">
        <v>39</v>
      </c>
      <c r="E76" s="26">
        <v>1</v>
      </c>
      <c r="F76" s="21">
        <f>SUM(E76)</f>
        <v>1</v>
      </c>
      <c r="G76" s="21">
        <v>446.12</v>
      </c>
      <c r="H76" s="21">
        <f t="shared" si="38"/>
        <v>0.44612000000000002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f t="shared" si="37"/>
        <v>0</v>
      </c>
    </row>
    <row r="77" spans="1:21">
      <c r="A77" s="25"/>
      <c r="B77" s="76" t="s">
        <v>88</v>
      </c>
      <c r="C77" s="25"/>
      <c r="D77" s="8"/>
      <c r="E77" s="26"/>
      <c r="F77" s="21"/>
      <c r="G77" s="21" t="s">
        <v>43</v>
      </c>
      <c r="H77" s="21" t="s">
        <v>43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s="2" customFormat="1">
      <c r="A78" s="27" t="s">
        <v>89</v>
      </c>
      <c r="B78" s="29" t="s">
        <v>90</v>
      </c>
      <c r="C78" s="27" t="s">
        <v>81</v>
      </c>
      <c r="D78" s="9"/>
      <c r="E78" s="30"/>
      <c r="F78" s="22">
        <v>1.35</v>
      </c>
      <c r="G78" s="22">
        <v>3433.68</v>
      </c>
      <c r="H78" s="21">
        <f t="shared" si="38"/>
        <v>4.6354679999999995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18">
        <f t="shared" si="37"/>
        <v>0</v>
      </c>
    </row>
    <row r="79" spans="1:21" s="13" customFormat="1">
      <c r="A79" s="31"/>
      <c r="B79" s="36" t="s">
        <v>27</v>
      </c>
      <c r="C79" s="101"/>
      <c r="D79" s="104"/>
      <c r="E79" s="102"/>
      <c r="F79" s="23"/>
      <c r="G79" s="23"/>
      <c r="H79" s="61">
        <f>SUM(H56:H78)</f>
        <v>78.060240233999991</v>
      </c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>
        <f>SUM(U56:U78)</f>
        <v>59504.923693999997</v>
      </c>
    </row>
    <row r="80" spans="1:21" s="13" customFormat="1">
      <c r="A80" s="73"/>
      <c r="B80" s="77" t="s">
        <v>152</v>
      </c>
      <c r="C80" s="70"/>
      <c r="D80" s="71"/>
      <c r="E80" s="74"/>
      <c r="F80" s="72"/>
      <c r="G80" s="72"/>
      <c r="H80" s="72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21" s="13" customFormat="1" ht="25.5">
      <c r="A81" s="66" t="s">
        <v>214</v>
      </c>
      <c r="B81" s="78" t="s">
        <v>153</v>
      </c>
      <c r="C81" s="73" t="s">
        <v>154</v>
      </c>
      <c r="D81" s="78" t="s">
        <v>39</v>
      </c>
      <c r="E81" s="79">
        <v>6</v>
      </c>
      <c r="F81" s="80">
        <f>E81</f>
        <v>6</v>
      </c>
      <c r="G81" s="80">
        <v>297.44</v>
      </c>
      <c r="H81" s="21">
        <f t="shared" ref="H81:H91" si="40">SUM(F81*G81/1000)</f>
        <v>1.7846399999999998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f t="shared" ref="U81:U96" si="41">SUM(I81:T81)</f>
        <v>0</v>
      </c>
    </row>
    <row r="82" spans="1:21" s="13" customFormat="1">
      <c r="A82" s="66" t="s">
        <v>215</v>
      </c>
      <c r="B82" s="78" t="s">
        <v>155</v>
      </c>
      <c r="C82" s="73" t="s">
        <v>156</v>
      </c>
      <c r="D82" s="78" t="s">
        <v>39</v>
      </c>
      <c r="E82" s="79">
        <v>12</v>
      </c>
      <c r="F82" s="80">
        <f>E82</f>
        <v>12</v>
      </c>
      <c r="G82" s="80">
        <v>122.35</v>
      </c>
      <c r="H82" s="21">
        <f t="shared" si="40"/>
        <v>1.4681999999999997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f t="shared" si="41"/>
        <v>0</v>
      </c>
    </row>
    <row r="83" spans="1:21" s="13" customFormat="1">
      <c r="A83" s="66" t="s">
        <v>216</v>
      </c>
      <c r="B83" s="78" t="s">
        <v>157</v>
      </c>
      <c r="C83" s="73" t="s">
        <v>158</v>
      </c>
      <c r="D83" s="78" t="s">
        <v>39</v>
      </c>
      <c r="E83" s="79">
        <v>9</v>
      </c>
      <c r="F83" s="80">
        <f>E83/3</f>
        <v>3</v>
      </c>
      <c r="G83" s="80">
        <v>1063.47</v>
      </c>
      <c r="H83" s="21">
        <f t="shared" si="40"/>
        <v>3.19041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f>G83*((10+10+10+15+10)/3)</f>
        <v>19496.95</v>
      </c>
      <c r="O83" s="18">
        <v>0</v>
      </c>
      <c r="P83" s="18">
        <v>0</v>
      </c>
      <c r="Q83" s="18">
        <v>0</v>
      </c>
      <c r="R83" s="18">
        <f>G83*(10/3)</f>
        <v>3544.9</v>
      </c>
      <c r="S83" s="18">
        <v>0</v>
      </c>
      <c r="T83" s="18">
        <f>G83</f>
        <v>1063.47</v>
      </c>
      <c r="U83" s="18">
        <f t="shared" si="41"/>
        <v>24105.320000000003</v>
      </c>
    </row>
    <row r="84" spans="1:21" s="13" customFormat="1" ht="25.5">
      <c r="A84" s="68" t="s">
        <v>217</v>
      </c>
      <c r="B84" s="78" t="s">
        <v>169</v>
      </c>
      <c r="C84" s="73" t="s">
        <v>159</v>
      </c>
      <c r="D84" s="78" t="s">
        <v>39</v>
      </c>
      <c r="E84" s="79">
        <v>10</v>
      </c>
      <c r="F84" s="80">
        <f>E84/10</f>
        <v>1</v>
      </c>
      <c r="G84" s="80">
        <v>297.99</v>
      </c>
      <c r="H84" s="21">
        <f t="shared" si="40"/>
        <v>0.29799000000000003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f>G84*(4/10)</f>
        <v>119.19600000000001</v>
      </c>
      <c r="R84" s="18">
        <f>G84*(3/10)</f>
        <v>89.397000000000006</v>
      </c>
      <c r="S84" s="18">
        <v>0</v>
      </c>
      <c r="T84" s="18">
        <v>0</v>
      </c>
      <c r="U84" s="18">
        <f t="shared" si="41"/>
        <v>208.59300000000002</v>
      </c>
    </row>
    <row r="85" spans="1:21" s="13" customFormat="1" ht="38.25">
      <c r="A85" s="66" t="s">
        <v>218</v>
      </c>
      <c r="B85" s="78" t="s">
        <v>160</v>
      </c>
      <c r="C85" s="73" t="s">
        <v>156</v>
      </c>
      <c r="D85" s="78" t="s">
        <v>39</v>
      </c>
      <c r="E85" s="79">
        <v>6</v>
      </c>
      <c r="F85" s="80">
        <f t="shared" ref="F85:F90" si="42">E85</f>
        <v>6</v>
      </c>
      <c r="G85" s="80">
        <v>1564.44</v>
      </c>
      <c r="H85" s="21">
        <f t="shared" si="40"/>
        <v>9.3866399999999999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f t="shared" si="41"/>
        <v>0</v>
      </c>
    </row>
    <row r="86" spans="1:21" s="13" customFormat="1" ht="38.25">
      <c r="A86" s="66" t="s">
        <v>219</v>
      </c>
      <c r="B86" s="78" t="s">
        <v>161</v>
      </c>
      <c r="C86" s="73" t="s">
        <v>156</v>
      </c>
      <c r="D86" s="78" t="s">
        <v>39</v>
      </c>
      <c r="E86" s="79">
        <v>6</v>
      </c>
      <c r="F86" s="80">
        <f t="shared" si="42"/>
        <v>6</v>
      </c>
      <c r="G86" s="80">
        <v>1906.89</v>
      </c>
      <c r="H86" s="21">
        <f t="shared" si="40"/>
        <v>11.44134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f t="shared" si="41"/>
        <v>0</v>
      </c>
    </row>
    <row r="87" spans="1:21" s="13" customFormat="1" ht="25.5" customHeight="1">
      <c r="A87" s="66" t="s">
        <v>220</v>
      </c>
      <c r="B87" s="78" t="s">
        <v>162</v>
      </c>
      <c r="C87" s="73" t="s">
        <v>156</v>
      </c>
      <c r="D87" s="78" t="s">
        <v>39</v>
      </c>
      <c r="E87" s="79">
        <v>6</v>
      </c>
      <c r="F87" s="80">
        <f t="shared" si="42"/>
        <v>6</v>
      </c>
      <c r="G87" s="80">
        <v>664.35</v>
      </c>
      <c r="H87" s="21">
        <f t="shared" si="40"/>
        <v>3.9861000000000004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f t="shared" si="41"/>
        <v>0</v>
      </c>
    </row>
    <row r="88" spans="1:21" s="13" customFormat="1" ht="25.5" customHeight="1">
      <c r="A88" s="66" t="s">
        <v>221</v>
      </c>
      <c r="B88" s="78" t="s">
        <v>163</v>
      </c>
      <c r="C88" s="73" t="s">
        <v>156</v>
      </c>
      <c r="D88" s="78" t="s">
        <v>39</v>
      </c>
      <c r="E88" s="79">
        <v>6</v>
      </c>
      <c r="F88" s="80">
        <f t="shared" si="42"/>
        <v>6</v>
      </c>
      <c r="G88" s="80">
        <v>778.85</v>
      </c>
      <c r="H88" s="21">
        <f t="shared" si="40"/>
        <v>4.6731000000000007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f t="shared" si="41"/>
        <v>0</v>
      </c>
    </row>
    <row r="89" spans="1:21" s="13" customFormat="1" ht="25.5">
      <c r="A89" s="66" t="s">
        <v>222</v>
      </c>
      <c r="B89" s="78" t="s">
        <v>164</v>
      </c>
      <c r="C89" s="73" t="s">
        <v>165</v>
      </c>
      <c r="D89" s="78" t="s">
        <v>39</v>
      </c>
      <c r="E89" s="79">
        <v>4</v>
      </c>
      <c r="F89" s="80">
        <f t="shared" si="42"/>
        <v>4</v>
      </c>
      <c r="G89" s="80">
        <v>498.11</v>
      </c>
      <c r="H89" s="21">
        <f t="shared" si="40"/>
        <v>1.99244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f t="shared" si="41"/>
        <v>0</v>
      </c>
    </row>
    <row r="90" spans="1:21" s="13" customFormat="1" ht="38.25">
      <c r="A90" s="66" t="s">
        <v>223</v>
      </c>
      <c r="B90" s="78" t="s">
        <v>166</v>
      </c>
      <c r="C90" s="73" t="s">
        <v>156</v>
      </c>
      <c r="D90" s="78" t="s">
        <v>39</v>
      </c>
      <c r="E90" s="79">
        <v>6</v>
      </c>
      <c r="F90" s="80">
        <f t="shared" si="42"/>
        <v>6</v>
      </c>
      <c r="G90" s="80">
        <v>1264.3399999999999</v>
      </c>
      <c r="H90" s="21">
        <f t="shared" si="40"/>
        <v>7.5860399999999988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f t="shared" si="41"/>
        <v>0</v>
      </c>
    </row>
    <row r="91" spans="1:21" s="13" customFormat="1">
      <c r="A91" s="66" t="s">
        <v>224</v>
      </c>
      <c r="B91" s="78" t="s">
        <v>167</v>
      </c>
      <c r="C91" s="73" t="s">
        <v>47</v>
      </c>
      <c r="D91" s="78" t="s">
        <v>50</v>
      </c>
      <c r="E91" s="79">
        <v>823</v>
      </c>
      <c r="F91" s="80">
        <f>E91*2/1000</f>
        <v>1.6459999999999999</v>
      </c>
      <c r="G91" s="80">
        <v>1707.71</v>
      </c>
      <c r="H91" s="21">
        <f t="shared" si="40"/>
        <v>2.8108906600000001</v>
      </c>
      <c r="I91" s="18">
        <v>0</v>
      </c>
      <c r="J91" s="18">
        <v>0</v>
      </c>
      <c r="K91" s="18">
        <v>0</v>
      </c>
      <c r="L91" s="18">
        <v>0</v>
      </c>
      <c r="M91" s="18">
        <f>F91/2*G91</f>
        <v>1405.44533</v>
      </c>
      <c r="N91" s="18">
        <v>0</v>
      </c>
      <c r="O91" s="18">
        <v>0</v>
      </c>
      <c r="P91" s="18">
        <v>0</v>
      </c>
      <c r="Q91" s="18">
        <f>F91/2*G91</f>
        <v>1405.44533</v>
      </c>
      <c r="R91" s="18">
        <v>0</v>
      </c>
      <c r="S91" s="18">
        <v>0</v>
      </c>
      <c r="T91" s="18">
        <v>0</v>
      </c>
      <c r="U91" s="18">
        <f t="shared" si="41"/>
        <v>2810.89066</v>
      </c>
    </row>
    <row r="92" spans="1:21" s="13" customFormat="1">
      <c r="A92" s="31"/>
      <c r="B92" s="81"/>
      <c r="C92" s="31"/>
      <c r="D92" s="82"/>
      <c r="E92" s="83"/>
      <c r="F92" s="84"/>
      <c r="G92" s="84"/>
      <c r="H92" s="61">
        <f>SUM(H81:H91)</f>
        <v>48.617790659999997</v>
      </c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23">
        <f>SUM(U81:U91)</f>
        <v>27124.803660000005</v>
      </c>
    </row>
    <row r="93" spans="1:21">
      <c r="A93" s="25" t="s">
        <v>127</v>
      </c>
      <c r="B93" s="8" t="s">
        <v>128</v>
      </c>
      <c r="C93" s="105"/>
      <c r="D93" s="106"/>
      <c r="E93" s="26"/>
      <c r="F93" s="107">
        <v>1</v>
      </c>
      <c r="G93" s="108">
        <v>12171.2</v>
      </c>
      <c r="H93" s="21">
        <f>G93*F93/1000</f>
        <v>12.171200000000001</v>
      </c>
      <c r="I93" s="18">
        <v>0</v>
      </c>
      <c r="J93" s="18">
        <f>G93</f>
        <v>12171.2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f t="shared" si="41"/>
        <v>12171.2</v>
      </c>
    </row>
    <row r="94" spans="1:21" ht="12.75" customHeight="1">
      <c r="A94" s="49"/>
      <c r="B94" s="11" t="s">
        <v>91</v>
      </c>
      <c r="C94" s="25" t="s">
        <v>92</v>
      </c>
      <c r="D94" s="32"/>
      <c r="E94" s="21">
        <v>1832</v>
      </c>
      <c r="F94" s="21">
        <f>SUM(E94*12)</f>
        <v>21984</v>
      </c>
      <c r="G94" s="33">
        <v>2.95</v>
      </c>
      <c r="H94" s="21">
        <f>SUM(F94*G94/1000)</f>
        <v>64.852800000000002</v>
      </c>
      <c r="I94" s="18">
        <f>F94/12*G94</f>
        <v>5404.4000000000005</v>
      </c>
      <c r="J94" s="18">
        <f>F94/12*G94</f>
        <v>5404.4000000000005</v>
      </c>
      <c r="K94" s="18">
        <f>F94/12*G94</f>
        <v>5404.4000000000005</v>
      </c>
      <c r="L94" s="18">
        <f>F94/12*G94</f>
        <v>5404.4000000000005</v>
      </c>
      <c r="M94" s="18">
        <f>F94/12*G94</f>
        <v>5404.4000000000005</v>
      </c>
      <c r="N94" s="18">
        <f>F94/12*G94</f>
        <v>5404.4000000000005</v>
      </c>
      <c r="O94" s="18">
        <f>F94/12*G94</f>
        <v>5404.4000000000005</v>
      </c>
      <c r="P94" s="18">
        <f>F94/12*G94</f>
        <v>5404.4000000000005</v>
      </c>
      <c r="Q94" s="18">
        <f>F94/12*G94</f>
        <v>5404.4000000000005</v>
      </c>
      <c r="R94" s="18">
        <f>F94/12*G94</f>
        <v>5404.4000000000005</v>
      </c>
      <c r="S94" s="18">
        <f>F94/12*G94</f>
        <v>5404.4000000000005</v>
      </c>
      <c r="T94" s="18">
        <f>F94/12*G94</f>
        <v>5404.4000000000005</v>
      </c>
      <c r="U94" s="18">
        <f t="shared" si="41"/>
        <v>64852.80000000001</v>
      </c>
    </row>
    <row r="95" spans="1:21" s="12" customFormat="1">
      <c r="A95" s="34"/>
      <c r="B95" s="36" t="s">
        <v>27</v>
      </c>
      <c r="C95" s="35"/>
      <c r="D95" s="36"/>
      <c r="E95" s="37"/>
      <c r="F95" s="19"/>
      <c r="G95" s="38"/>
      <c r="H95" s="19">
        <f>SUM(H93:H94)</f>
        <v>77.024000000000001</v>
      </c>
      <c r="I95" s="19"/>
      <c r="J95" s="19"/>
      <c r="K95" s="19"/>
      <c r="L95" s="19"/>
      <c r="M95" s="45"/>
      <c r="N95" s="19"/>
      <c r="O95" s="19"/>
      <c r="P95" s="19"/>
      <c r="Q95" s="19"/>
      <c r="R95" s="19"/>
      <c r="S95" s="19"/>
      <c r="T95" s="19"/>
      <c r="U95" s="19">
        <f>SUM(U93:U94)</f>
        <v>77024.000000000015</v>
      </c>
    </row>
    <row r="96" spans="1:21" ht="25.5" customHeight="1">
      <c r="A96" s="39"/>
      <c r="B96" s="8" t="s">
        <v>93</v>
      </c>
      <c r="C96" s="25" t="s">
        <v>151</v>
      </c>
      <c r="D96" s="40"/>
      <c r="E96" s="26">
        <f>E94</f>
        <v>1832</v>
      </c>
      <c r="F96" s="21">
        <f>E96*12</f>
        <v>21984</v>
      </c>
      <c r="G96" s="21">
        <v>3.05</v>
      </c>
      <c r="H96" s="21">
        <f>F96*G96/1000</f>
        <v>67.051199999999994</v>
      </c>
      <c r="I96" s="18">
        <f>F96/12*G96</f>
        <v>5587.5999999999995</v>
      </c>
      <c r="J96" s="18">
        <f>F96/12*G96</f>
        <v>5587.5999999999995</v>
      </c>
      <c r="K96" s="18">
        <f>F96/12*G96</f>
        <v>5587.5999999999995</v>
      </c>
      <c r="L96" s="18">
        <f>F96/12*G96</f>
        <v>5587.5999999999995</v>
      </c>
      <c r="M96" s="18">
        <f>F96/12*G96</f>
        <v>5587.5999999999995</v>
      </c>
      <c r="N96" s="18">
        <f>F96/12*G96</f>
        <v>5587.5999999999995</v>
      </c>
      <c r="O96" s="18">
        <f>F96/12*G96</f>
        <v>5587.5999999999995</v>
      </c>
      <c r="P96" s="18">
        <f>F96/12*G96</f>
        <v>5587.5999999999995</v>
      </c>
      <c r="Q96" s="18">
        <f>F96/12*G96</f>
        <v>5587.5999999999995</v>
      </c>
      <c r="R96" s="18">
        <f>F96/12*G96</f>
        <v>5587.5999999999995</v>
      </c>
      <c r="S96" s="18">
        <f>F96/12*G96</f>
        <v>5587.5999999999995</v>
      </c>
      <c r="T96" s="18">
        <f t="shared" ref="T96" si="43">F96/12*G96</f>
        <v>5587.5999999999995</v>
      </c>
      <c r="U96" s="18">
        <f t="shared" si="41"/>
        <v>67051.199999999997</v>
      </c>
    </row>
    <row r="97" spans="1:21" s="12" customFormat="1">
      <c r="A97" s="34"/>
      <c r="B97" s="41" t="s">
        <v>94</v>
      </c>
      <c r="C97" s="42"/>
      <c r="D97" s="41"/>
      <c r="E97" s="19"/>
      <c r="F97" s="19"/>
      <c r="G97" s="19"/>
      <c r="H97" s="61">
        <f>SUM(H96:H96)</f>
        <v>67.051199999999994</v>
      </c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61">
        <f>SUM(U96:U96)</f>
        <v>67051.199999999997</v>
      </c>
    </row>
    <row r="98" spans="1:21" s="12" customFormat="1">
      <c r="A98" s="34"/>
      <c r="B98" s="41" t="s">
        <v>95</v>
      </c>
      <c r="C98" s="43"/>
      <c r="D98" s="44"/>
      <c r="E98" s="45"/>
      <c r="F98" s="45"/>
      <c r="G98" s="45"/>
      <c r="H98" s="61">
        <f>SUM(H97+H95+H92+H79+H54+H41+H33+H22)</f>
        <v>550.07512200166673</v>
      </c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61">
        <f>SUM(U97+U95+U92+U79+U54+U41+U33+U22)</f>
        <v>505146.81736166665</v>
      </c>
    </row>
    <row r="99" spans="1:21">
      <c r="A99" s="39"/>
      <c r="B99" s="40" t="s">
        <v>96</v>
      </c>
      <c r="C99" s="25"/>
      <c r="D99" s="40"/>
      <c r="E99" s="21"/>
      <c r="F99" s="21"/>
      <c r="G99" s="21" t="s">
        <v>97</v>
      </c>
      <c r="H99" s="26">
        <f>E96</f>
        <v>1832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s="12" customFormat="1">
      <c r="A100" s="34"/>
      <c r="B100" s="44" t="s">
        <v>98</v>
      </c>
      <c r="C100" s="43"/>
      <c r="D100" s="44"/>
      <c r="E100" s="45"/>
      <c r="F100" s="45"/>
      <c r="G100" s="45"/>
      <c r="H100" s="62">
        <f>SUM(H98/H99/12*1000)</f>
        <v>25.021612172564897</v>
      </c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62"/>
    </row>
    <row r="101" spans="1:21">
      <c r="A101" s="39"/>
      <c r="B101" s="40"/>
      <c r="C101" s="25"/>
      <c r="D101" s="40"/>
      <c r="E101" s="21"/>
      <c r="F101" s="21"/>
      <c r="G101" s="21"/>
      <c r="H101" s="46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63"/>
    </row>
    <row r="102" spans="1:21">
      <c r="A102" s="39"/>
      <c r="B102" s="28" t="s">
        <v>99</v>
      </c>
      <c r="C102" s="25"/>
      <c r="D102" s="40"/>
      <c r="E102" s="21"/>
      <c r="F102" s="21"/>
      <c r="G102" s="21"/>
      <c r="H102" s="2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ht="25.5">
      <c r="A103" s="68" t="s">
        <v>129</v>
      </c>
      <c r="B103" s="86" t="s">
        <v>236</v>
      </c>
      <c r="C103" s="87" t="s">
        <v>237</v>
      </c>
      <c r="D103" s="40"/>
      <c r="E103" s="21"/>
      <c r="F103" s="21">
        <v>1</v>
      </c>
      <c r="G103" s="21">
        <v>1934.94</v>
      </c>
      <c r="H103" s="21">
        <f>G103*F103/1000</f>
        <v>1.9349400000000001</v>
      </c>
      <c r="I103" s="18">
        <f>G103</f>
        <v>1934.94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f t="shared" ref="U103:U112" si="44">SUM(I103:T103)</f>
        <v>1934.94</v>
      </c>
    </row>
    <row r="104" spans="1:21" ht="38.25">
      <c r="A104" s="88" t="s">
        <v>228</v>
      </c>
      <c r="B104" s="89" t="s">
        <v>226</v>
      </c>
      <c r="C104" s="88" t="s">
        <v>227</v>
      </c>
      <c r="D104" s="67"/>
      <c r="E104" s="21"/>
      <c r="F104" s="21">
        <v>1</v>
      </c>
      <c r="G104" s="80">
        <v>54.17</v>
      </c>
      <c r="H104" s="21">
        <f>G104*F104/1000</f>
        <v>5.4170000000000003E-2</v>
      </c>
      <c r="I104" s="18">
        <v>0</v>
      </c>
      <c r="J104" s="18">
        <v>0</v>
      </c>
      <c r="K104" s="18">
        <v>0</v>
      </c>
      <c r="L104" s="18">
        <f>G104</f>
        <v>54.17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f t="shared" si="44"/>
        <v>54.17</v>
      </c>
    </row>
    <row r="105" spans="1:21" ht="25.5">
      <c r="A105" s="90" t="s">
        <v>238</v>
      </c>
      <c r="B105" s="89" t="s">
        <v>239</v>
      </c>
      <c r="C105" s="88" t="s">
        <v>154</v>
      </c>
      <c r="D105" s="40"/>
      <c r="E105" s="21"/>
      <c r="F105" s="21">
        <v>5</v>
      </c>
      <c r="G105" s="21">
        <v>589.84</v>
      </c>
      <c r="H105" s="21">
        <f t="shared" ref="H105" si="45">G105*F105/1000</f>
        <v>2.9492000000000003</v>
      </c>
      <c r="I105" s="18">
        <v>0</v>
      </c>
      <c r="J105" s="18">
        <v>0</v>
      </c>
      <c r="K105" s="18">
        <v>0</v>
      </c>
      <c r="L105" s="18">
        <f>G105</f>
        <v>589.84</v>
      </c>
      <c r="M105" s="18">
        <v>0</v>
      </c>
      <c r="N105" s="18">
        <v>0</v>
      </c>
      <c r="O105" s="18">
        <v>0</v>
      </c>
      <c r="P105" s="18">
        <v>0</v>
      </c>
      <c r="Q105" s="18">
        <f>G105*(3+1)</f>
        <v>2359.36</v>
      </c>
      <c r="R105" s="18">
        <v>0</v>
      </c>
      <c r="S105" s="18">
        <v>0</v>
      </c>
      <c r="T105" s="18">
        <v>0</v>
      </c>
      <c r="U105" s="18">
        <f t="shared" si="44"/>
        <v>2949.2000000000003</v>
      </c>
    </row>
    <row r="106" spans="1:21" s="92" customFormat="1">
      <c r="A106" s="88" t="s">
        <v>129</v>
      </c>
      <c r="B106" s="89" t="s">
        <v>130</v>
      </c>
      <c r="C106" s="88" t="s">
        <v>243</v>
      </c>
      <c r="D106" s="67"/>
      <c r="E106" s="80"/>
      <c r="F106" s="80">
        <v>1</v>
      </c>
      <c r="G106" s="80">
        <v>1582</v>
      </c>
      <c r="H106" s="80">
        <f t="shared" ref="H106:H112" si="46">G106*F106/1000</f>
        <v>1.5820000000000001</v>
      </c>
      <c r="I106" s="18">
        <v>0</v>
      </c>
      <c r="J106" s="18">
        <v>0</v>
      </c>
      <c r="K106" s="18">
        <v>0</v>
      </c>
      <c r="L106" s="18">
        <f>G106</f>
        <v>1582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f t="shared" si="44"/>
        <v>1582</v>
      </c>
    </row>
    <row r="107" spans="1:21" s="92" customFormat="1">
      <c r="A107" s="68" t="s">
        <v>245</v>
      </c>
      <c r="B107" s="93" t="s">
        <v>244</v>
      </c>
      <c r="C107" s="94" t="s">
        <v>65</v>
      </c>
      <c r="D107" s="67"/>
      <c r="E107" s="80"/>
      <c r="F107" s="80">
        <v>1</v>
      </c>
      <c r="G107" s="80">
        <v>126.82</v>
      </c>
      <c r="H107" s="80">
        <f t="shared" si="46"/>
        <v>0.12681999999999999</v>
      </c>
      <c r="I107" s="18">
        <v>0</v>
      </c>
      <c r="J107" s="18">
        <v>0</v>
      </c>
      <c r="K107" s="18">
        <v>0</v>
      </c>
      <c r="L107" s="18">
        <f>G107</f>
        <v>126.82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f t="shared" si="44"/>
        <v>126.82</v>
      </c>
    </row>
    <row r="108" spans="1:21" s="92" customFormat="1">
      <c r="A108" s="68" t="s">
        <v>246</v>
      </c>
      <c r="B108" s="93" t="s">
        <v>247</v>
      </c>
      <c r="C108" s="94" t="s">
        <v>154</v>
      </c>
      <c r="D108" s="67"/>
      <c r="E108" s="80"/>
      <c r="F108" s="80">
        <v>1</v>
      </c>
      <c r="G108" s="80">
        <v>789.07</v>
      </c>
      <c r="H108" s="80">
        <f t="shared" si="46"/>
        <v>0.78907000000000005</v>
      </c>
      <c r="I108" s="18">
        <v>0</v>
      </c>
      <c r="J108" s="18">
        <v>0</v>
      </c>
      <c r="K108" s="18">
        <v>0</v>
      </c>
      <c r="L108" s="18">
        <f>G108</f>
        <v>789.07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f t="shared" si="44"/>
        <v>789.07</v>
      </c>
    </row>
    <row r="109" spans="1:21" ht="25.5">
      <c r="A109" s="66" t="s">
        <v>242</v>
      </c>
      <c r="B109" s="91" t="s">
        <v>240</v>
      </c>
      <c r="C109" s="66" t="s">
        <v>241</v>
      </c>
      <c r="D109" s="40"/>
      <c r="E109" s="21"/>
      <c r="F109" s="21">
        <v>1</v>
      </c>
      <c r="G109" s="21">
        <v>663.38</v>
      </c>
      <c r="H109" s="21">
        <f>G109*F109/1000</f>
        <v>0.66337999999999997</v>
      </c>
      <c r="I109" s="18">
        <v>0</v>
      </c>
      <c r="J109" s="18">
        <v>0</v>
      </c>
      <c r="K109" s="18">
        <v>0</v>
      </c>
      <c r="L109" s="18">
        <v>0</v>
      </c>
      <c r="M109" s="18">
        <f>G109</f>
        <v>663.38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f t="shared" si="44"/>
        <v>663.38</v>
      </c>
    </row>
    <row r="110" spans="1:21" ht="25.5">
      <c r="A110" s="90" t="s">
        <v>229</v>
      </c>
      <c r="B110" s="89" t="s">
        <v>132</v>
      </c>
      <c r="C110" s="88" t="s">
        <v>65</v>
      </c>
      <c r="D110" s="40"/>
      <c r="E110" s="21"/>
      <c r="F110" s="21">
        <v>1</v>
      </c>
      <c r="G110" s="21">
        <v>83.36</v>
      </c>
      <c r="H110" s="21">
        <f>G110*F110/1000</f>
        <v>8.3360000000000004E-2</v>
      </c>
      <c r="I110" s="18">
        <v>0</v>
      </c>
      <c r="J110" s="18">
        <v>0</v>
      </c>
      <c r="K110" s="18">
        <v>0</v>
      </c>
      <c r="L110" s="18">
        <v>0</v>
      </c>
      <c r="M110" s="18">
        <f>G110</f>
        <v>83.36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f t="shared" si="44"/>
        <v>83.36</v>
      </c>
    </row>
    <row r="111" spans="1:21" s="92" customFormat="1">
      <c r="A111" s="66" t="s">
        <v>249</v>
      </c>
      <c r="B111" s="91" t="s">
        <v>248</v>
      </c>
      <c r="C111" s="66" t="s">
        <v>65</v>
      </c>
      <c r="D111" s="67"/>
      <c r="E111" s="80"/>
      <c r="F111" s="80">
        <v>1</v>
      </c>
      <c r="G111" s="80">
        <v>613.35</v>
      </c>
      <c r="H111" s="80">
        <f t="shared" si="46"/>
        <v>0.61335000000000006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f>G111</f>
        <v>613.35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f t="shared" si="44"/>
        <v>613.35</v>
      </c>
    </row>
    <row r="112" spans="1:21" ht="25.5">
      <c r="A112" s="88" t="s">
        <v>225</v>
      </c>
      <c r="B112" s="89" t="s">
        <v>131</v>
      </c>
      <c r="C112" s="88" t="s">
        <v>65</v>
      </c>
      <c r="D112" s="40"/>
      <c r="E112" s="21"/>
      <c r="F112" s="21">
        <v>1</v>
      </c>
      <c r="G112" s="21">
        <v>189.88</v>
      </c>
      <c r="H112" s="21">
        <f t="shared" si="46"/>
        <v>0.18987999999999999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f>G112</f>
        <v>189.88</v>
      </c>
      <c r="Q112" s="18">
        <v>0</v>
      </c>
      <c r="R112" s="18">
        <v>0</v>
      </c>
      <c r="S112" s="18">
        <v>0</v>
      </c>
      <c r="T112" s="18">
        <v>0</v>
      </c>
      <c r="U112" s="18">
        <f t="shared" si="44"/>
        <v>189.88</v>
      </c>
    </row>
    <row r="113" spans="1:21" ht="25.5">
      <c r="A113" s="68" t="s">
        <v>129</v>
      </c>
      <c r="B113" s="86" t="s">
        <v>252</v>
      </c>
      <c r="C113" s="87" t="s">
        <v>237</v>
      </c>
      <c r="D113" s="40"/>
      <c r="E113" s="21"/>
      <c r="F113" s="21">
        <v>1</v>
      </c>
      <c r="G113" s="21">
        <v>403.69</v>
      </c>
      <c r="H113" s="21">
        <f>G113*F113/1000</f>
        <v>0.40368999999999999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f>G113</f>
        <v>403.69</v>
      </c>
      <c r="U113" s="18">
        <f t="shared" ref="U113" si="47">SUM(I113:T113)</f>
        <v>403.69</v>
      </c>
    </row>
    <row r="114" spans="1:21" s="12" customFormat="1">
      <c r="A114" s="47"/>
      <c r="B114" s="48" t="s">
        <v>100</v>
      </c>
      <c r="C114" s="47"/>
      <c r="D114" s="47"/>
      <c r="E114" s="45"/>
      <c r="F114" s="45"/>
      <c r="G114" s="45"/>
      <c r="H114" s="19">
        <f>SUM(H102:H112)</f>
        <v>8.9861700000000013</v>
      </c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19">
        <f>SUM(U102:U112)</f>
        <v>8986.1699999999983</v>
      </c>
    </row>
    <row r="115" spans="1:21">
      <c r="A115" s="49"/>
      <c r="B115" s="50"/>
      <c r="C115" s="49"/>
      <c r="D115" s="49"/>
      <c r="E115" s="21"/>
      <c r="F115" s="21"/>
      <c r="G115" s="21"/>
      <c r="H115" s="33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64"/>
    </row>
    <row r="116" spans="1:21" ht="12" customHeight="1">
      <c r="A116" s="39"/>
      <c r="B116" s="11" t="s">
        <v>101</v>
      </c>
      <c r="C116" s="25"/>
      <c r="D116" s="40"/>
      <c r="E116" s="21"/>
      <c r="F116" s="21"/>
      <c r="G116" s="21"/>
      <c r="H116" s="46">
        <f>H114/E117/12*1000</f>
        <v>0.40875955240174683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64"/>
    </row>
    <row r="117" spans="1:21" s="12" customFormat="1">
      <c r="A117" s="34"/>
      <c r="B117" s="44" t="s">
        <v>102</v>
      </c>
      <c r="C117" s="43"/>
      <c r="D117" s="44"/>
      <c r="E117" s="109">
        <v>1832</v>
      </c>
      <c r="F117" s="45">
        <f>SUM(E117*12)</f>
        <v>21984</v>
      </c>
      <c r="G117" s="62">
        <f>H100+H116</f>
        <v>25.430371724966644</v>
      </c>
      <c r="H117" s="19">
        <f>SUM(F117*G117/1000)</f>
        <v>559.06129200166674</v>
      </c>
      <c r="I117" s="45">
        <f>SUM(I11:I116)</f>
        <v>44541.003917333328</v>
      </c>
      <c r="J117" s="45">
        <f t="shared" ref="J117:T117" si="48">SUM(J11:J116)</f>
        <v>45513.383917333333</v>
      </c>
      <c r="K117" s="45">
        <f t="shared" si="48"/>
        <v>32160.516727333332</v>
      </c>
      <c r="L117" s="45">
        <f t="shared" si="48"/>
        <v>35302.41672733333</v>
      </c>
      <c r="M117" s="45">
        <f t="shared" si="48"/>
        <v>90164.259794611135</v>
      </c>
      <c r="N117" s="45">
        <f t="shared" si="48"/>
        <v>58684.349228111103</v>
      </c>
      <c r="O117" s="45">
        <f t="shared" si="48"/>
        <v>29310.16922811111</v>
      </c>
      <c r="P117" s="45">
        <f t="shared" si="48"/>
        <v>29500.049228111111</v>
      </c>
      <c r="Q117" s="45">
        <f t="shared" si="48"/>
        <v>38749.391290611115</v>
      </c>
      <c r="R117" s="45">
        <f t="shared" si="48"/>
        <v>43867.992908111104</v>
      </c>
      <c r="S117" s="45">
        <f t="shared" si="48"/>
        <v>31933.80047733333</v>
      </c>
      <c r="T117" s="45">
        <f t="shared" si="48"/>
        <v>34809.343917333339</v>
      </c>
      <c r="U117" s="19">
        <f>U98+U114</f>
        <v>514132.98736166663</v>
      </c>
    </row>
    <row r="118" spans="1:21">
      <c r="A118" s="52"/>
      <c r="B118" s="52"/>
      <c r="C118" s="52"/>
      <c r="D118" s="52"/>
      <c r="E118" s="51"/>
      <c r="F118" s="51"/>
      <c r="G118" s="51"/>
      <c r="H118" s="51"/>
      <c r="I118" s="51"/>
      <c r="J118" s="51"/>
      <c r="K118" s="51"/>
      <c r="L118" s="51"/>
      <c r="M118" s="52"/>
      <c r="N118" s="51"/>
      <c r="O118" s="52"/>
      <c r="P118" s="52"/>
      <c r="Q118" s="52"/>
      <c r="R118" s="52"/>
      <c r="S118" s="52"/>
      <c r="T118" s="52"/>
      <c r="U118" s="52"/>
    </row>
    <row r="119" spans="1:21">
      <c r="A119" s="52"/>
      <c r="B119" s="52"/>
      <c r="C119" s="52"/>
      <c r="D119" s="52"/>
      <c r="E119" s="51"/>
      <c r="F119" s="51"/>
      <c r="G119" s="51"/>
      <c r="H119" s="51"/>
      <c r="I119" s="51"/>
      <c r="J119" s="53"/>
      <c r="K119" s="54"/>
      <c r="L119" s="53"/>
      <c r="M119" s="51"/>
      <c r="N119" s="52"/>
      <c r="O119" s="52"/>
      <c r="P119" s="52"/>
      <c r="Q119" s="52"/>
      <c r="R119" s="52"/>
      <c r="S119" s="52"/>
      <c r="T119" s="52"/>
      <c r="U119" s="52"/>
    </row>
    <row r="120" spans="1:21" ht="51.75" customHeight="1">
      <c r="A120" s="52"/>
      <c r="B120" s="59" t="s">
        <v>230</v>
      </c>
      <c r="C120" s="113">
        <v>289453.14</v>
      </c>
      <c r="D120" s="114"/>
      <c r="E120" s="114"/>
      <c r="F120" s="115"/>
      <c r="G120" s="51"/>
      <c r="H120" s="51"/>
      <c r="I120" s="51"/>
      <c r="J120" s="53"/>
      <c r="K120" s="54"/>
      <c r="L120" s="53"/>
      <c r="M120" s="51"/>
      <c r="N120" s="52"/>
      <c r="O120" s="52"/>
      <c r="P120" s="52"/>
      <c r="Q120" s="52"/>
      <c r="R120" s="52"/>
      <c r="S120" s="52"/>
      <c r="T120" s="52"/>
      <c r="U120" s="52"/>
    </row>
    <row r="121" spans="1:21" ht="33.75" customHeight="1">
      <c r="A121" s="52"/>
      <c r="B121" s="59" t="s">
        <v>231</v>
      </c>
      <c r="C121" s="113">
        <f>(48181.6*6)+38999.01+(45085.55*5)</f>
        <v>553516.36</v>
      </c>
      <c r="D121" s="114"/>
      <c r="E121" s="114"/>
      <c r="F121" s="115"/>
      <c r="G121" s="51"/>
      <c r="H121" s="51"/>
      <c r="I121" s="51"/>
      <c r="J121" s="53"/>
      <c r="K121" s="54"/>
      <c r="L121" s="53"/>
      <c r="M121" s="51"/>
      <c r="N121" s="52"/>
      <c r="O121" s="52"/>
      <c r="P121" s="52"/>
      <c r="Q121" s="52"/>
      <c r="R121" s="52"/>
      <c r="S121" s="52"/>
      <c r="T121" s="52"/>
      <c r="U121" s="52"/>
    </row>
    <row r="122" spans="1:21" ht="33.75" customHeight="1">
      <c r="A122" s="52"/>
      <c r="B122" s="59" t="s">
        <v>232</v>
      </c>
      <c r="C122" s="113">
        <f>SUM(U117-U114)</f>
        <v>505146.81736166665</v>
      </c>
      <c r="D122" s="114"/>
      <c r="E122" s="114"/>
      <c r="F122" s="115"/>
      <c r="G122" s="51"/>
      <c r="H122" s="51"/>
      <c r="I122" s="51"/>
      <c r="J122" s="53"/>
      <c r="K122" s="54"/>
      <c r="L122" s="53"/>
      <c r="M122" s="51"/>
      <c r="N122" s="52"/>
      <c r="O122" s="52"/>
      <c r="P122" s="52"/>
      <c r="Q122" s="52"/>
      <c r="R122" s="52"/>
      <c r="S122" s="52"/>
      <c r="T122" s="52"/>
      <c r="U122" s="52"/>
    </row>
    <row r="123" spans="1:21" ht="33.75" customHeight="1">
      <c r="A123" s="52"/>
      <c r="B123" s="59" t="s">
        <v>233</v>
      </c>
      <c r="C123" s="113">
        <f>SUM(U114)</f>
        <v>8986.1699999999983</v>
      </c>
      <c r="D123" s="114"/>
      <c r="E123" s="114"/>
      <c r="F123" s="115"/>
      <c r="G123" s="51"/>
      <c r="H123" s="51"/>
      <c r="I123" s="51"/>
      <c r="J123" s="53"/>
      <c r="K123" s="54"/>
      <c r="L123" s="53"/>
      <c r="M123" s="55" t="s">
        <v>112</v>
      </c>
      <c r="N123" s="52"/>
      <c r="O123" s="52"/>
      <c r="P123" s="52"/>
      <c r="Q123" s="52"/>
      <c r="R123" s="52"/>
      <c r="S123" s="52"/>
      <c r="T123" s="52"/>
      <c r="U123" s="52"/>
    </row>
    <row r="124" spans="1:21" ht="18.75" customHeight="1">
      <c r="A124" s="52"/>
      <c r="B124" s="60" t="s">
        <v>234</v>
      </c>
      <c r="C124" s="113">
        <f>40765.29+44223.91+50443.74+46958.86+42758.53+45235.68+48581.77+34473.93+38677.05+44862.62+52896.37+42740.52</f>
        <v>532618.27</v>
      </c>
      <c r="D124" s="114"/>
      <c r="E124" s="114"/>
      <c r="F124" s="115"/>
      <c r="G124" s="52"/>
      <c r="J124" s="56"/>
      <c r="K124" s="57"/>
      <c r="L124" s="58"/>
      <c r="N124" s="55"/>
      <c r="O124" s="52"/>
      <c r="P124" s="52"/>
      <c r="Q124" s="52"/>
      <c r="R124" s="52"/>
      <c r="S124" s="52"/>
      <c r="T124" s="52"/>
      <c r="U124" s="52"/>
    </row>
    <row r="125" spans="1:21" ht="78.75">
      <c r="A125" s="52"/>
      <c r="B125" s="69" t="s">
        <v>250</v>
      </c>
      <c r="C125" s="119">
        <v>92246.35</v>
      </c>
      <c r="D125" s="120"/>
      <c r="E125" s="120"/>
      <c r="F125" s="121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</row>
    <row r="126" spans="1:21" ht="51.75" customHeight="1">
      <c r="A126" s="52"/>
      <c r="B126" s="59" t="s">
        <v>251</v>
      </c>
      <c r="C126" s="116">
        <f>(C122+C123-C121)+C120</f>
        <v>250069.76736166666</v>
      </c>
      <c r="D126" s="117"/>
      <c r="E126" s="117"/>
      <c r="F126" s="118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</row>
    <row r="128" spans="1:21">
      <c r="J128" s="4"/>
      <c r="K128" s="5"/>
      <c r="L128" s="5"/>
      <c r="M128" s="3"/>
    </row>
    <row r="129" spans="7:8">
      <c r="G129" s="6"/>
      <c r="H129" s="6"/>
    </row>
    <row r="130" spans="7:8">
      <c r="G130" s="7"/>
    </row>
  </sheetData>
  <mergeCells count="11">
    <mergeCell ref="C126:F126"/>
    <mergeCell ref="C121:F121"/>
    <mergeCell ref="C122:F122"/>
    <mergeCell ref="C123:F123"/>
    <mergeCell ref="C124:F124"/>
    <mergeCell ref="C125:F125"/>
    <mergeCell ref="B3:L3"/>
    <mergeCell ref="B4:L4"/>
    <mergeCell ref="B5:L5"/>
    <mergeCell ref="B6:L6"/>
    <mergeCell ref="C120:F120"/>
  </mergeCells>
  <printOptions horizontalCentered="1"/>
  <pageMargins left="0.11811023622047245" right="0.11811023622047245" top="0.15748031496062992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Нефт.,1</vt:lpstr>
      <vt:lpstr>'Нефт.,1'!Область_печати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2018-03-19T11:00:51Z</cp:lastPrinted>
  <dcterms:created xsi:type="dcterms:W3CDTF">2014-02-05T12:20:20Z</dcterms:created>
  <dcterms:modified xsi:type="dcterms:W3CDTF">2018-03-27T08:18:51Z</dcterms:modified>
</cp:coreProperties>
</file>