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225" windowWidth="15480" windowHeight="11280" activeTab="11"/>
  </bookViews>
  <sheets>
    <sheet name="01.19" sheetId="27" r:id="rId1"/>
    <sheet name="02.19" sheetId="28" r:id="rId2"/>
    <sheet name="03.19" sheetId="29" r:id="rId3"/>
    <sheet name="04.19" sheetId="30" r:id="rId4"/>
    <sheet name="05.19" sheetId="31" r:id="rId5"/>
    <sheet name="06.19" sheetId="32" r:id="rId6"/>
    <sheet name="07.19" sheetId="33" r:id="rId7"/>
    <sheet name="08.19" sheetId="34" r:id="rId8"/>
    <sheet name="09.19" sheetId="35" r:id="rId9"/>
    <sheet name="10.19" sheetId="36" r:id="rId10"/>
    <sheet name="11.19" sheetId="37" r:id="rId11"/>
    <sheet name="12.19" sheetId="38" r:id="rId12"/>
    <sheet name="юбьмрмить" sheetId="15" state="hidden" r:id="rId13"/>
  </sheets>
  <definedNames>
    <definedName name="_xlnm._FilterDatabase" localSheetId="0" hidden="1">'01.19'!$I$12:$I$79</definedName>
    <definedName name="_xlnm._FilterDatabase" localSheetId="1" hidden="1">'02.19'!$I$12:$I$79</definedName>
    <definedName name="_xlnm._FilterDatabase" localSheetId="2" hidden="1">'03.19'!$I$12:$I$80</definedName>
    <definedName name="_xlnm._FilterDatabase" localSheetId="3" hidden="1">'04.19'!$I$12:$I$79</definedName>
    <definedName name="_xlnm._FilterDatabase" localSheetId="4" hidden="1">'05.19'!$I$12:$I$78</definedName>
    <definedName name="_xlnm._FilterDatabase" localSheetId="5" hidden="1">'06.19'!$I$12:$I$79</definedName>
    <definedName name="_xlnm._FilterDatabase" localSheetId="6" hidden="1">'07.19'!$I$12:$I$78</definedName>
    <definedName name="_xlnm._FilterDatabase" localSheetId="7" hidden="1">'08.19'!$I$12:$I$78</definedName>
    <definedName name="_xlnm._FilterDatabase" localSheetId="8" hidden="1">'09.19'!$I$12:$I$78</definedName>
    <definedName name="_xlnm._FilterDatabase" localSheetId="9" hidden="1">'10.19'!$I$12:$I$78</definedName>
    <definedName name="_xlnm._FilterDatabase" localSheetId="10" hidden="1">'11.19'!$I$12:$I$80</definedName>
    <definedName name="_xlnm._FilterDatabase" localSheetId="11" hidden="1">'12.19'!$I$12:$I$80</definedName>
    <definedName name="_xlnm._FilterDatabase" localSheetId="12" hidden="1">юбьмрмить!$G$15:$G$76</definedName>
    <definedName name="_xlnm.Print_Area" localSheetId="0">'01.19'!$A$1:$I$112</definedName>
    <definedName name="_xlnm.Print_Area" localSheetId="1">'02.19'!$A$1:$I$111</definedName>
    <definedName name="_xlnm.Print_Area" localSheetId="2">'03.19'!$A$1:$I$111</definedName>
    <definedName name="_xlnm.Print_Area" localSheetId="3">'04.19'!$A$1:$I$109</definedName>
    <definedName name="_xlnm.Print_Area" localSheetId="4">'05.19'!$A$1:$I$111</definedName>
    <definedName name="_xlnm.Print_Area" localSheetId="5">'06.19'!$A$1:$I$114</definedName>
    <definedName name="_xlnm.Print_Area" localSheetId="6">'07.19'!$A$1:$I$109</definedName>
    <definedName name="_xlnm.Print_Area" localSheetId="7">'08.19'!$A$1:$I$113</definedName>
    <definedName name="_xlnm.Print_Area" localSheetId="8">'09.19'!$A$1:$I$112</definedName>
    <definedName name="_xlnm.Print_Area" localSheetId="9">'10.19'!$A$1:$I$109</definedName>
    <definedName name="_xlnm.Print_Area" localSheetId="10">'11.19'!$A$1:$I$111</definedName>
    <definedName name="_xlnm.Print_Area" localSheetId="11">'12.19'!$A$1:$I$112</definedName>
    <definedName name="_xlnm.Print_Area" localSheetId="12">юбьмрмить!$A$1:$G$188</definedName>
  </definedNames>
  <calcPr calcId="124519"/>
</workbook>
</file>

<file path=xl/calcChain.xml><?xml version="1.0" encoding="utf-8"?>
<calcChain xmlns="http://schemas.openxmlformats.org/spreadsheetml/2006/main">
  <c r="I87" i="38"/>
  <c r="I84"/>
  <c r="I89"/>
  <c r="I88"/>
  <c r="I86"/>
  <c r="H86"/>
  <c r="I44"/>
  <c r="H44"/>
  <c r="F43"/>
  <c r="H43" s="1"/>
  <c r="F42"/>
  <c r="I42" s="1"/>
  <c r="F41"/>
  <c r="H41" s="1"/>
  <c r="H40"/>
  <c r="F39"/>
  <c r="H39" s="1"/>
  <c r="I38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I84" i="37"/>
  <c r="I88"/>
  <c r="I86"/>
  <c r="I87"/>
  <c r="I38"/>
  <c r="F27"/>
  <c r="H27" s="1"/>
  <c r="F26"/>
  <c r="H26" s="1"/>
  <c r="H25"/>
  <c r="H24"/>
  <c r="F24"/>
  <c r="H23"/>
  <c r="F23"/>
  <c r="H22"/>
  <c r="F22"/>
  <c r="F21"/>
  <c r="H21" s="1"/>
  <c r="H20"/>
  <c r="F20"/>
  <c r="H19"/>
  <c r="F19"/>
  <c r="F18"/>
  <c r="H18" s="1"/>
  <c r="E18"/>
  <c r="F17"/>
  <c r="H17" s="1"/>
  <c r="F16"/>
  <c r="I16" s="1"/>
  <c r="I86" i="36"/>
  <c r="I85"/>
  <c r="I82"/>
  <c r="I84"/>
  <c r="I78"/>
  <c r="F31"/>
  <c r="H31" s="1"/>
  <c r="H30"/>
  <c r="F30"/>
  <c r="I30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I39" i="38" l="1"/>
  <c r="I41"/>
  <c r="H42"/>
  <c r="I43"/>
  <c r="H18"/>
  <c r="I18"/>
  <c r="H16"/>
  <c r="I27"/>
  <c r="H16" i="37"/>
  <c r="I17"/>
  <c r="I18"/>
  <c r="I27"/>
  <c r="I31" i="36"/>
  <c r="H18"/>
  <c r="I18"/>
  <c r="H16"/>
  <c r="I27"/>
  <c r="I89" i="35" l="1"/>
  <c r="I88"/>
  <c r="I85" l="1"/>
  <c r="I84"/>
  <c r="I61"/>
  <c r="F31"/>
  <c r="H31" s="1"/>
  <c r="F30"/>
  <c r="I30" s="1"/>
  <c r="F27"/>
  <c r="H27" s="1"/>
  <c r="E18"/>
  <c r="F18" s="1"/>
  <c r="F17"/>
  <c r="I17" s="1"/>
  <c r="F16"/>
  <c r="I16" s="1"/>
  <c r="I82" i="34"/>
  <c r="I90"/>
  <c r="I87"/>
  <c r="I86"/>
  <c r="I85"/>
  <c r="I84"/>
  <c r="F31"/>
  <c r="H31" s="1"/>
  <c r="F30"/>
  <c r="I30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17" i="35" l="1"/>
  <c r="H30"/>
  <c r="I31"/>
  <c r="I27"/>
  <c r="H18"/>
  <c r="I18"/>
  <c r="H16"/>
  <c r="H17" i="34"/>
  <c r="H30"/>
  <c r="I31"/>
  <c r="H18"/>
  <c r="I18"/>
  <c r="H16"/>
  <c r="I27"/>
  <c r="I82" i="33" l="1"/>
  <c r="I86"/>
  <c r="I84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3" i="32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82" i="31"/>
  <c r="F27"/>
  <c r="H27" s="1"/>
  <c r="E18"/>
  <c r="F18" s="1"/>
  <c r="F17"/>
  <c r="H17" s="1"/>
  <c r="F16"/>
  <c r="I16" s="1"/>
  <c r="F27" i="30"/>
  <c r="H27" s="1"/>
  <c r="F26"/>
  <c r="H26" s="1"/>
  <c r="H25"/>
  <c r="H24"/>
  <c r="F24"/>
  <c r="H23"/>
  <c r="F23"/>
  <c r="H22"/>
  <c r="F22"/>
  <c r="H21"/>
  <c r="F21"/>
  <c r="H20"/>
  <c r="F20"/>
  <c r="H19"/>
  <c r="F19"/>
  <c r="F18"/>
  <c r="H18" s="1"/>
  <c r="E18"/>
  <c r="F17"/>
  <c r="H17" s="1"/>
  <c r="H16"/>
  <c r="F16"/>
  <c r="I16" s="1"/>
  <c r="F27" i="29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F27" i="28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F27" i="27"/>
  <c r="I90" i="32"/>
  <c r="I89"/>
  <c r="I88"/>
  <c r="I87"/>
  <c r="I86"/>
  <c r="I85"/>
  <c r="I91" s="1"/>
  <c r="H18" i="33" l="1"/>
  <c r="I18"/>
  <c r="H16"/>
  <c r="I17"/>
  <c r="I27"/>
  <c r="H16" i="32"/>
  <c r="I17"/>
  <c r="I18"/>
  <c r="I27"/>
  <c r="I27" i="31"/>
  <c r="H18"/>
  <c r="I18"/>
  <c r="H16"/>
  <c r="I17"/>
  <c r="I17" i="30"/>
  <c r="I18"/>
  <c r="I27"/>
  <c r="H18" i="29"/>
  <c r="I18"/>
  <c r="H16"/>
  <c r="I27"/>
  <c r="H18" i="28"/>
  <c r="I18"/>
  <c r="H16"/>
  <c r="I27"/>
  <c r="I87" i="31"/>
  <c r="I86"/>
  <c r="I85"/>
  <c r="I84"/>
  <c r="I88" s="1"/>
  <c r="I85" i="30"/>
  <c r="I86" s="1"/>
  <c r="I57"/>
  <c r="I56"/>
  <c r="I38" i="29"/>
  <c r="I37" i="30"/>
  <c r="I39" l="1"/>
  <c r="I84" i="29" l="1"/>
  <c r="I88"/>
  <c r="I87"/>
  <c r="I86"/>
  <c r="H86"/>
  <c r="I58"/>
  <c r="I57"/>
  <c r="I83" i="28"/>
  <c r="I62"/>
  <c r="I88"/>
  <c r="I87"/>
  <c r="I86"/>
  <c r="I85"/>
  <c r="I37"/>
  <c r="I37" i="27" l="1"/>
  <c r="I89"/>
  <c r="I88"/>
  <c r="I87"/>
  <c r="I86"/>
  <c r="I85"/>
  <c r="F85"/>
  <c r="I61" i="38"/>
  <c r="H61"/>
  <c r="I44" i="37"/>
  <c r="I61" i="36" l="1"/>
  <c r="I56" i="28" l="1"/>
  <c r="I78" i="33" l="1"/>
  <c r="I79" i="32" l="1"/>
  <c r="I69"/>
  <c r="I60" i="30" l="1"/>
  <c r="I43"/>
  <c r="F61" i="29"/>
  <c r="I44"/>
  <c r="I43" i="28"/>
  <c r="I43" i="27"/>
  <c r="H87" i="28" l="1"/>
  <c r="H86"/>
  <c r="H85"/>
  <c r="F60"/>
  <c r="I57"/>
  <c r="H87" i="27"/>
  <c r="H86"/>
  <c r="H85"/>
  <c r="I62"/>
  <c r="F60"/>
  <c r="H60" s="1"/>
  <c r="F83" i="38" l="1"/>
  <c r="I83" s="1"/>
  <c r="F82"/>
  <c r="H82" s="1"/>
  <c r="I80"/>
  <c r="H80"/>
  <c r="H78"/>
  <c r="H76"/>
  <c r="H75"/>
  <c r="H74"/>
  <c r="F73"/>
  <c r="H73" s="1"/>
  <c r="F71"/>
  <c r="I71" s="1"/>
  <c r="I70"/>
  <c r="H70"/>
  <c r="F69"/>
  <c r="H69" s="1"/>
  <c r="F68"/>
  <c r="I68" s="1"/>
  <c r="F67"/>
  <c r="H67" s="1"/>
  <c r="F66"/>
  <c r="I66" s="1"/>
  <c r="F65"/>
  <c r="H65" s="1"/>
  <c r="F64"/>
  <c r="H64" s="1"/>
  <c r="I63"/>
  <c r="F63"/>
  <c r="H63" s="1"/>
  <c r="F60"/>
  <c r="H60" s="1"/>
  <c r="I58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38"/>
  <c r="H36"/>
  <c r="H35"/>
  <c r="F34"/>
  <c r="I34" s="1"/>
  <c r="E34"/>
  <c r="F33"/>
  <c r="I33" s="1"/>
  <c r="F32"/>
  <c r="H32" s="1"/>
  <c r="F31"/>
  <c r="I31" s="1"/>
  <c r="F28"/>
  <c r="H28" s="1"/>
  <c r="H87" i="37"/>
  <c r="H86"/>
  <c r="I80"/>
  <c r="I63"/>
  <c r="I58"/>
  <c r="F83"/>
  <c r="I83" s="1"/>
  <c r="F82"/>
  <c r="H82" s="1"/>
  <c r="H80"/>
  <c r="H78"/>
  <c r="H76"/>
  <c r="H75"/>
  <c r="H74"/>
  <c r="F73"/>
  <c r="H73" s="1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H40"/>
  <c r="F39"/>
  <c r="I39" s="1"/>
  <c r="H38"/>
  <c r="H36"/>
  <c r="H35"/>
  <c r="F34"/>
  <c r="H34" s="1"/>
  <c r="E34"/>
  <c r="F33"/>
  <c r="H33" s="1"/>
  <c r="F32"/>
  <c r="I32" s="1"/>
  <c r="F31"/>
  <c r="H31" s="1"/>
  <c r="F28"/>
  <c r="I28" s="1"/>
  <c r="H84" i="36"/>
  <c r="I28" i="38" l="1"/>
  <c r="H31"/>
  <c r="I32"/>
  <c r="H33"/>
  <c r="H34"/>
  <c r="H46"/>
  <c r="I47"/>
  <c r="H48"/>
  <c r="I49"/>
  <c r="H50"/>
  <c r="I51"/>
  <c r="H52"/>
  <c r="H57"/>
  <c r="I65"/>
  <c r="H66"/>
  <c r="I67"/>
  <c r="H68"/>
  <c r="I69"/>
  <c r="H71"/>
  <c r="I82"/>
  <c r="H83"/>
  <c r="H28" i="37"/>
  <c r="H51"/>
  <c r="H41"/>
  <c r="H83"/>
  <c r="H65"/>
  <c r="H69"/>
  <c r="H67"/>
  <c r="H47"/>
  <c r="H32"/>
  <c r="H39"/>
  <c r="H43"/>
  <c r="H49"/>
  <c r="I31"/>
  <c r="I34"/>
  <c r="I42"/>
  <c r="I46"/>
  <c r="I50"/>
  <c r="I52"/>
  <c r="I57"/>
  <c r="I61"/>
  <c r="I66"/>
  <c r="I68"/>
  <c r="I71"/>
  <c r="I82"/>
  <c r="I33"/>
  <c r="I48"/>
  <c r="I90" l="1"/>
  <c r="I91" i="38"/>
  <c r="F81" i="36" l="1"/>
  <c r="I81" s="1"/>
  <c r="F80"/>
  <c r="H80" s="1"/>
  <c r="H78"/>
  <c r="H76"/>
  <c r="H74"/>
  <c r="H73"/>
  <c r="H72"/>
  <c r="H71"/>
  <c r="F71"/>
  <c r="F69"/>
  <c r="H69" s="1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F58"/>
  <c r="H58" s="1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F32"/>
  <c r="H32" s="1"/>
  <c r="H84" i="35"/>
  <c r="I68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I82" s="1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F81" i="34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H85" i="33"/>
  <c r="H84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F31"/>
  <c r="H31" s="1"/>
  <c r="F30"/>
  <c r="I30" s="1"/>
  <c r="H86" i="32"/>
  <c r="H85"/>
  <c r="F82"/>
  <c r="H82" s="1"/>
  <c r="F81"/>
  <c r="I81" s="1"/>
  <c r="H79"/>
  <c r="H77"/>
  <c r="H75"/>
  <c r="H74"/>
  <c r="H73"/>
  <c r="F72"/>
  <c r="H72" s="1"/>
  <c r="F70"/>
  <c r="I70" s="1"/>
  <c r="H69"/>
  <c r="F68"/>
  <c r="I68" s="1"/>
  <c r="F67"/>
  <c r="H67" s="1"/>
  <c r="F66"/>
  <c r="I66" s="1"/>
  <c r="F65"/>
  <c r="H65" s="1"/>
  <c r="F64"/>
  <c r="I64" s="1"/>
  <c r="F63"/>
  <c r="H63" s="1"/>
  <c r="F62"/>
  <c r="H62" s="1"/>
  <c r="H60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H39"/>
  <c r="F38"/>
  <c r="I38" s="1"/>
  <c r="I37"/>
  <c r="H37"/>
  <c r="H35"/>
  <c r="H34"/>
  <c r="F33"/>
  <c r="H33" s="1"/>
  <c r="F32"/>
  <c r="I32" s="1"/>
  <c r="F31"/>
  <c r="H31" s="1"/>
  <c r="F28"/>
  <c r="I28" s="1"/>
  <c r="F84" i="31"/>
  <c r="H84" s="1"/>
  <c r="I25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F58"/>
  <c r="H58" s="1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F32"/>
  <c r="H32" s="1"/>
  <c r="F31"/>
  <c r="I31" s="1"/>
  <c r="F30"/>
  <c r="H30" s="1"/>
  <c r="F26"/>
  <c r="H26" s="1"/>
  <c r="H25"/>
  <c r="F24"/>
  <c r="H24" s="1"/>
  <c r="F23"/>
  <c r="H23" s="1"/>
  <c r="F22"/>
  <c r="H22" s="1"/>
  <c r="F21"/>
  <c r="H21" s="1"/>
  <c r="F20"/>
  <c r="H20" s="1"/>
  <c r="F19"/>
  <c r="F82" i="30"/>
  <c r="I82" s="1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60"/>
  <c r="H60" s="1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H39"/>
  <c r="F38"/>
  <c r="I38" s="1"/>
  <c r="H37"/>
  <c r="H35"/>
  <c r="H34"/>
  <c r="F33"/>
  <c r="H33" s="1"/>
  <c r="E33"/>
  <c r="F32"/>
  <c r="H32" s="1"/>
  <c r="F31"/>
  <c r="I31" s="1"/>
  <c r="F30"/>
  <c r="H30" s="1"/>
  <c r="F83" i="29"/>
  <c r="H83" s="1"/>
  <c r="F82"/>
  <c r="I82" s="1"/>
  <c r="H80"/>
  <c r="H78"/>
  <c r="H76"/>
  <c r="H75"/>
  <c r="H74"/>
  <c r="F73"/>
  <c r="H73" s="1"/>
  <c r="F71"/>
  <c r="I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4"/>
  <c r="F43"/>
  <c r="I43" s="1"/>
  <c r="F42"/>
  <c r="I42" s="1"/>
  <c r="F41"/>
  <c r="I41" s="1"/>
  <c r="H40"/>
  <c r="F39"/>
  <c r="I39" s="1"/>
  <c r="H38"/>
  <c r="H36"/>
  <c r="H35"/>
  <c r="F34"/>
  <c r="H34" s="1"/>
  <c r="E34"/>
  <c r="F33"/>
  <c r="H33" s="1"/>
  <c r="F32"/>
  <c r="I32" s="1"/>
  <c r="F31"/>
  <c r="H31" s="1"/>
  <c r="F28"/>
  <c r="I28" s="1"/>
  <c r="F82" i="28"/>
  <c r="I82" s="1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H60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H39"/>
  <c r="F38"/>
  <c r="I38" s="1"/>
  <c r="H37"/>
  <c r="H35"/>
  <c r="H34"/>
  <c r="F33"/>
  <c r="H33" s="1"/>
  <c r="E33"/>
  <c r="F32"/>
  <c r="H32" s="1"/>
  <c r="F31"/>
  <c r="I31" s="1"/>
  <c r="F30"/>
  <c r="H30" s="1"/>
  <c r="F82" i="27"/>
  <c r="F81"/>
  <c r="H81" s="1"/>
  <c r="H79"/>
  <c r="H77"/>
  <c r="H75"/>
  <c r="H74"/>
  <c r="H73"/>
  <c r="H72"/>
  <c r="F72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59"/>
  <c r="H59" s="1"/>
  <c r="H57"/>
  <c r="F56"/>
  <c r="I56" s="1"/>
  <c r="I52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H39"/>
  <c r="F38"/>
  <c r="I38" s="1"/>
  <c r="H37"/>
  <c r="H35"/>
  <c r="H34"/>
  <c r="F33"/>
  <c r="I33" s="1"/>
  <c r="E33"/>
  <c r="F32"/>
  <c r="H32" s="1"/>
  <c r="F31"/>
  <c r="H31" s="1"/>
  <c r="F30"/>
  <c r="H30" s="1"/>
  <c r="H27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81" i="35" l="1"/>
  <c r="H19" i="31"/>
  <c r="I19"/>
  <c r="H42" i="27"/>
  <c r="I42"/>
  <c r="H37" i="36"/>
  <c r="H31" i="30"/>
  <c r="H40"/>
  <c r="H46"/>
  <c r="H50"/>
  <c r="H82" i="28"/>
  <c r="H38" i="30"/>
  <c r="H42"/>
  <c r="H48"/>
  <c r="H82"/>
  <c r="I32" i="36"/>
  <c r="H39"/>
  <c r="I40"/>
  <c r="H41"/>
  <c r="I44"/>
  <c r="H45"/>
  <c r="I46"/>
  <c r="H47"/>
  <c r="I48"/>
  <c r="H49"/>
  <c r="I50"/>
  <c r="I55"/>
  <c r="I59"/>
  <c r="H63"/>
  <c r="I64"/>
  <c r="H65"/>
  <c r="I66"/>
  <c r="H67"/>
  <c r="I69"/>
  <c r="I80"/>
  <c r="H81"/>
  <c r="I19" i="35"/>
  <c r="H20"/>
  <c r="I21"/>
  <c r="H22"/>
  <c r="I23"/>
  <c r="H24"/>
  <c r="I26"/>
  <c r="H32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32" i="34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81"/>
  <c r="H30" i="33"/>
  <c r="I31"/>
  <c r="H32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81"/>
  <c r="H28" i="32"/>
  <c r="I31"/>
  <c r="H32"/>
  <c r="I33"/>
  <c r="H38"/>
  <c r="H40"/>
  <c r="I41"/>
  <c r="H42"/>
  <c r="I45"/>
  <c r="H46"/>
  <c r="I47"/>
  <c r="H48"/>
  <c r="I49"/>
  <c r="H50"/>
  <c r="I51"/>
  <c r="I56"/>
  <c r="I60"/>
  <c r="H64"/>
  <c r="I65"/>
  <c r="H66"/>
  <c r="I67"/>
  <c r="H68"/>
  <c r="H70"/>
  <c r="H81"/>
  <c r="I82"/>
  <c r="I20" i="31"/>
  <c r="I26"/>
  <c r="I24"/>
  <c r="I63"/>
  <c r="I67"/>
  <c r="I65"/>
  <c r="I21"/>
  <c r="I22"/>
  <c r="I23"/>
  <c r="I69"/>
  <c r="I66"/>
  <c r="I64"/>
  <c r="I30"/>
  <c r="H31"/>
  <c r="I32"/>
  <c r="H37"/>
  <c r="H39"/>
  <c r="I40"/>
  <c r="H41"/>
  <c r="I44"/>
  <c r="H45"/>
  <c r="I46"/>
  <c r="H47"/>
  <c r="I48"/>
  <c r="H49"/>
  <c r="I50"/>
  <c r="I55"/>
  <c r="I59"/>
  <c r="I80"/>
  <c r="H81"/>
  <c r="I30" i="30"/>
  <c r="I32"/>
  <c r="I33"/>
  <c r="I41"/>
  <c r="I45"/>
  <c r="I47"/>
  <c r="I49"/>
  <c r="I51"/>
  <c r="I70"/>
  <c r="I81"/>
  <c r="I83" s="1"/>
  <c r="H28" i="29"/>
  <c r="H39"/>
  <c r="H43"/>
  <c r="H32"/>
  <c r="H41"/>
  <c r="I31"/>
  <c r="I33"/>
  <c r="I34"/>
  <c r="H42"/>
  <c r="H46"/>
  <c r="I47"/>
  <c r="H48"/>
  <c r="I49"/>
  <c r="H50"/>
  <c r="I51"/>
  <c r="H52"/>
  <c r="H57"/>
  <c r="H61"/>
  <c r="H71"/>
  <c r="H82"/>
  <c r="I83"/>
  <c r="I30" i="28"/>
  <c r="H31"/>
  <c r="I32"/>
  <c r="I33"/>
  <c r="H38"/>
  <c r="H40"/>
  <c r="I41"/>
  <c r="H42"/>
  <c r="I45"/>
  <c r="H46"/>
  <c r="I47"/>
  <c r="H48"/>
  <c r="I49"/>
  <c r="H50"/>
  <c r="I51"/>
  <c r="I60"/>
  <c r="I70"/>
  <c r="I81"/>
  <c r="H82" i="27"/>
  <c r="I82"/>
  <c r="I81"/>
  <c r="H33"/>
  <c r="H38"/>
  <c r="H56"/>
  <c r="I70"/>
  <c r="I60"/>
  <c r="I48"/>
  <c r="I46"/>
  <c r="I47"/>
  <c r="I45"/>
  <c r="I50"/>
  <c r="I51"/>
  <c r="I49"/>
  <c r="I32"/>
  <c r="I30"/>
  <c r="I31"/>
  <c r="I40"/>
  <c r="H41"/>
  <c r="I27"/>
  <c r="I83" s="1"/>
  <c r="H18"/>
  <c r="I18"/>
  <c r="H16"/>
  <c r="I17"/>
  <c r="I88" i="36" l="1"/>
  <c r="I88" i="33"/>
  <c r="I90" i="31"/>
  <c r="I88" i="30"/>
  <c r="I90" i="28"/>
  <c r="I90" i="29"/>
  <c r="I91" i="35"/>
  <c r="I92" i="34"/>
  <c r="I93" i="32"/>
  <c r="I91" i="27" l="1"/>
  <c r="G79" i="15" l="1"/>
  <c r="D77"/>
  <c r="G74"/>
  <c r="G81" s="1"/>
  <c r="G57"/>
  <c r="G54"/>
  <c r="E25"/>
  <c r="I27" l="1"/>
  <c r="H71" l="1"/>
  <c r="H75" s="1"/>
</calcChain>
</file>

<file path=xl/sharedStrings.xml><?xml version="1.0" encoding="utf-8"?>
<sst xmlns="http://schemas.openxmlformats.org/spreadsheetml/2006/main" count="2725" uniqueCount="297">
  <si>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</si>
  <si>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</si>
  <si>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</si>
  <si>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</si>
  <si>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</si>
  <si>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</si>
  <si>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</si>
  <si>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</si>
  <si>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</si>
  <si>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</si>
  <si>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</si>
  <si>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</si>
  <si>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</si>
  <si>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</si>
  <si>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</si>
  <si>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</si>
  <si>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</si>
  <si>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</si>
  <si>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</si>
  <si>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</si>
  <si>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</si>
  <si>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</si>
  <si>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</si>
  <si>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</si>
  <si>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</si>
  <si>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</si>
  <si>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</si>
  <si>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</si>
  <si>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</si>
  <si>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</si>
  <si>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</si>
  <si>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</si>
  <si>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</si>
  <si>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</si>
  <si>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</si>
  <si>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</si>
  <si>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</si>
  <si>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</si>
  <si>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</si>
  <si>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</si>
  <si>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</si>
  <si>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</si>
  <si>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</si>
  <si>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</si>
  <si>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</si>
  <si>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</si>
  <si>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</si>
  <si>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</si>
  <si>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</si>
  <si>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</si>
  <si>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</si>
  <si>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</si>
  <si>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</si>
  <si>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</si>
  <si>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</si>
  <si>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</si>
  <si>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</si>
  <si>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</si>
  <si>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</si>
  <si>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</si>
  <si>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</si>
  <si>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</si>
  <si>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</si>
  <si>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</si>
  <si>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</si>
  <si>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</si>
  <si>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</si>
  <si>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</si>
  <si>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</si>
  <si>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</si>
  <si>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</si>
  <si>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</si>
  <si>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</si>
  <si>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</si>
  <si>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</si>
  <si>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</si>
  <si>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</si>
  <si>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</si>
  <si>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</si>
  <si>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</si>
  <si>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</si>
  <si>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Уборка газонов (дворовая территория)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</si>
  <si>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</si>
  <si>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</si>
  <si>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</si>
  <si>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</si>
  <si>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</si>
  <si>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</si>
  <si>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</si>
  <si>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</si>
  <si>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</si>
  <si>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</si>
  <si>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</si>
  <si>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</si>
  <si>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</si>
  <si>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</si>
  <si>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</si>
  <si>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</si>
  <si>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</si>
  <si>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</si>
  <si>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</si>
  <si>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</si>
  <si>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</si>
  <si>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</si>
  <si>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</si>
  <si>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</si>
  <si>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</si>
  <si>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</si>
  <si>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</si>
  <si>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</si>
  <si>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</si>
  <si>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</si>
  <si>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Итого:</t>
  </si>
  <si>
    <t>Уборка контейнерной площадки (от 16 кв.м. 1/3=5,33 м2)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</si>
  <si>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</si>
  <si>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</si>
  <si>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>Осмотр СО</t>
  </si>
  <si>
    <t>генеральный директор  Куканова И.Ю.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</si>
  <si>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</si>
  <si>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</si>
  <si>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</si>
  <si>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</si>
  <si>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 xml:space="preserve">II. Уборка земельного участка </t>
  </si>
  <si>
    <t>2 р. в неделю</t>
  </si>
  <si>
    <t>3 р. в неделю</t>
  </si>
  <si>
    <t xml:space="preserve">Подметание территории с усовершенствованным   покрытием </t>
  </si>
  <si>
    <t>ООО «Жилсервис»</t>
  </si>
  <si>
    <t>АКТ №11</t>
  </si>
  <si>
    <t xml:space="preserve">приемки оказанных услуг и выполненных работ по содержанию и текущему ремонту
общего имущества в многоквартирном доме № 37 по  ул.Октябрьская  пгт. Ярега
</t>
  </si>
  <si>
    <t>за период с 01.11.2016 г. по 30.11.2016 г.</t>
  </si>
  <si>
    <t>шт</t>
  </si>
  <si>
    <t>Разборка оснований покрытия полов - простильных полов</t>
  </si>
  <si>
    <t>Смена дверных приборов - пружины</t>
  </si>
  <si>
    <t>2. Всего за период с 01.11.2016 по 30.11.2016 выполнено работ (оказано услуг) на общую сумму:  7532,40 руб.</t>
  </si>
  <si>
    <t>(семь тысяч пятьсот тридцать два рубля 40 копеек)</t>
  </si>
  <si>
    <r>
      <t xml:space="preserve">    Собственники   помещений   в многоквартирном доме, расположенном по адресу: пгт.Ярега, ул.Октябрьская, д.39,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</si>
  <si>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д.39</t>
    </r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</si>
  <si>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</si>
  <si>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</si>
  <si>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</si>
  <si>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2-4 этажа</t>
  </si>
  <si>
    <t>2 раза в неделю 104 раза в год</t>
  </si>
  <si>
    <t>Мытье лестничных  площадок и маршей 1-4 этаж.</t>
  </si>
  <si>
    <t xml:space="preserve">2 раза в месяц 24 раза в год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</si>
  <si>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</si>
  <si>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</si>
  <si>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Дератизация</t>
  </si>
  <si>
    <t>Техническое обслуживание наружных газопроводов</t>
  </si>
  <si>
    <t>ТО внутренних сетей водопровода и канализации</t>
  </si>
  <si>
    <t>руб/м2 в мес.</t>
  </si>
  <si>
    <t>Сдвигание снега в дни снегопада</t>
  </si>
  <si>
    <t>30 раз за сезон</t>
  </si>
  <si>
    <t>Вывоз снега с придомовой территории</t>
  </si>
  <si>
    <t>1м3</t>
  </si>
  <si>
    <t>155 раз за сезон</t>
  </si>
  <si>
    <t>1000м2</t>
  </si>
  <si>
    <t>35 раза за сезон</t>
  </si>
  <si>
    <t xml:space="preserve">Пескопосыпка территории: крыльца и тротуары </t>
  </si>
  <si>
    <t>20 раз за сезон</t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</si>
  <si>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</si>
  <si>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</si>
  <si>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</si>
  <si>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</si>
  <si>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</si>
  <si>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</si>
  <si>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</si>
  <si>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</si>
  <si>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</si>
  <si>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</si>
  <si>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</si>
  <si>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</si>
  <si>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</si>
  <si>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</si>
  <si>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</si>
  <si>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</si>
  <si>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</si>
  <si>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Вывоз смета,травы,ветвей и т.п.- м/ч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</si>
  <si>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</si>
  <si>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</si>
  <si>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</si>
  <si>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</si>
  <si>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</si>
  <si>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</si>
  <si>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</si>
  <si>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ТО внутридомового газ.оборудования</t>
  </si>
  <si>
    <t>Аварийно-диспетчерское обслуживание</t>
  </si>
  <si>
    <t>Работа автовышки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</si>
  <si>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</si>
  <si>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</si>
  <si>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</si>
  <si>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 раз в год</t>
  </si>
  <si>
    <t>Прочистка каналов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</si>
  <si>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</si>
  <si>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</si>
  <si>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</si>
  <si>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</si>
  <si>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</si>
  <si>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</si>
  <si>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</si>
  <si>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</si>
  <si>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</si>
  <si>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</si>
  <si>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 xml:space="preserve">приемки оказанных услуг и выполненных работ по содержанию и текущему ремонту
общего имущества в многоквартирном доме №43 по ул.Октябрьская пгт.Ярега
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</si>
  <si>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д.43</t>
    </r>
  </si>
  <si>
    <t>52 раза в сезон</t>
  </si>
  <si>
    <t>78 раз за сезон</t>
  </si>
  <si>
    <t>маш-час</t>
  </si>
  <si>
    <t>Спуск воды после промывки СО в канализацию</t>
  </si>
  <si>
    <t>Смена светодиодных светильников</t>
  </si>
  <si>
    <t>1 шт.</t>
  </si>
  <si>
    <t>Стоимость светодиодного светильника</t>
  </si>
  <si>
    <t>руб.</t>
  </si>
  <si>
    <t>Итого затраты за месяц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</si>
  <si>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</si>
  <si>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</si>
  <si>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</t>
  </si>
  <si>
    <t>АКТ №10</t>
  </si>
  <si>
    <t>АКТ №12</t>
  </si>
  <si>
    <t>100 кв.</t>
  </si>
  <si>
    <t>ООО «Движение»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</si>
  <si>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</si>
  <si>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</si>
  <si>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</si>
  <si>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Осмотр электросетей, армазуры и электрооборудования на лестничных клетках</t>
  </si>
  <si>
    <t>Внеплановый осмотр вводных электрических щитков</t>
  </si>
  <si>
    <t>100шт</t>
  </si>
  <si>
    <t>за период с 01.02.2019 г. по 28.02.2019 г.</t>
  </si>
  <si>
    <t>Внеплановый осмотр водопроводов, канализации, отопления в квартирах</t>
  </si>
  <si>
    <t>за период с 01.03.2019 г. по 31.03.2019 г.</t>
  </si>
  <si>
    <t xml:space="preserve">Смена сгонов у трубопроводов диаметром до 20 мм </t>
  </si>
  <si>
    <t>1 сгон</t>
  </si>
  <si>
    <t>за период с 01.04.2019 г. по 30.04.2019 г.</t>
  </si>
  <si>
    <t xml:space="preserve">1 раз </t>
  </si>
  <si>
    <t>1 раз</t>
  </si>
  <si>
    <t>4ч</t>
  </si>
  <si>
    <t>Закрыли слуховое окно</t>
  </si>
  <si>
    <t>за период с 01.05.2019 г. по 31.05.2019 г.</t>
  </si>
  <si>
    <t>Смена внутренних трубопроводов на полипропиленовые трубы PN 25 Dу 25</t>
  </si>
  <si>
    <t>0,5м</t>
  </si>
  <si>
    <t>за период с 01.06.2019 г. по 30.06.2019 г.</t>
  </si>
  <si>
    <t>Очистка канализационной сети внутренней</t>
  </si>
  <si>
    <t>Укрепление оконных и дверных приборов - пружин, ручек, петель, шпингалетов, проушин</t>
  </si>
  <si>
    <t>Смена автомата на ток до 25А ( без материалов)</t>
  </si>
  <si>
    <t>Организация и содержание мест накопления ТКО</t>
  </si>
  <si>
    <t>13 раз</t>
  </si>
  <si>
    <t>8 раз</t>
  </si>
  <si>
    <t>2 раза</t>
  </si>
  <si>
    <t>5 раз</t>
  </si>
  <si>
    <t>25 раз</t>
  </si>
  <si>
    <t>6 раз</t>
  </si>
  <si>
    <t>3 раз</t>
  </si>
  <si>
    <t>2. Всего за период с 01.01.2019 по 31.01.2019 выполнено работ (оказано услуг) на общую сумму: 33446,16 руб.</t>
  </si>
  <si>
    <t>(тридцать три тысячи четыреста сорок шесть рублей 16 копеек)</t>
  </si>
  <si>
    <t>21 раз</t>
  </si>
  <si>
    <t>1 ра</t>
  </si>
  <si>
    <t>2. Всего за период с 01.02.2019 по 28.02.2019 выполнено работ (оказано услуг) на общую сумму: 38783,10 руб.</t>
  </si>
  <si>
    <t>(тридцать восемь тысяч семьсот восемьдесят три рубля 10 копеек)</t>
  </si>
  <si>
    <t>1,5 маш/час</t>
  </si>
  <si>
    <t>2. Всего за период с 01.03.2019 по 31.03.2019 выполнено работ (оказано услуг) на общую сумму: 32664,60 руб.</t>
  </si>
  <si>
    <t>(тридцать две тысячи шестьсот шестьдесят четыре рубля 60 копеек)</t>
  </si>
  <si>
    <t>39 м3</t>
  </si>
  <si>
    <t>2. Всего за период с 01.04.2019 по 30.04.2019 выполнено работ (оказано услуг) на общую сумму: 43331,29 руб.</t>
  </si>
  <si>
    <t>(сорок три тысячи триста тридцать один рубль 29 копеек)</t>
  </si>
  <si>
    <t xml:space="preserve">1 раз    </t>
  </si>
  <si>
    <t xml:space="preserve">1 раз   </t>
  </si>
  <si>
    <t>2. Всего за период с 01.05.2019 по 31.05.2019 выполнено работ (оказано услуг) на общую сумму: 44323,83 руб.</t>
  </si>
  <si>
    <t>(сорок четыре тысячи триста двадцать три рубля 83 копейки)</t>
  </si>
  <si>
    <t>2. Всего за период с 01.06.2019 по 30.06.2019 выполнено работ (оказано услуг) на общую сумму: 85748,08 руб.</t>
  </si>
  <si>
    <t>(восемьдесят пять тысяч семьсот сорок восемь рублей 08 копеек)</t>
  </si>
  <si>
    <t>за период с 01.07.2019г. по 31.07.2019 г.</t>
  </si>
  <si>
    <t>(двадцать три тысячи триста три рубля 68 копеек)</t>
  </si>
  <si>
    <t>за период с 01.08.2019 г. по 31.08.2019 г.</t>
  </si>
  <si>
    <t>Установка хомута диаметром до  50 мм</t>
  </si>
  <si>
    <t>с/о кв. 26- 4 м; кв.10-1 м</t>
  </si>
  <si>
    <t>ГВС в подвале</t>
  </si>
  <si>
    <t>2. Всего за период с 01.08.2019 по 31.08.2019 выполнено работ (оказано услуг) на общую сумму: 37674,43 руб.</t>
  </si>
  <si>
    <t>(тридцать семь тысяч шестьсот семьдесят четыре рубля 43 копейки)</t>
  </si>
  <si>
    <t>за период с 01.09.2019 г. по 30.09.2019 г.</t>
  </si>
  <si>
    <t>9 раз</t>
  </si>
  <si>
    <t>Смена дверных приборов /замки навесные)</t>
  </si>
  <si>
    <t>10 м2</t>
  </si>
  <si>
    <t>Улучшенная масляная окраска ранее окрашенных дверей за два эаза с расчисткой старой краски до 10 %, помещений площадью 5олее 5 м2 ( под.1, 2, 3)</t>
  </si>
  <si>
    <t>2. Всего за период с 01.09.2019 по 30.09.2019 выполнено работ (оказано услуг) на общую сумму: 40074,79 руб.</t>
  </si>
  <si>
    <t>(сорок тысяч семьдесят четыре рубля 79 копеек)</t>
  </si>
  <si>
    <t>за период с 01.10.2019 г. по 31.10.2019 г.</t>
  </si>
  <si>
    <t>Внеплановый осмотр водопроводов, канализации, отопления</t>
  </si>
  <si>
    <t>2. Всего за период с 01.10.2019 по 31.10.2019 выполнено работ (оказано услуг) на общую сумму: 26851,86 руб.</t>
  </si>
  <si>
    <t>(двадцать шесть тысяч восемьсот пятьдесят один рубль 86 копеек)</t>
  </si>
  <si>
    <t>за период с 01.11.2019 г. по 30.11.2019 г.</t>
  </si>
  <si>
    <t>3 раза</t>
  </si>
  <si>
    <t xml:space="preserve">12 раз </t>
  </si>
  <si>
    <t>2. Всего за период с 01.11.2019 по 30.11.2019 выполнено работ (оказано услуг) на общую сумму: 28402,68 руб.</t>
  </si>
  <si>
    <t>(двадцать восемь тысяч четыреста два рубля 68 копеек)</t>
  </si>
  <si>
    <t>за период с 01.12.2019 г. по 31.12.2019 г.</t>
  </si>
  <si>
    <t>2. Всего за период с 01.12.2019 по 31.12.2019 выполнено работ (оказано услуг) на общую сумму: 33006,83 руб.</t>
  </si>
  <si>
    <t>(тридцать три тысячи шесть рублей 83 копейки)</t>
  </si>
  <si>
    <t>2. Всего за период с 01.07.2019 по 31.07.2019 выполнено работ (оказано услуг) на общую сумму: 23303,68 руб.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</si>
</sst>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0" fillId="0" borderId="0" xfId="0" applyNumberFormat="1" applyFill="1"/>
    <xf numFmtId="4" fontId="15" fillId="0" borderId="3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3" fillId="2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wrapText="1"/>
    </xf>
    <xf numFmtId="0" fontId="1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 wrapText="1"/>
    </xf>
    <xf numFmtId="4" fontId="13" fillId="2" borderId="12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horizontal="center" vertical="center"/>
    </xf>
    <xf numFmtId="0" fontId="13" fillId="2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20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 wrapText="1"/>
    </xf>
    <xf numFmtId="4" fontId="13" fillId="2" borderId="16" xfId="0" applyNumberFormat="1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/>
    </xf>
    <xf numFmtId="4" fontId="23" fillId="2" borderId="16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wrapText="1"/>
    </xf>
    <xf numFmtId="2" fontId="13" fillId="0" borderId="16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/>
    </xf>
    <xf numFmtId="2" fontId="13" fillId="0" borderId="2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24" fillId="2" borderId="3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 wrapText="1"/>
    </xf>
    <xf numFmtId="0" fontId="13" fillId="2" borderId="27" xfId="0" applyNumberFormat="1" applyFont="1" applyFill="1" applyBorder="1" applyAlignment="1" applyProtection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4" fontId="13" fillId="2" borderId="27" xfId="0" applyNumberFormat="1" applyFont="1" applyFill="1" applyBorder="1" applyAlignment="1">
      <alignment horizontal="center" vertical="center"/>
    </xf>
    <xf numFmtId="4" fontId="23" fillId="2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left" vertical="center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center" vertical="center"/>
    </xf>
    <xf numFmtId="4" fontId="13" fillId="3" borderId="28" xfId="0" applyNumberFormat="1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left" vertical="center"/>
    </xf>
    <xf numFmtId="4" fontId="13" fillId="0" borderId="2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D38" sqref="D38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164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222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43496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187</v>
      </c>
      <c r="C30" s="104" t="s">
        <v>155</v>
      </c>
      <c r="D30" s="103" t="s">
        <v>204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188</v>
      </c>
      <c r="C31" s="104" t="s">
        <v>155</v>
      </c>
      <c r="D31" s="103" t="s">
        <v>205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189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176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customHeight="1">
      <c r="A37" s="52">
        <v>5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G37*1.9</f>
        <v>3610.7029999999995</v>
      </c>
      <c r="J37" s="35"/>
      <c r="K37" s="10"/>
      <c r="L37" s="10"/>
      <c r="M37" s="10"/>
    </row>
    <row r="38" spans="1:14" ht="15.75" customHeight="1">
      <c r="A38" s="52">
        <v>6</v>
      </c>
      <c r="B38" s="103" t="s">
        <v>150</v>
      </c>
      <c r="C38" s="104" t="s">
        <v>32</v>
      </c>
      <c r="D38" s="103" t="s">
        <v>247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152</v>
      </c>
      <c r="C39" s="104" t="s">
        <v>153</v>
      </c>
      <c r="D39" s="103" t="s">
        <v>87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v>0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248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118</v>
      </c>
      <c r="C41" s="104" t="s">
        <v>155</v>
      </c>
      <c r="D41" s="103" t="s">
        <v>249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customHeight="1">
      <c r="A42" s="52">
        <v>9</v>
      </c>
      <c r="B42" s="103" t="s">
        <v>157</v>
      </c>
      <c r="C42" s="104" t="s">
        <v>155</v>
      </c>
      <c r="D42" s="103" t="s">
        <v>250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F42/7.5*G42</f>
        <v>82.791439999999994</v>
      </c>
      <c r="J42" s="36"/>
    </row>
    <row r="43" spans="1:14" ht="15.75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F43/7.5*G43</f>
        <v>119.15640000000002</v>
      </c>
      <c r="J43" s="36"/>
    </row>
    <row r="44" spans="1:14" ht="15.75" customHeight="1">
      <c r="A44" s="211" t="s">
        <v>160</v>
      </c>
      <c r="B44" s="212"/>
      <c r="C44" s="212"/>
      <c r="D44" s="212"/>
      <c r="E44" s="212"/>
      <c r="F44" s="212"/>
      <c r="G44" s="212"/>
      <c r="H44" s="212"/>
      <c r="I44" s="213"/>
      <c r="J44" s="36"/>
    </row>
    <row r="45" spans="1:14" ht="15.75" hidden="1" customHeight="1">
      <c r="A45" s="64">
        <v>15</v>
      </c>
      <c r="B45" s="103" t="s">
        <v>177</v>
      </c>
      <c r="C45" s="104" t="s">
        <v>155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15.75" hidden="1" customHeight="1">
      <c r="A46" s="64">
        <v>16</v>
      </c>
      <c r="B46" s="103" t="s">
        <v>40</v>
      </c>
      <c r="C46" s="104" t="s">
        <v>155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15.75" hidden="1" customHeight="1">
      <c r="A47" s="64">
        <v>17</v>
      </c>
      <c r="B47" s="103" t="s">
        <v>41</v>
      </c>
      <c r="C47" s="104" t="s">
        <v>155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15.75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customHeight="1">
      <c r="A49" s="64">
        <v>11</v>
      </c>
      <c r="B49" s="103" t="s">
        <v>70</v>
      </c>
      <c r="C49" s="104" t="s">
        <v>155</v>
      </c>
      <c r="D49" s="103" t="s">
        <v>233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144</v>
      </c>
      <c r="C50" s="104" t="s">
        <v>155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145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5.75" hidden="1" customHeight="1">
      <c r="A53" s="64">
        <v>13</v>
      </c>
      <c r="B53" s="103" t="s">
        <v>48</v>
      </c>
      <c r="C53" s="104" t="s">
        <v>130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11" t="s">
        <v>161</v>
      </c>
      <c r="B54" s="214"/>
      <c r="C54" s="214"/>
      <c r="D54" s="214"/>
      <c r="E54" s="214"/>
      <c r="F54" s="214"/>
      <c r="G54" s="214"/>
      <c r="H54" s="214"/>
      <c r="I54" s="21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14</v>
      </c>
      <c r="B56" s="103" t="s">
        <v>178</v>
      </c>
      <c r="C56" s="104" t="s">
        <v>138</v>
      </c>
      <c r="D56" s="103" t="s">
        <v>179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F56/6*G56</f>
        <v>1275.5608599999998</v>
      </c>
      <c r="J56" s="36"/>
      <c r="L56" s="28"/>
      <c r="M56" s="29"/>
      <c r="N56" s="30"/>
    </row>
    <row r="57" spans="1:14" ht="15.75" hidden="1" customHeight="1">
      <c r="A57" s="64">
        <v>26</v>
      </c>
      <c r="B57" s="103" t="s">
        <v>186</v>
      </c>
      <c r="C57" s="104" t="s">
        <v>206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v>0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180</v>
      </c>
      <c r="C59" s="104" t="s">
        <v>138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12</v>
      </c>
      <c r="B60" s="140" t="s">
        <v>146</v>
      </c>
      <c r="C60" s="141" t="s">
        <v>27</v>
      </c>
      <c r="D60" s="140" t="s">
        <v>233</v>
      </c>
      <c r="E60" s="142">
        <v>120</v>
      </c>
      <c r="F60" s="143">
        <f>E60*12</f>
        <v>1440</v>
      </c>
      <c r="G60" s="55">
        <v>1.4</v>
      </c>
      <c r="H60" s="144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15</v>
      </c>
      <c r="B62" s="21" t="s">
        <v>54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f>G62*2</f>
        <v>553.48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8</v>
      </c>
      <c r="B64" s="21" t="s">
        <v>56</v>
      </c>
      <c r="C64" s="23" t="s">
        <v>181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9</v>
      </c>
      <c r="B65" s="21" t="s">
        <v>57</v>
      </c>
      <c r="C65" s="23" t="s">
        <v>182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11</v>
      </c>
      <c r="B67" s="115" t="s">
        <v>183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12</v>
      </c>
      <c r="B68" s="115" t="s">
        <v>207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13</v>
      </c>
      <c r="B70" s="21" t="s">
        <v>148</v>
      </c>
      <c r="C70" s="42" t="s">
        <v>149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208</v>
      </c>
      <c r="C72" s="23" t="s">
        <v>209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210</v>
      </c>
      <c r="C73" s="23" t="s">
        <v>211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191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04"/>
      <c r="S77" s="204"/>
      <c r="T77" s="204"/>
      <c r="U77" s="204"/>
    </row>
    <row r="78" spans="1:22" ht="15.75" hidden="1" customHeight="1">
      <c r="A78" s="119"/>
      <c r="B78" s="121" t="s">
        <v>147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184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16" t="s">
        <v>162</v>
      </c>
      <c r="B80" s="217"/>
      <c r="C80" s="217"/>
      <c r="D80" s="217"/>
      <c r="E80" s="217"/>
      <c r="F80" s="217"/>
      <c r="G80" s="217"/>
      <c r="H80" s="217"/>
      <c r="I80" s="21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14</v>
      </c>
      <c r="B81" s="103" t="s">
        <v>185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15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112</v>
      </c>
      <c r="C83" s="64"/>
      <c r="D83" s="22"/>
      <c r="E83" s="22"/>
      <c r="F83" s="22"/>
      <c r="G83" s="26"/>
      <c r="H83" s="26"/>
      <c r="I83" s="49">
        <f>I82+I81+I70+I60+I49+I43+I42+I41+I40+I38+I37+I27+I18+I17+I16</f>
        <v>32753.402868333327</v>
      </c>
    </row>
    <row r="84" spans="1:9" ht="15.75" customHeight="1">
      <c r="A84" s="197" t="s">
        <v>75</v>
      </c>
      <c r="B84" s="198"/>
      <c r="C84" s="198"/>
      <c r="D84" s="198"/>
      <c r="E84" s="198"/>
      <c r="F84" s="198"/>
      <c r="G84" s="198"/>
      <c r="H84" s="198"/>
      <c r="I84" s="199"/>
    </row>
    <row r="85" spans="1:9" ht="34.5" customHeight="1">
      <c r="A85" s="135">
        <v>16</v>
      </c>
      <c r="B85" s="149" t="s">
        <v>221</v>
      </c>
      <c r="C85" s="154" t="s">
        <v>32</v>
      </c>
      <c r="D85" s="163"/>
      <c r="E85" s="164"/>
      <c r="F85" s="165">
        <f>0.599*10/1000</f>
        <v>5.9900000000000005E-3</v>
      </c>
      <c r="G85" s="148">
        <v>19757.060000000001</v>
      </c>
      <c r="H85" s="102">
        <f t="shared" ref="H85" si="10">G85*F85/1000</f>
        <v>0.11834478940000003</v>
      </c>
      <c r="I85" s="145">
        <f>G85*0.599*10/1000</f>
        <v>118.34478940000001</v>
      </c>
    </row>
    <row r="86" spans="1:9" ht="31.5" customHeight="1">
      <c r="A86" s="135">
        <v>17</v>
      </c>
      <c r="B86" s="149" t="s">
        <v>223</v>
      </c>
      <c r="C86" s="154" t="s">
        <v>44</v>
      </c>
      <c r="D86" s="163"/>
      <c r="E86" s="164"/>
      <c r="F86" s="166">
        <v>0.02</v>
      </c>
      <c r="G86" s="148">
        <v>3914.31</v>
      </c>
      <c r="H86" s="102">
        <f>G86*F86/1000</f>
        <v>7.82862E-2</v>
      </c>
      <c r="I86" s="19">
        <f>G86*0.02</f>
        <v>78.286199999999994</v>
      </c>
    </row>
    <row r="87" spans="1:9" ht="17.25" customHeight="1">
      <c r="A87" s="135">
        <v>18</v>
      </c>
      <c r="B87" s="149" t="s">
        <v>115</v>
      </c>
      <c r="C87" s="154" t="s">
        <v>130</v>
      </c>
      <c r="D87" s="163"/>
      <c r="E87" s="164"/>
      <c r="F87" s="166">
        <v>2</v>
      </c>
      <c r="G87" s="148">
        <v>207.55</v>
      </c>
      <c r="H87" s="102">
        <f t="shared" ref="H87" si="11">G87*F87/1000</f>
        <v>0.41510000000000002</v>
      </c>
      <c r="I87" s="19">
        <f>G87*2</f>
        <v>415.1</v>
      </c>
    </row>
    <row r="88" spans="1:9" ht="18" customHeight="1">
      <c r="A88" s="167">
        <v>19</v>
      </c>
      <c r="B88" s="149" t="s">
        <v>224</v>
      </c>
      <c r="C88" s="154" t="s">
        <v>225</v>
      </c>
      <c r="D88" s="163"/>
      <c r="E88" s="164"/>
      <c r="F88" s="166"/>
      <c r="G88" s="169">
        <v>8102.62</v>
      </c>
      <c r="H88" s="168"/>
      <c r="I88" s="157">
        <f>G88*0.01</f>
        <v>81.026200000000003</v>
      </c>
    </row>
    <row r="89" spans="1:9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SUM(I85:I88)</f>
        <v>692.75718940000002</v>
      </c>
    </row>
    <row r="90" spans="1:9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9" ht="15.75" customHeight="1">
      <c r="A91" s="79"/>
      <c r="B91" s="70" t="s">
        <v>212</v>
      </c>
      <c r="C91" s="53"/>
      <c r="D91" s="53"/>
      <c r="E91" s="53"/>
      <c r="F91" s="53"/>
      <c r="G91" s="53"/>
      <c r="H91" s="53"/>
      <c r="I91" s="68">
        <f>I83+I89</f>
        <v>33446.16005773333</v>
      </c>
    </row>
    <row r="92" spans="1:9" ht="15.75">
      <c r="A92" s="206" t="s">
        <v>251</v>
      </c>
      <c r="B92" s="206"/>
      <c r="C92" s="206"/>
      <c r="D92" s="206"/>
      <c r="E92" s="206"/>
      <c r="F92" s="206"/>
      <c r="G92" s="206"/>
      <c r="H92" s="206"/>
      <c r="I92" s="206"/>
    </row>
    <row r="93" spans="1:9" ht="15.75" customHeight="1">
      <c r="A93" s="97"/>
      <c r="B93" s="207" t="s">
        <v>252</v>
      </c>
      <c r="C93" s="207"/>
      <c r="D93" s="207"/>
      <c r="E93" s="207"/>
      <c r="F93" s="207"/>
      <c r="G93" s="207"/>
      <c r="H93" s="101"/>
      <c r="I93" s="3"/>
    </row>
    <row r="94" spans="1:9">
      <c r="A94" s="123"/>
      <c r="B94" s="202" t="s">
        <v>6</v>
      </c>
      <c r="C94" s="202"/>
      <c r="D94" s="202"/>
      <c r="E94" s="202"/>
      <c r="F94" s="202"/>
      <c r="G94" s="202"/>
      <c r="H94" s="37"/>
      <c r="I94" s="5"/>
    </row>
    <row r="95" spans="1:9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15.75">
      <c r="A96" s="208" t="s">
        <v>7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8" t="s">
        <v>8</v>
      </c>
      <c r="B97" s="208"/>
      <c r="C97" s="208"/>
      <c r="D97" s="208"/>
      <c r="E97" s="208"/>
      <c r="F97" s="208"/>
      <c r="G97" s="208"/>
      <c r="H97" s="208"/>
      <c r="I97" s="208"/>
    </row>
    <row r="98" spans="1:9" ht="16.5" customHeight="1">
      <c r="A98" s="209" t="s">
        <v>78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 customHeight="1">
      <c r="A99" s="13"/>
    </row>
    <row r="100" spans="1:9" ht="15.75" customHeight="1">
      <c r="A100" s="200" t="s">
        <v>9</v>
      </c>
      <c r="B100" s="200"/>
      <c r="C100" s="200"/>
      <c r="D100" s="200"/>
      <c r="E100" s="200"/>
      <c r="F100" s="200"/>
      <c r="G100" s="200"/>
      <c r="H100" s="200"/>
      <c r="I100" s="200"/>
    </row>
    <row r="101" spans="1:9" ht="15.75">
      <c r="A101" s="4"/>
    </row>
    <row r="102" spans="1:9" ht="15.75" customHeight="1">
      <c r="B102" s="125" t="s">
        <v>10</v>
      </c>
      <c r="C102" s="201" t="s">
        <v>163</v>
      </c>
      <c r="D102" s="201"/>
      <c r="E102" s="201"/>
      <c r="F102" s="99"/>
      <c r="I102" s="122"/>
    </row>
    <row r="103" spans="1:9">
      <c r="A103" s="123"/>
      <c r="C103" s="202" t="s">
        <v>11</v>
      </c>
      <c r="D103" s="202"/>
      <c r="E103" s="202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203"/>
      <c r="D105" s="203"/>
      <c r="E105" s="203"/>
      <c r="F105" s="100"/>
      <c r="I105" s="122"/>
    </row>
    <row r="106" spans="1:9">
      <c r="A106" s="123"/>
      <c r="C106" s="204" t="s">
        <v>11</v>
      </c>
      <c r="D106" s="204"/>
      <c r="E106" s="204"/>
      <c r="F106" s="123"/>
      <c r="I106" s="124" t="s">
        <v>12</v>
      </c>
    </row>
    <row r="107" spans="1:9" ht="15.75">
      <c r="A107" s="4" t="s">
        <v>14</v>
      </c>
    </row>
    <row r="108" spans="1:9">
      <c r="A108" s="205" t="s">
        <v>15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45" customHeight="1">
      <c r="A109" s="196" t="s">
        <v>16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17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30" customHeight="1">
      <c r="A111" s="196" t="s">
        <v>22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15" customHeight="1">
      <c r="A112" s="196" t="s">
        <v>21</v>
      </c>
      <c r="B112" s="196"/>
      <c r="C112" s="196"/>
      <c r="D112" s="196"/>
      <c r="E112" s="196"/>
      <c r="F112" s="196"/>
      <c r="G112" s="196"/>
      <c r="H112" s="196"/>
      <c r="I112" s="196"/>
    </row>
  </sheetData>
  <autoFilter ref="I12:I70"/>
  <mergeCells count="29">
    <mergeCell ref="R77:U77"/>
    <mergeCell ref="A80:I80"/>
    <mergeCell ref="A3:I3"/>
    <mergeCell ref="A4:I4"/>
    <mergeCell ref="A5:I5"/>
    <mergeCell ref="A8:I8"/>
    <mergeCell ref="A10:I10"/>
    <mergeCell ref="A14:I14"/>
    <mergeCell ref="A98:I98"/>
    <mergeCell ref="A15:I15"/>
    <mergeCell ref="A28:I28"/>
    <mergeCell ref="A44:I44"/>
    <mergeCell ref="A54:I54"/>
    <mergeCell ref="A109:I109"/>
    <mergeCell ref="A110:I110"/>
    <mergeCell ref="A111:I111"/>
    <mergeCell ref="A112:I112"/>
    <mergeCell ref="A84:I84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  <mergeCell ref="A97:I97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216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284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43769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187</v>
      </c>
      <c r="C30" s="104" t="s">
        <v>155</v>
      </c>
      <c r="D30" s="103" t="s">
        <v>245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188</v>
      </c>
      <c r="C31" s="104" t="s">
        <v>155</v>
      </c>
      <c r="D31" s="103" t="s">
        <v>244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3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3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176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3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4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150</v>
      </c>
      <c r="C37" s="104" t="s">
        <v>32</v>
      </c>
      <c r="D37" s="103" t="s">
        <v>151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4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152</v>
      </c>
      <c r="C38" s="104" t="s">
        <v>153</v>
      </c>
      <c r="D38" s="103" t="s">
        <v>87</v>
      </c>
      <c r="E38" s="105"/>
      <c r="F38" s="106">
        <v>39</v>
      </c>
      <c r="G38" s="106">
        <v>226.84</v>
      </c>
      <c r="H38" s="107">
        <f t="shared" si="4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154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4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118</v>
      </c>
      <c r="C40" s="104" t="s">
        <v>155</v>
      </c>
      <c r="D40" s="103" t="s">
        <v>156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4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157</v>
      </c>
      <c r="C41" s="104" t="s">
        <v>155</v>
      </c>
      <c r="D41" s="103" t="s">
        <v>158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4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4"/>
        <v>0.89367300000000005</v>
      </c>
      <c r="I42" s="19">
        <f>F42/6*G42</f>
        <v>148.94550000000001</v>
      </c>
      <c r="J42" s="36"/>
    </row>
    <row r="43" spans="1:14" ht="20.25" hidden="1" customHeight="1">
      <c r="A43" s="211" t="s">
        <v>160</v>
      </c>
      <c r="B43" s="212"/>
      <c r="C43" s="212"/>
      <c r="D43" s="212"/>
      <c r="E43" s="212"/>
      <c r="F43" s="212"/>
      <c r="G43" s="212"/>
      <c r="H43" s="212"/>
      <c r="I43" s="213"/>
      <c r="J43" s="36"/>
    </row>
    <row r="44" spans="1:14" ht="32.25" hidden="1" customHeight="1">
      <c r="A44" s="64">
        <v>11</v>
      </c>
      <c r="B44" s="103" t="s">
        <v>177</v>
      </c>
      <c r="C44" s="104" t="s">
        <v>155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5">SUM(F44*G44/1000)</f>
        <v>2.2622265960000001</v>
      </c>
      <c r="I44" s="19">
        <f t="shared" ref="I44:I46" si="6">F44/2*G44</f>
        <v>1131.113298</v>
      </c>
      <c r="J44" s="36"/>
    </row>
    <row r="45" spans="1:14" ht="32.25" hidden="1" customHeight="1">
      <c r="A45" s="64">
        <v>12</v>
      </c>
      <c r="B45" s="103" t="s">
        <v>40</v>
      </c>
      <c r="C45" s="104" t="s">
        <v>155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5"/>
        <v>3.2159742784000001</v>
      </c>
      <c r="I45" s="19">
        <f t="shared" si="6"/>
        <v>1607.9871392</v>
      </c>
      <c r="J45" s="36"/>
    </row>
    <row r="46" spans="1:14" ht="36" hidden="1" customHeight="1">
      <c r="A46" s="64">
        <v>13</v>
      </c>
      <c r="B46" s="103" t="s">
        <v>41</v>
      </c>
      <c r="C46" s="104" t="s">
        <v>155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5"/>
        <v>2.9431196201999996</v>
      </c>
      <c r="I46" s="19">
        <f t="shared" si="6"/>
        <v>1471.5598100999998</v>
      </c>
      <c r="J46" s="36"/>
    </row>
    <row r="47" spans="1:14" ht="29.25" hidden="1" customHeight="1">
      <c r="A47" s="64">
        <v>14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5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26.25" hidden="1" customHeight="1">
      <c r="A48" s="64">
        <v>15</v>
      </c>
      <c r="B48" s="103" t="s">
        <v>70</v>
      </c>
      <c r="C48" s="104" t="s">
        <v>155</v>
      </c>
      <c r="D48" s="103" t="s">
        <v>190</v>
      </c>
      <c r="E48" s="105">
        <v>2062.5</v>
      </c>
      <c r="F48" s="106">
        <f>SUM(E48*5/1000)</f>
        <v>10.3125</v>
      </c>
      <c r="G48" s="19">
        <v>1711.28</v>
      </c>
      <c r="H48" s="107">
        <f t="shared" si="5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0.75" hidden="1" customHeight="1">
      <c r="A49" s="64">
        <v>9</v>
      </c>
      <c r="B49" s="103" t="s">
        <v>144</v>
      </c>
      <c r="C49" s="104" t="s">
        <v>155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5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19.5" hidden="1" customHeight="1">
      <c r="A50" s="64">
        <v>10</v>
      </c>
      <c r="B50" s="103" t="s">
        <v>145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5"/>
        <v>0.92409600000000003</v>
      </c>
      <c r="I50" s="19">
        <f t="shared" ref="I50:I51" si="7">F50/2*G50</f>
        <v>462.048</v>
      </c>
      <c r="J50" s="36"/>
      <c r="L50" s="28"/>
      <c r="M50" s="29"/>
      <c r="N50" s="30"/>
    </row>
    <row r="51" spans="1:14" ht="23.25" hidden="1" customHeight="1">
      <c r="A51" s="64">
        <v>11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5"/>
        <v>0.1406626</v>
      </c>
      <c r="I51" s="19">
        <f t="shared" si="7"/>
        <v>70.331299999999999</v>
      </c>
      <c r="J51" s="36"/>
      <c r="L51" s="28"/>
      <c r="M51" s="29"/>
      <c r="N51" s="30"/>
    </row>
    <row r="52" spans="1:14" ht="19.5" hidden="1" customHeight="1">
      <c r="A52" s="64">
        <v>16</v>
      </c>
      <c r="B52" s="103" t="s">
        <v>48</v>
      </c>
      <c r="C52" s="104" t="s">
        <v>130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5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11" t="s">
        <v>194</v>
      </c>
      <c r="B53" s="214"/>
      <c r="C53" s="214"/>
      <c r="D53" s="214"/>
      <c r="E53" s="214"/>
      <c r="F53" s="214"/>
      <c r="G53" s="214"/>
      <c r="H53" s="214"/>
      <c r="I53" s="21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178</v>
      </c>
      <c r="C55" s="104" t="s">
        <v>138</v>
      </c>
      <c r="D55" s="103" t="s">
        <v>179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186</v>
      </c>
      <c r="C56" s="104" t="s">
        <v>206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180</v>
      </c>
      <c r="C58" s="104" t="s">
        <v>138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7</v>
      </c>
      <c r="B59" s="113" t="s">
        <v>146</v>
      </c>
      <c r="C59" s="112" t="s">
        <v>27</v>
      </c>
      <c r="D59" s="113" t="s">
        <v>233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hidden="1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8" hidden="1" customHeight="1">
      <c r="A61" s="64">
        <v>13</v>
      </c>
      <c r="B61" s="21" t="s">
        <v>54</v>
      </c>
      <c r="C61" s="23" t="s">
        <v>130</v>
      </c>
      <c r="D61" s="21" t="s">
        <v>87</v>
      </c>
      <c r="E61" s="26">
        <v>2</v>
      </c>
      <c r="F61" s="106">
        <f>E61</f>
        <v>2</v>
      </c>
      <c r="G61" s="19">
        <v>276.74</v>
      </c>
      <c r="H61" s="102">
        <f t="shared" ref="H61:H69" si="8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8" hidden="1" customHeight="1">
      <c r="A62" s="42">
        <v>29</v>
      </c>
      <c r="B62" s="21" t="s">
        <v>55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8"/>
        <v>0.18978</v>
      </c>
      <c r="I62" s="19">
        <v>0</v>
      </c>
      <c r="J62" s="36"/>
      <c r="L62" s="28"/>
      <c r="M62" s="29"/>
      <c r="N62" s="30"/>
    </row>
    <row r="63" spans="1:14" ht="17.25" hidden="1" customHeight="1">
      <c r="A63" s="42">
        <v>25</v>
      </c>
      <c r="B63" s="21" t="s">
        <v>56</v>
      </c>
      <c r="C63" s="23" t="s">
        <v>181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8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7.25" hidden="1" customHeight="1">
      <c r="A64" s="42">
        <v>26</v>
      </c>
      <c r="B64" s="21" t="s">
        <v>57</v>
      </c>
      <c r="C64" s="23" t="s">
        <v>182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8"/>
        <v>1.7693409899999997</v>
      </c>
      <c r="I64" s="19">
        <f t="shared" ref="I64:I67" si="9">F64*G64</f>
        <v>1769.3409899999997</v>
      </c>
      <c r="J64" s="36"/>
      <c r="L64" s="28"/>
      <c r="M64" s="29"/>
      <c r="N64" s="30"/>
    </row>
    <row r="65" spans="1:22" ht="18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8"/>
        <v>35.366961000000003</v>
      </c>
      <c r="I65" s="19">
        <f t="shared" si="9"/>
        <v>35366.961000000003</v>
      </c>
      <c r="J65" s="36"/>
      <c r="L65" s="28"/>
      <c r="M65" s="29"/>
      <c r="N65" s="30"/>
    </row>
    <row r="66" spans="1:22" ht="17.25" hidden="1" customHeight="1">
      <c r="A66" s="42">
        <v>28</v>
      </c>
      <c r="B66" s="115" t="s">
        <v>183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8"/>
        <v>0.40806999999999999</v>
      </c>
      <c r="I66" s="19">
        <f t="shared" si="9"/>
        <v>408.07</v>
      </c>
      <c r="J66" s="36"/>
      <c r="L66" s="28"/>
      <c r="M66" s="29"/>
      <c r="N66" s="30"/>
    </row>
    <row r="67" spans="1:22" ht="18.75" hidden="1" customHeight="1">
      <c r="A67" s="42">
        <v>29</v>
      </c>
      <c r="B67" s="115" t="s">
        <v>207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8"/>
        <v>0.38072200000000006</v>
      </c>
      <c r="I67" s="19">
        <f t="shared" si="9"/>
        <v>380.72200000000004</v>
      </c>
      <c r="J67" s="36"/>
      <c r="L67" s="28"/>
      <c r="M67" s="29"/>
      <c r="N67" s="30"/>
    </row>
    <row r="68" spans="1:22" ht="17.25" hidden="1" customHeight="1">
      <c r="A68" s="42">
        <v>18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8"/>
        <v>0.18621000000000001</v>
      </c>
      <c r="I68" s="19">
        <f>F68*G68</f>
        <v>186.21</v>
      </c>
      <c r="J68" s="36"/>
      <c r="L68" s="28"/>
      <c r="M68" s="29"/>
      <c r="N68" s="30"/>
    </row>
    <row r="69" spans="1:22" ht="15.75" customHeight="1">
      <c r="A69" s="42">
        <v>8</v>
      </c>
      <c r="B69" s="21" t="s">
        <v>148</v>
      </c>
      <c r="C69" s="42" t="s">
        <v>149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8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208</v>
      </c>
      <c r="C71" s="23" t="s">
        <v>209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0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210</v>
      </c>
      <c r="C72" s="23" t="s">
        <v>211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0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0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191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1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04"/>
      <c r="S76" s="204"/>
      <c r="T76" s="204"/>
      <c r="U76" s="204"/>
    </row>
    <row r="77" spans="1:22" ht="15.75" customHeight="1">
      <c r="A77" s="119"/>
      <c r="B77" s="121" t="s">
        <v>147</v>
      </c>
      <c r="C77" s="117"/>
      <c r="D77" s="47"/>
      <c r="E77" s="117"/>
      <c r="F77" s="117"/>
      <c r="G77" s="117"/>
      <c r="H77" s="126"/>
      <c r="I77" s="26"/>
    </row>
    <row r="78" spans="1:22" ht="15.75" customHeight="1">
      <c r="A78" s="42">
        <v>9</v>
      </c>
      <c r="B78" s="103" t="s">
        <v>184</v>
      </c>
      <c r="C78" s="23"/>
      <c r="D78" s="21"/>
      <c r="E78" s="116"/>
      <c r="F78" s="19">
        <v>1</v>
      </c>
      <c r="G78" s="19">
        <v>3267.2</v>
      </c>
      <c r="H78" s="102">
        <f>G78*F78/1000</f>
        <v>3.2671999999999999</v>
      </c>
      <c r="I78" s="19">
        <f>G78*1</f>
        <v>3267.2</v>
      </c>
    </row>
    <row r="79" spans="1:22" ht="15.75" customHeight="1">
      <c r="A79" s="216" t="s">
        <v>195</v>
      </c>
      <c r="B79" s="217"/>
      <c r="C79" s="217"/>
      <c r="D79" s="217"/>
      <c r="E79" s="217"/>
      <c r="F79" s="217"/>
      <c r="G79" s="217"/>
      <c r="H79" s="217"/>
      <c r="I79" s="2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10</v>
      </c>
      <c r="B80" s="103" t="s">
        <v>185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11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112</v>
      </c>
      <c r="C82" s="64"/>
      <c r="D82" s="22"/>
      <c r="E82" s="22"/>
      <c r="F82" s="22"/>
      <c r="G82" s="26"/>
      <c r="H82" s="26"/>
      <c r="I82" s="49">
        <f>I81+I80+I78+I59+I31+I30+I27+I18+I17+I16+I69</f>
        <v>26531.735784666667</v>
      </c>
    </row>
    <row r="83" spans="1:9" ht="15.75" customHeight="1">
      <c r="A83" s="197" t="s">
        <v>75</v>
      </c>
      <c r="B83" s="198"/>
      <c r="C83" s="198"/>
      <c r="D83" s="198"/>
      <c r="E83" s="198"/>
      <c r="F83" s="198"/>
      <c r="G83" s="198"/>
      <c r="H83" s="198"/>
      <c r="I83" s="199"/>
    </row>
    <row r="84" spans="1:9" ht="15.75" customHeight="1">
      <c r="A84" s="135">
        <v>12</v>
      </c>
      <c r="B84" s="181" t="s">
        <v>285</v>
      </c>
      <c r="C84" s="182" t="s">
        <v>46</v>
      </c>
      <c r="D84" s="75"/>
      <c r="E84" s="19"/>
      <c r="F84" s="19">
        <v>0.04</v>
      </c>
      <c r="G84" s="183">
        <v>26095.37</v>
      </c>
      <c r="H84" s="102">
        <f t="shared" ref="H84" si="12">G84*F84/1000</f>
        <v>1.0438147999999998</v>
      </c>
      <c r="I84" s="136">
        <f>G84*0.01</f>
        <v>260.95369999999997</v>
      </c>
    </row>
    <row r="85" spans="1:9" ht="31.5" customHeight="1">
      <c r="A85" s="178">
        <v>13</v>
      </c>
      <c r="B85" s="181" t="s">
        <v>221</v>
      </c>
      <c r="C85" s="182" t="s">
        <v>32</v>
      </c>
      <c r="D85" s="186"/>
      <c r="E85" s="187"/>
      <c r="F85" s="187"/>
      <c r="G85" s="184">
        <v>19757.060000000001</v>
      </c>
      <c r="H85" s="188"/>
      <c r="I85" s="195">
        <f>G85*0.599*5/1000</f>
        <v>59.172394700000005</v>
      </c>
    </row>
    <row r="86" spans="1:9" ht="15.75" customHeight="1">
      <c r="A86" s="42"/>
      <c r="B86" s="69" t="s">
        <v>60</v>
      </c>
      <c r="C86" s="65"/>
      <c r="D86" s="95"/>
      <c r="E86" s="65">
        <v>1</v>
      </c>
      <c r="F86" s="65"/>
      <c r="G86" s="65"/>
      <c r="H86" s="65"/>
      <c r="I86" s="49">
        <f>SUM(I84:I85)</f>
        <v>320.12609469999995</v>
      </c>
    </row>
    <row r="87" spans="1:9" ht="15.75" customHeight="1">
      <c r="A87" s="42"/>
      <c r="B87" s="75" t="s">
        <v>107</v>
      </c>
      <c r="C87" s="22"/>
      <c r="D87" s="22"/>
      <c r="E87" s="66"/>
      <c r="F87" s="66"/>
      <c r="G87" s="67"/>
      <c r="H87" s="67"/>
      <c r="I87" s="25">
        <v>0</v>
      </c>
    </row>
    <row r="88" spans="1:9" ht="15.75" customHeight="1">
      <c r="A88" s="79"/>
      <c r="B88" s="70" t="s">
        <v>212</v>
      </c>
      <c r="C88" s="53"/>
      <c r="D88" s="53"/>
      <c r="E88" s="53"/>
      <c r="F88" s="53"/>
      <c r="G88" s="53"/>
      <c r="H88" s="53"/>
      <c r="I88" s="68">
        <f>I82+I86</f>
        <v>26851.861879366668</v>
      </c>
    </row>
    <row r="89" spans="1:9" ht="15.75">
      <c r="A89" s="206" t="s">
        <v>286</v>
      </c>
      <c r="B89" s="206"/>
      <c r="C89" s="206"/>
      <c r="D89" s="206"/>
      <c r="E89" s="206"/>
      <c r="F89" s="206"/>
      <c r="G89" s="206"/>
      <c r="H89" s="206"/>
      <c r="I89" s="206"/>
    </row>
    <row r="90" spans="1:9" ht="15.75" customHeight="1">
      <c r="A90" s="97"/>
      <c r="B90" s="207" t="s">
        <v>287</v>
      </c>
      <c r="C90" s="207"/>
      <c r="D90" s="207"/>
      <c r="E90" s="207"/>
      <c r="F90" s="207"/>
      <c r="G90" s="207"/>
      <c r="H90" s="101"/>
      <c r="I90" s="3"/>
    </row>
    <row r="91" spans="1:9">
      <c r="A91" s="123"/>
      <c r="B91" s="202" t="s">
        <v>6</v>
      </c>
      <c r="C91" s="202"/>
      <c r="D91" s="202"/>
      <c r="E91" s="202"/>
      <c r="F91" s="202"/>
      <c r="G91" s="202"/>
      <c r="H91" s="37"/>
      <c r="I91" s="5"/>
    </row>
    <row r="92" spans="1:9" ht="15.75" customHeight="1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15.75">
      <c r="A93" s="208" t="s">
        <v>7</v>
      </c>
      <c r="B93" s="208"/>
      <c r="C93" s="208"/>
      <c r="D93" s="208"/>
      <c r="E93" s="208"/>
      <c r="F93" s="208"/>
      <c r="G93" s="208"/>
      <c r="H93" s="208"/>
      <c r="I93" s="208"/>
    </row>
    <row r="94" spans="1:9" ht="16.5" customHeight="1">
      <c r="A94" s="208" t="s">
        <v>8</v>
      </c>
      <c r="B94" s="208"/>
      <c r="C94" s="208"/>
      <c r="D94" s="208"/>
      <c r="E94" s="208"/>
      <c r="F94" s="208"/>
      <c r="G94" s="208"/>
      <c r="H94" s="208"/>
      <c r="I94" s="208"/>
    </row>
    <row r="95" spans="1:9" ht="16.5" customHeight="1">
      <c r="A95" s="209" t="s">
        <v>78</v>
      </c>
      <c r="B95" s="209"/>
      <c r="C95" s="209"/>
      <c r="D95" s="209"/>
      <c r="E95" s="209"/>
      <c r="F95" s="209"/>
      <c r="G95" s="209"/>
      <c r="H95" s="209"/>
      <c r="I95" s="209"/>
    </row>
    <row r="96" spans="1:9" ht="15.75" customHeight="1">
      <c r="A96" s="13"/>
    </row>
    <row r="97" spans="1:9" ht="15.75" customHeight="1">
      <c r="A97" s="200" t="s">
        <v>9</v>
      </c>
      <c r="B97" s="200"/>
      <c r="C97" s="200"/>
      <c r="D97" s="200"/>
      <c r="E97" s="200"/>
      <c r="F97" s="200"/>
      <c r="G97" s="200"/>
      <c r="H97" s="200"/>
      <c r="I97" s="200"/>
    </row>
    <row r="98" spans="1:9" ht="15.75">
      <c r="A98" s="4"/>
    </row>
    <row r="99" spans="1:9" ht="15.75" customHeight="1">
      <c r="B99" s="125" t="s">
        <v>10</v>
      </c>
      <c r="C99" s="201" t="s">
        <v>163</v>
      </c>
      <c r="D99" s="201"/>
      <c r="E99" s="201"/>
      <c r="F99" s="99"/>
      <c r="I99" s="122"/>
    </row>
    <row r="100" spans="1:9">
      <c r="A100" s="123"/>
      <c r="C100" s="202" t="s">
        <v>11</v>
      </c>
      <c r="D100" s="202"/>
      <c r="E100" s="202"/>
      <c r="F100" s="37"/>
      <c r="I100" s="124" t="s">
        <v>12</v>
      </c>
    </row>
    <row r="101" spans="1:9" ht="15.75">
      <c r="A101" s="38"/>
      <c r="C101" s="14"/>
      <c r="D101" s="14"/>
      <c r="G101" s="14"/>
      <c r="H101" s="14"/>
    </row>
    <row r="102" spans="1:9" ht="15.75">
      <c r="B102" s="125" t="s">
        <v>13</v>
      </c>
      <c r="C102" s="203"/>
      <c r="D102" s="203"/>
      <c r="E102" s="203"/>
      <c r="F102" s="100"/>
      <c r="I102" s="122"/>
    </row>
    <row r="103" spans="1:9">
      <c r="A103" s="123"/>
      <c r="C103" s="204" t="s">
        <v>11</v>
      </c>
      <c r="D103" s="204"/>
      <c r="E103" s="204"/>
      <c r="F103" s="123"/>
      <c r="I103" s="124" t="s">
        <v>12</v>
      </c>
    </row>
    <row r="104" spans="1:9" ht="15.75">
      <c r="A104" s="4" t="s">
        <v>14</v>
      </c>
    </row>
    <row r="105" spans="1:9">
      <c r="A105" s="205" t="s">
        <v>15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45" customHeight="1">
      <c r="A106" s="196" t="s">
        <v>16</v>
      </c>
      <c r="B106" s="196"/>
      <c r="C106" s="196"/>
      <c r="D106" s="196"/>
      <c r="E106" s="196"/>
      <c r="F106" s="196"/>
      <c r="G106" s="196"/>
      <c r="H106" s="196"/>
      <c r="I106" s="196"/>
    </row>
    <row r="107" spans="1:9" ht="30" customHeight="1">
      <c r="A107" s="196" t="s">
        <v>17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30" customHeight="1">
      <c r="A108" s="196" t="s">
        <v>22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" customHeight="1">
      <c r="A109" s="196" t="s">
        <v>21</v>
      </c>
      <c r="B109" s="196"/>
      <c r="C109" s="196"/>
      <c r="D109" s="196"/>
      <c r="E109" s="196"/>
      <c r="F109" s="196"/>
      <c r="G109" s="196"/>
      <c r="H109" s="196"/>
      <c r="I109" s="19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3:E103"/>
    <mergeCell ref="A83:I83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9:I79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B87" sqref="B87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127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288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43799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0" t="s">
        <v>120</v>
      </c>
      <c r="B29" s="210"/>
      <c r="C29" s="210"/>
      <c r="D29" s="210"/>
      <c r="E29" s="210"/>
      <c r="F29" s="210"/>
      <c r="G29" s="210"/>
      <c r="H29" s="210"/>
      <c r="I29" s="210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187</v>
      </c>
      <c r="C31" s="104" t="s">
        <v>155</v>
      </c>
      <c r="D31" s="103" t="s">
        <v>204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188</v>
      </c>
      <c r="C32" s="104" t="s">
        <v>155</v>
      </c>
      <c r="D32" s="103" t="s">
        <v>205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155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189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176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5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G38*0.4</f>
        <v>760.14800000000002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150</v>
      </c>
      <c r="C39" s="104" t="s">
        <v>32</v>
      </c>
      <c r="D39" s="103" t="s">
        <v>247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152</v>
      </c>
      <c r="C40" s="104" t="s">
        <v>153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248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118</v>
      </c>
      <c r="C42" s="104" t="s">
        <v>155</v>
      </c>
      <c r="D42" s="103" t="s">
        <v>249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customHeight="1">
      <c r="A43" s="52">
        <v>9</v>
      </c>
      <c r="B43" s="103" t="s">
        <v>157</v>
      </c>
      <c r="C43" s="104" t="s">
        <v>155</v>
      </c>
      <c r="D43" s="103" t="s">
        <v>289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F43/7.5*G43</f>
        <v>82.791439999999994</v>
      </c>
      <c r="J43" s="36"/>
    </row>
    <row r="44" spans="1:13" ht="15.75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F44/7.5*G44</f>
        <v>119.15640000000002</v>
      </c>
      <c r="J44" s="36"/>
    </row>
    <row r="45" spans="1:13" ht="15.75" hidden="1" customHeight="1">
      <c r="A45" s="211" t="s">
        <v>160</v>
      </c>
      <c r="B45" s="212"/>
      <c r="C45" s="212"/>
      <c r="D45" s="212"/>
      <c r="E45" s="212"/>
      <c r="F45" s="212"/>
      <c r="G45" s="212"/>
      <c r="H45" s="212"/>
      <c r="I45" s="213"/>
      <c r="J45" s="36"/>
    </row>
    <row r="46" spans="1:13" ht="15.75" hidden="1" customHeight="1">
      <c r="A46" s="64">
        <v>11</v>
      </c>
      <c r="B46" s="103" t="s">
        <v>177</v>
      </c>
      <c r="C46" s="104" t="s">
        <v>155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155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155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15</v>
      </c>
      <c r="B50" s="103" t="s">
        <v>70</v>
      </c>
      <c r="C50" s="104" t="s">
        <v>155</v>
      </c>
      <c r="D50" s="103" t="s">
        <v>190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155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11" t="s">
        <v>194</v>
      </c>
      <c r="B55" s="214"/>
      <c r="C55" s="214"/>
      <c r="D55" s="214"/>
      <c r="E55" s="214"/>
      <c r="F55" s="214"/>
      <c r="G55" s="214"/>
      <c r="H55" s="214"/>
      <c r="I55" s="215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15</v>
      </c>
      <c r="B57" s="103" t="s">
        <v>178</v>
      </c>
      <c r="C57" s="104" t="s">
        <v>138</v>
      </c>
      <c r="D57" s="103" t="s">
        <v>179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186</v>
      </c>
      <c r="C58" s="104" t="s">
        <v>206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180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11</v>
      </c>
      <c r="B61" s="113" t="s">
        <v>146</v>
      </c>
      <c r="C61" s="112" t="s">
        <v>27</v>
      </c>
      <c r="D61" s="113" t="s">
        <v>290</v>
      </c>
      <c r="E61" s="114">
        <v>140.4</v>
      </c>
      <c r="F61" s="107">
        <v>1440</v>
      </c>
      <c r="G61" s="19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181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182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f t="shared" ref="I66:I69" si="9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f t="shared" si="9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183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f t="shared" si="9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207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f t="shared" si="9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12</v>
      </c>
      <c r="B71" s="21" t="s">
        <v>148</v>
      </c>
      <c r="C71" s="42" t="s">
        <v>149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208</v>
      </c>
      <c r="C73" s="23" t="s">
        <v>209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210</v>
      </c>
      <c r="C74" s="23" t="s">
        <v>211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191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04"/>
      <c r="S78" s="204"/>
      <c r="T78" s="204"/>
      <c r="U78" s="204"/>
    </row>
    <row r="79" spans="1:22" ht="15.75" hidden="1" customHeight="1">
      <c r="A79" s="131"/>
      <c r="B79" s="133" t="s">
        <v>147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184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16" t="s">
        <v>195</v>
      </c>
      <c r="B81" s="217"/>
      <c r="C81" s="217"/>
      <c r="D81" s="217"/>
      <c r="E81" s="217"/>
      <c r="F81" s="217"/>
      <c r="G81" s="217"/>
      <c r="H81" s="217"/>
      <c r="I81" s="21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13</v>
      </c>
      <c r="B82" s="103" t="s">
        <v>185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14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112</v>
      </c>
      <c r="C84" s="64"/>
      <c r="D84" s="22"/>
      <c r="E84" s="22"/>
      <c r="F84" s="22"/>
      <c r="G84" s="26"/>
      <c r="H84" s="26"/>
      <c r="I84" s="49">
        <f>I83+I82+I71+I61+I44+I43+I42+I41+I39+I38+I27+I18+I17+I16</f>
        <v>26373.332868333335</v>
      </c>
    </row>
    <row r="85" spans="1:21" ht="15.75" customHeight="1">
      <c r="A85" s="197" t="s">
        <v>75</v>
      </c>
      <c r="B85" s="198"/>
      <c r="C85" s="198"/>
      <c r="D85" s="198"/>
      <c r="E85" s="198"/>
      <c r="F85" s="198"/>
      <c r="G85" s="198"/>
      <c r="H85" s="198"/>
      <c r="I85" s="199"/>
    </row>
    <row r="86" spans="1:21" ht="16.5" customHeight="1">
      <c r="A86" s="135">
        <v>15</v>
      </c>
      <c r="B86" s="181" t="s">
        <v>240</v>
      </c>
      <c r="C86" s="182" t="s">
        <v>215</v>
      </c>
      <c r="D86" s="75"/>
      <c r="E86" s="19"/>
      <c r="F86" s="19">
        <v>5</v>
      </c>
      <c r="G86" s="183">
        <v>273</v>
      </c>
      <c r="H86" s="102">
        <f t="shared" ref="H86:H87" si="12">G86*F86/1000</f>
        <v>1.365</v>
      </c>
      <c r="I86" s="136">
        <f>G86*7</f>
        <v>1911</v>
      </c>
    </row>
    <row r="87" spans="1:21" ht="31.5" customHeight="1">
      <c r="A87" s="135">
        <v>16</v>
      </c>
      <c r="B87" s="149" t="s">
        <v>221</v>
      </c>
      <c r="C87" s="154" t="s">
        <v>32</v>
      </c>
      <c r="D87" s="75"/>
      <c r="E87" s="55"/>
      <c r="F87" s="55">
        <v>10.5</v>
      </c>
      <c r="G87" s="184">
        <v>19757.060000000001</v>
      </c>
      <c r="H87" s="137">
        <f t="shared" si="12"/>
        <v>207.44913</v>
      </c>
      <c r="I87" s="136">
        <f>G87*0.599*10/1000</f>
        <v>118.34478940000001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2029.3447894000001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212</v>
      </c>
      <c r="C90" s="53"/>
      <c r="D90" s="53"/>
      <c r="E90" s="53"/>
      <c r="F90" s="53"/>
      <c r="G90" s="53"/>
      <c r="H90" s="53"/>
      <c r="I90" s="68">
        <f>I84+I88</f>
        <v>28402.677657733337</v>
      </c>
    </row>
    <row r="91" spans="1:21" ht="15.75">
      <c r="A91" s="206" t="s">
        <v>291</v>
      </c>
      <c r="B91" s="206"/>
      <c r="C91" s="206"/>
      <c r="D91" s="206"/>
      <c r="E91" s="206"/>
      <c r="F91" s="206"/>
      <c r="G91" s="206"/>
      <c r="H91" s="206"/>
      <c r="I91" s="206"/>
    </row>
    <row r="92" spans="1:21" ht="15.75" customHeight="1">
      <c r="A92" s="97"/>
      <c r="B92" s="207" t="s">
        <v>292</v>
      </c>
      <c r="C92" s="207"/>
      <c r="D92" s="207"/>
      <c r="E92" s="207"/>
      <c r="F92" s="207"/>
      <c r="G92" s="207"/>
      <c r="H92" s="101"/>
      <c r="I92" s="3"/>
    </row>
    <row r="93" spans="1:21">
      <c r="A93" s="129"/>
      <c r="B93" s="202" t="s">
        <v>6</v>
      </c>
      <c r="C93" s="202"/>
      <c r="D93" s="202"/>
      <c r="E93" s="202"/>
      <c r="F93" s="202"/>
      <c r="G93" s="202"/>
      <c r="H93" s="37"/>
      <c r="I93" s="5"/>
    </row>
    <row r="94" spans="1:21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208" t="s">
        <v>7</v>
      </c>
      <c r="B95" s="208"/>
      <c r="C95" s="208"/>
      <c r="D95" s="208"/>
      <c r="E95" s="208"/>
      <c r="F95" s="208"/>
      <c r="G95" s="208"/>
      <c r="H95" s="208"/>
      <c r="I95" s="208"/>
    </row>
    <row r="96" spans="1:21" ht="16.5" customHeight="1">
      <c r="A96" s="208" t="s">
        <v>8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9" t="s">
        <v>78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 customHeight="1">
      <c r="A98" s="13"/>
    </row>
    <row r="99" spans="1:9" ht="15.75" customHeight="1">
      <c r="A99" s="200" t="s">
        <v>9</v>
      </c>
      <c r="B99" s="200"/>
      <c r="C99" s="200"/>
      <c r="D99" s="200"/>
      <c r="E99" s="200"/>
      <c r="F99" s="200"/>
      <c r="G99" s="200"/>
      <c r="H99" s="200"/>
      <c r="I99" s="200"/>
    </row>
    <row r="100" spans="1:9" ht="15.75">
      <c r="A100" s="4"/>
    </row>
    <row r="101" spans="1:9" ht="15.75" customHeight="1">
      <c r="B101" s="130" t="s">
        <v>10</v>
      </c>
      <c r="C101" s="201" t="s">
        <v>163</v>
      </c>
      <c r="D101" s="201"/>
      <c r="E101" s="201"/>
      <c r="F101" s="99"/>
      <c r="I101" s="128"/>
    </row>
    <row r="102" spans="1:9">
      <c r="A102" s="129"/>
      <c r="C102" s="202" t="s">
        <v>11</v>
      </c>
      <c r="D102" s="202"/>
      <c r="E102" s="202"/>
      <c r="F102" s="37"/>
      <c r="I102" s="127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30" t="s">
        <v>13</v>
      </c>
      <c r="C104" s="203"/>
      <c r="D104" s="203"/>
      <c r="E104" s="203"/>
      <c r="F104" s="100"/>
      <c r="I104" s="128"/>
    </row>
    <row r="105" spans="1:9">
      <c r="A105" s="129"/>
      <c r="C105" s="204" t="s">
        <v>11</v>
      </c>
      <c r="D105" s="204"/>
      <c r="E105" s="204"/>
      <c r="F105" s="129"/>
      <c r="I105" s="127" t="s">
        <v>12</v>
      </c>
    </row>
    <row r="106" spans="1:9" ht="15.75">
      <c r="A106" s="4" t="s">
        <v>14</v>
      </c>
    </row>
    <row r="107" spans="1:9">
      <c r="A107" s="205" t="s">
        <v>15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45" customHeight="1">
      <c r="A108" s="196" t="s">
        <v>16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30" customHeight="1">
      <c r="A109" s="196" t="s">
        <v>17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22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" customHeight="1">
      <c r="A111" s="196" t="s">
        <v>21</v>
      </c>
      <c r="B111" s="196"/>
      <c r="C111" s="196"/>
      <c r="D111" s="196"/>
      <c r="E111" s="196"/>
      <c r="F111" s="196"/>
      <c r="G111" s="196"/>
      <c r="H111" s="196"/>
      <c r="I111" s="196"/>
    </row>
  </sheetData>
  <autoFilter ref="I12:I71"/>
  <mergeCells count="29">
    <mergeCell ref="A107:I107"/>
    <mergeCell ref="A108:I108"/>
    <mergeCell ref="A109:I109"/>
    <mergeCell ref="A110:I110"/>
    <mergeCell ref="A111:I111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workbookViewId="0">
      <selection activeCell="K97" sqref="K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217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293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43830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0" t="s">
        <v>120</v>
      </c>
      <c r="B29" s="210"/>
      <c r="C29" s="210"/>
      <c r="D29" s="210"/>
      <c r="E29" s="210"/>
      <c r="F29" s="210"/>
      <c r="G29" s="210"/>
      <c r="H29" s="210"/>
      <c r="I29" s="210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187</v>
      </c>
      <c r="C31" s="104" t="s">
        <v>155</v>
      </c>
      <c r="D31" s="103" t="s">
        <v>204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188</v>
      </c>
      <c r="C32" s="104" t="s">
        <v>155</v>
      </c>
      <c r="D32" s="103" t="s">
        <v>205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155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189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176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5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G38*0.9</f>
        <v>1710.3329999999999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150</v>
      </c>
      <c r="C39" s="104" t="s">
        <v>32</v>
      </c>
      <c r="D39" s="103" t="s">
        <v>247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152</v>
      </c>
      <c r="C40" s="104" t="s">
        <v>153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248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118</v>
      </c>
      <c r="C42" s="104" t="s">
        <v>155</v>
      </c>
      <c r="D42" s="103" t="s">
        <v>249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customHeight="1">
      <c r="A43" s="52">
        <v>9</v>
      </c>
      <c r="B43" s="103" t="s">
        <v>157</v>
      </c>
      <c r="C43" s="104" t="s">
        <v>155</v>
      </c>
      <c r="D43" s="103" t="s">
        <v>289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F43/7.5*G43</f>
        <v>82.791439999999994</v>
      </c>
      <c r="J43" s="36"/>
    </row>
    <row r="44" spans="1:13" ht="15.75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F44/7.5*G44</f>
        <v>119.15640000000002</v>
      </c>
      <c r="J44" s="36"/>
    </row>
    <row r="45" spans="1:13" ht="15.75" customHeight="1">
      <c r="A45" s="211" t="s">
        <v>160</v>
      </c>
      <c r="B45" s="212"/>
      <c r="C45" s="212"/>
      <c r="D45" s="212"/>
      <c r="E45" s="212"/>
      <c r="F45" s="212"/>
      <c r="G45" s="212"/>
      <c r="H45" s="212"/>
      <c r="I45" s="213"/>
      <c r="J45" s="36"/>
    </row>
    <row r="46" spans="1:13" ht="15.75" hidden="1" customHeight="1">
      <c r="A46" s="64">
        <v>11</v>
      </c>
      <c r="B46" s="103" t="s">
        <v>177</v>
      </c>
      <c r="C46" s="104" t="s">
        <v>155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155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155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11</v>
      </c>
      <c r="B50" s="103" t="s">
        <v>70</v>
      </c>
      <c r="C50" s="104" t="s">
        <v>155</v>
      </c>
      <c r="D50" s="103" t="s">
        <v>233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155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11" t="s">
        <v>161</v>
      </c>
      <c r="B55" s="214"/>
      <c r="C55" s="214"/>
      <c r="D55" s="214"/>
      <c r="E55" s="214"/>
      <c r="F55" s="214"/>
      <c r="G55" s="214"/>
      <c r="H55" s="214"/>
      <c r="I55" s="215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13</v>
      </c>
      <c r="B57" s="103" t="s">
        <v>178</v>
      </c>
      <c r="C57" s="104" t="s">
        <v>138</v>
      </c>
      <c r="D57" s="103" t="s">
        <v>179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186</v>
      </c>
      <c r="C58" s="104" t="s">
        <v>206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180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12</v>
      </c>
      <c r="B61" s="113" t="s">
        <v>146</v>
      </c>
      <c r="C61" s="112" t="s">
        <v>27</v>
      </c>
      <c r="D61" s="113" t="s">
        <v>233</v>
      </c>
      <c r="E61" s="114">
        <v>140.4</v>
      </c>
      <c r="F61" s="107">
        <v>1440</v>
      </c>
      <c r="G61" s="19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181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182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f t="shared" ref="I66:I69" si="9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f t="shared" si="9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183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f t="shared" si="9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207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f t="shared" si="9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13</v>
      </c>
      <c r="B71" s="21" t="s">
        <v>148</v>
      </c>
      <c r="C71" s="42" t="s">
        <v>149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208</v>
      </c>
      <c r="C73" s="23" t="s">
        <v>209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210</v>
      </c>
      <c r="C74" s="23" t="s">
        <v>211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191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04"/>
      <c r="S78" s="204"/>
      <c r="T78" s="204"/>
      <c r="U78" s="204"/>
    </row>
    <row r="79" spans="1:22" ht="15.75" hidden="1" customHeight="1">
      <c r="A79" s="131"/>
      <c r="B79" s="133" t="s">
        <v>147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184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16" t="s">
        <v>162</v>
      </c>
      <c r="B81" s="217"/>
      <c r="C81" s="217"/>
      <c r="D81" s="217"/>
      <c r="E81" s="217"/>
      <c r="F81" s="217"/>
      <c r="G81" s="217"/>
      <c r="H81" s="217"/>
      <c r="I81" s="21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14</v>
      </c>
      <c r="B82" s="103" t="s">
        <v>185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15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112</v>
      </c>
      <c r="C84" s="64"/>
      <c r="D84" s="22"/>
      <c r="E84" s="22"/>
      <c r="F84" s="22"/>
      <c r="G84" s="26"/>
      <c r="H84" s="26"/>
      <c r="I84" s="49">
        <f>I83+I82+I71+I61+I50+I44+I43+I42+I41+I39+I38+I27+I18+I17+I16</f>
        <v>30853.032868333332</v>
      </c>
    </row>
    <row r="85" spans="1:21" ht="15.75" customHeight="1">
      <c r="A85" s="197" t="s">
        <v>75</v>
      </c>
      <c r="B85" s="198"/>
      <c r="C85" s="198"/>
      <c r="D85" s="198"/>
      <c r="E85" s="198"/>
      <c r="F85" s="198"/>
      <c r="G85" s="198"/>
      <c r="H85" s="198"/>
      <c r="I85" s="199"/>
    </row>
    <row r="86" spans="1:21" ht="31.5" customHeight="1">
      <c r="A86" s="135">
        <v>16</v>
      </c>
      <c r="B86" s="149" t="s">
        <v>221</v>
      </c>
      <c r="C86" s="154" t="s">
        <v>32</v>
      </c>
      <c r="D86" s="75"/>
      <c r="E86" s="55"/>
      <c r="F86" s="55">
        <v>10.5</v>
      </c>
      <c r="G86" s="184">
        <v>19757.060000000001</v>
      </c>
      <c r="H86" s="137">
        <f t="shared" ref="H86" si="12">G86*F86/1000</f>
        <v>207.44913</v>
      </c>
      <c r="I86" s="136">
        <f>G86*0.599*10/1000</f>
        <v>118.34478940000001</v>
      </c>
    </row>
    <row r="87" spans="1:21" ht="18" customHeight="1">
      <c r="A87" s="160">
        <v>17</v>
      </c>
      <c r="B87" s="181" t="s">
        <v>240</v>
      </c>
      <c r="C87" s="182" t="s">
        <v>215</v>
      </c>
      <c r="D87" s="156"/>
      <c r="E87" s="157"/>
      <c r="F87" s="157"/>
      <c r="G87" s="183">
        <v>273</v>
      </c>
      <c r="H87" s="161"/>
      <c r="I87" s="162">
        <f>G87*6.5</f>
        <v>1774.5</v>
      </c>
    </row>
    <row r="88" spans="1:21" ht="31.5" customHeight="1">
      <c r="A88" s="178">
        <v>18</v>
      </c>
      <c r="B88" s="181" t="s">
        <v>285</v>
      </c>
      <c r="C88" s="182" t="s">
        <v>46</v>
      </c>
      <c r="D88" s="186"/>
      <c r="E88" s="187"/>
      <c r="F88" s="187"/>
      <c r="G88" s="183">
        <v>26095.37</v>
      </c>
      <c r="H88" s="188"/>
      <c r="I88" s="195">
        <f>G88*0.01</f>
        <v>260.95369999999997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2153.7984894000001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212</v>
      </c>
      <c r="C91" s="53"/>
      <c r="D91" s="53"/>
      <c r="E91" s="53"/>
      <c r="F91" s="53"/>
      <c r="G91" s="53"/>
      <c r="H91" s="53"/>
      <c r="I91" s="68">
        <f>I84+I89</f>
        <v>33006.831357733332</v>
      </c>
    </row>
    <row r="92" spans="1:21" ht="15.75">
      <c r="A92" s="206" t="s">
        <v>294</v>
      </c>
      <c r="B92" s="206"/>
      <c r="C92" s="206"/>
      <c r="D92" s="206"/>
      <c r="E92" s="206"/>
      <c r="F92" s="206"/>
      <c r="G92" s="206"/>
      <c r="H92" s="206"/>
      <c r="I92" s="206"/>
    </row>
    <row r="93" spans="1:21" ht="15.75" customHeight="1">
      <c r="A93" s="97"/>
      <c r="B93" s="207" t="s">
        <v>295</v>
      </c>
      <c r="C93" s="207"/>
      <c r="D93" s="207"/>
      <c r="E93" s="207"/>
      <c r="F93" s="207"/>
      <c r="G93" s="207"/>
      <c r="H93" s="101"/>
      <c r="I93" s="3"/>
    </row>
    <row r="94" spans="1:21">
      <c r="A94" s="129"/>
      <c r="B94" s="202" t="s">
        <v>6</v>
      </c>
      <c r="C94" s="202"/>
      <c r="D94" s="202"/>
      <c r="E94" s="202"/>
      <c r="F94" s="202"/>
      <c r="G94" s="202"/>
      <c r="H94" s="37"/>
      <c r="I94" s="5"/>
    </row>
    <row r="95" spans="1:21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208" t="s">
        <v>7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8" t="s">
        <v>8</v>
      </c>
      <c r="B97" s="208"/>
      <c r="C97" s="208"/>
      <c r="D97" s="208"/>
      <c r="E97" s="208"/>
      <c r="F97" s="208"/>
      <c r="G97" s="208"/>
      <c r="H97" s="208"/>
      <c r="I97" s="208"/>
    </row>
    <row r="98" spans="1:9" ht="16.5" customHeight="1">
      <c r="A98" s="209" t="s">
        <v>78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 customHeight="1">
      <c r="A99" s="13"/>
    </row>
    <row r="100" spans="1:9" ht="15.75" customHeight="1">
      <c r="A100" s="200" t="s">
        <v>9</v>
      </c>
      <c r="B100" s="200"/>
      <c r="C100" s="200"/>
      <c r="D100" s="200"/>
      <c r="E100" s="200"/>
      <c r="F100" s="200"/>
      <c r="G100" s="200"/>
      <c r="H100" s="200"/>
      <c r="I100" s="200"/>
    </row>
    <row r="101" spans="1:9" ht="15.75">
      <c r="A101" s="4"/>
    </row>
    <row r="102" spans="1:9" ht="15.75" customHeight="1">
      <c r="B102" s="130" t="s">
        <v>10</v>
      </c>
      <c r="C102" s="201" t="s">
        <v>163</v>
      </c>
      <c r="D102" s="201"/>
      <c r="E102" s="201"/>
      <c r="F102" s="99"/>
      <c r="I102" s="128"/>
    </row>
    <row r="103" spans="1:9">
      <c r="A103" s="129"/>
      <c r="C103" s="202" t="s">
        <v>11</v>
      </c>
      <c r="D103" s="202"/>
      <c r="E103" s="202"/>
      <c r="F103" s="37"/>
      <c r="I103" s="127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30" t="s">
        <v>13</v>
      </c>
      <c r="C105" s="203"/>
      <c r="D105" s="203"/>
      <c r="E105" s="203"/>
      <c r="F105" s="100"/>
      <c r="I105" s="128"/>
    </row>
    <row r="106" spans="1:9">
      <c r="A106" s="129"/>
      <c r="C106" s="204" t="s">
        <v>11</v>
      </c>
      <c r="D106" s="204"/>
      <c r="E106" s="204"/>
      <c r="F106" s="129"/>
      <c r="I106" s="127" t="s">
        <v>12</v>
      </c>
    </row>
    <row r="107" spans="1:9" ht="15.75">
      <c r="A107" s="4" t="s">
        <v>14</v>
      </c>
    </row>
    <row r="108" spans="1:9">
      <c r="A108" s="205" t="s">
        <v>15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45" customHeight="1">
      <c r="A109" s="196" t="s">
        <v>16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17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30" customHeight="1">
      <c r="A111" s="196" t="s">
        <v>22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15" customHeight="1">
      <c r="A112" s="196" t="s">
        <v>21</v>
      </c>
      <c r="B112" s="196"/>
      <c r="C112" s="196"/>
      <c r="D112" s="196"/>
      <c r="E112" s="196"/>
      <c r="F112" s="196"/>
      <c r="G112" s="196"/>
      <c r="H112" s="196"/>
      <c r="I112" s="196"/>
    </row>
  </sheetData>
  <autoFilter ref="I12:I71"/>
  <mergeCells count="29">
    <mergeCell ref="A108:I108"/>
    <mergeCell ref="A109:I109"/>
    <mergeCell ref="A110:I110"/>
    <mergeCell ref="A111:I111"/>
    <mergeCell ref="A112:I112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0"/>
  <sheetViews>
    <sheetView view="pageLayout" zoomScale="50" zoomScaleSheetLayoutView="106" zoomScalePageLayoutView="50" workbookViewId="0">
      <selection sqref="A1:G191"/>
    </sheetView>
  </sheetViews>
  <sheetFormatPr defaultRowHeight="15"/>
  <cols>
    <col min="1" max="1" width="6" customWidth="1"/>
    <col min="2" max="2" width="49.42578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  <col min="9" max="9" width="9.5703125" bestFit="1" customWidth="1"/>
  </cols>
  <sheetData>
    <row r="1" spans="1:12" ht="15.75">
      <c r="B1" s="40" t="s">
        <v>126</v>
      </c>
      <c r="G1" s="39"/>
      <c r="H1" s="3"/>
    </row>
    <row r="2" spans="1:12" ht="15.75">
      <c r="B2" s="41" t="s">
        <v>80</v>
      </c>
      <c r="H2" s="5"/>
      <c r="I2" s="5"/>
      <c r="J2" s="45"/>
      <c r="K2" s="45"/>
    </row>
    <row r="3" spans="1:12" ht="15.75">
      <c r="A3" s="219" t="s">
        <v>127</v>
      </c>
      <c r="B3" s="219"/>
      <c r="C3" s="219"/>
      <c r="D3" s="219"/>
      <c r="E3" s="219"/>
      <c r="F3" s="219"/>
      <c r="G3" s="219"/>
      <c r="H3" s="3"/>
      <c r="I3" s="3"/>
      <c r="J3" s="3"/>
      <c r="K3" s="3"/>
      <c r="L3" s="38"/>
    </row>
    <row r="4" spans="1:12" ht="15.75">
      <c r="A4" s="220" t="s">
        <v>128</v>
      </c>
      <c r="B4" s="220"/>
      <c r="C4" s="220"/>
      <c r="D4" s="220"/>
      <c r="E4" s="220"/>
      <c r="F4" s="220"/>
      <c r="G4" s="220"/>
      <c r="H4" s="5"/>
      <c r="I4" s="5"/>
      <c r="J4" s="5"/>
      <c r="L4" s="204"/>
    </row>
    <row r="5" spans="1:12" ht="13.5" customHeight="1">
      <c r="A5" s="219" t="s">
        <v>129</v>
      </c>
      <c r="B5" s="221"/>
      <c r="C5" s="221"/>
      <c r="D5" s="221"/>
      <c r="E5" s="221"/>
      <c r="F5" s="221"/>
      <c r="G5" s="221"/>
      <c r="H5" s="6"/>
      <c r="I5" s="6"/>
      <c r="J5" s="6"/>
      <c r="L5" s="204"/>
    </row>
    <row r="6" spans="1:12" ht="31.5" customHeight="1">
      <c r="A6" s="2"/>
      <c r="B6" s="84"/>
      <c r="C6" s="84"/>
      <c r="D6" s="84"/>
      <c r="E6" s="84"/>
      <c r="F6" s="84"/>
      <c r="G6" s="43">
        <v>42704</v>
      </c>
      <c r="H6" s="3"/>
      <c r="I6" s="3"/>
      <c r="J6" s="3"/>
      <c r="K6" s="3"/>
      <c r="L6" s="38"/>
    </row>
    <row r="7" spans="1:12" ht="15.75">
      <c r="B7" s="80"/>
      <c r="C7" s="80"/>
      <c r="D7" s="80"/>
      <c r="E7" s="3"/>
      <c r="F7" s="3"/>
      <c r="I7" s="5"/>
      <c r="J7" s="5"/>
      <c r="K7" s="45"/>
    </row>
    <row r="8" spans="1:12" ht="86.25" customHeight="1">
      <c r="A8" s="222" t="s">
        <v>135</v>
      </c>
      <c r="B8" s="222"/>
      <c r="C8" s="222"/>
      <c r="D8" s="222"/>
      <c r="E8" s="222"/>
      <c r="F8" s="222"/>
      <c r="G8" s="222"/>
      <c r="H8" s="2"/>
      <c r="I8" s="2"/>
      <c r="J8" s="2"/>
      <c r="K8" s="2"/>
    </row>
    <row r="9" spans="1:12" ht="17.25" customHeight="1">
      <c r="A9" s="4"/>
    </row>
    <row r="10" spans="1:12" ht="51.75" customHeight="1">
      <c r="A10" s="223" t="s">
        <v>136</v>
      </c>
      <c r="B10" s="223"/>
      <c r="C10" s="223"/>
      <c r="D10" s="223"/>
      <c r="E10" s="223"/>
      <c r="F10" s="223"/>
      <c r="G10" s="223"/>
      <c r="H10" s="2"/>
      <c r="I10" s="2"/>
      <c r="J10" s="2"/>
      <c r="K10" s="2"/>
    </row>
    <row r="11" spans="1:12" ht="16.5" customHeight="1">
      <c r="A11" s="3"/>
      <c r="B11" s="3"/>
      <c r="C11" s="37"/>
      <c r="D11" s="37"/>
      <c r="E11" s="37"/>
      <c r="F11" s="37"/>
      <c r="G11" s="37"/>
      <c r="H11" s="2"/>
      <c r="I11" s="2"/>
      <c r="J11" s="2"/>
      <c r="K11" s="2"/>
    </row>
    <row r="12" spans="1:12" ht="17.25" customHeight="1">
      <c r="A12" s="4"/>
      <c r="H12" s="2"/>
      <c r="I12" s="2"/>
      <c r="J12" s="2"/>
      <c r="K12" s="2"/>
    </row>
    <row r="13" spans="1:12" ht="60" customHeight="1">
      <c r="A13" s="8" t="s">
        <v>0</v>
      </c>
      <c r="B13" s="8" t="s">
        <v>1</v>
      </c>
      <c r="C13" s="8" t="s">
        <v>2</v>
      </c>
      <c r="D13" s="8" t="s">
        <v>18</v>
      </c>
      <c r="E13" s="8" t="s">
        <v>19</v>
      </c>
      <c r="F13" s="8" t="s">
        <v>23</v>
      </c>
      <c r="G13" s="8" t="s">
        <v>3</v>
      </c>
      <c r="H13" s="7"/>
      <c r="I13" s="7"/>
      <c r="J13" s="7"/>
      <c r="K13" s="7"/>
    </row>
    <row r="14" spans="1:12" ht="17.2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</row>
    <row r="15" spans="1:12" ht="18" customHeight="1">
      <c r="A15" s="224" t="s">
        <v>73</v>
      </c>
      <c r="B15" s="224"/>
      <c r="C15" s="224"/>
      <c r="D15" s="224"/>
      <c r="E15" s="224"/>
      <c r="F15" s="224"/>
      <c r="G15" s="224"/>
    </row>
    <row r="16" spans="1:12" ht="16.5" customHeight="1">
      <c r="A16" s="224" t="s">
        <v>4</v>
      </c>
      <c r="B16" s="224"/>
      <c r="C16" s="224"/>
      <c r="D16" s="224"/>
      <c r="E16" s="224"/>
      <c r="F16" s="224"/>
      <c r="G16" s="224"/>
      <c r="H16" s="10"/>
      <c r="I16" s="10"/>
      <c r="J16" s="10"/>
      <c r="K16" s="10"/>
    </row>
    <row r="17" spans="1:11" ht="30" customHeight="1">
      <c r="A17" s="42">
        <v>1</v>
      </c>
      <c r="B17" s="51" t="s">
        <v>137</v>
      </c>
      <c r="C17" s="63" t="s">
        <v>138</v>
      </c>
      <c r="D17" s="51" t="s">
        <v>139</v>
      </c>
      <c r="E17" s="42"/>
      <c r="F17" s="50">
        <v>218.21</v>
      </c>
      <c r="G17" s="42">
        <v>1080.79</v>
      </c>
      <c r="H17" s="10"/>
      <c r="I17" s="10"/>
      <c r="J17" s="10"/>
      <c r="K17" s="10"/>
    </row>
    <row r="18" spans="1:11" ht="33" customHeight="1">
      <c r="A18" s="42">
        <v>2</v>
      </c>
      <c r="B18" s="51" t="s">
        <v>140</v>
      </c>
      <c r="C18" s="63" t="s">
        <v>138</v>
      </c>
      <c r="D18" s="51" t="s">
        <v>141</v>
      </c>
      <c r="E18" s="42"/>
      <c r="F18" s="50">
        <v>218.21</v>
      </c>
      <c r="G18" s="42">
        <v>2163.48</v>
      </c>
      <c r="H18" s="10"/>
      <c r="I18" s="10"/>
      <c r="J18" s="10"/>
      <c r="K18" s="10"/>
    </row>
    <row r="19" spans="1:11" ht="33" customHeight="1">
      <c r="A19" s="42">
        <v>3</v>
      </c>
      <c r="B19" s="51" t="s">
        <v>142</v>
      </c>
      <c r="C19" s="63" t="s">
        <v>138</v>
      </c>
      <c r="D19" s="51" t="s">
        <v>143</v>
      </c>
      <c r="E19" s="42"/>
      <c r="F19" s="50">
        <v>627.77</v>
      </c>
      <c r="G19" s="42">
        <v>1914.7</v>
      </c>
      <c r="H19" s="10"/>
      <c r="I19" s="10"/>
      <c r="J19" s="10"/>
      <c r="K19" s="10"/>
    </row>
    <row r="20" spans="1:11" ht="15" customHeight="1">
      <c r="A20" s="64">
        <v>4</v>
      </c>
      <c r="B20" s="58" t="s">
        <v>84</v>
      </c>
      <c r="C20" s="59" t="s">
        <v>35</v>
      </c>
      <c r="D20" s="58" t="s">
        <v>26</v>
      </c>
      <c r="E20" s="25">
        <v>506.1</v>
      </c>
      <c r="F20" s="50">
        <v>182.96</v>
      </c>
      <c r="G20" s="26">
        <v>556.5</v>
      </c>
      <c r="H20" s="10"/>
      <c r="I20" s="10"/>
      <c r="J20" s="10"/>
      <c r="K20" s="10"/>
    </row>
    <row r="21" spans="1:11" ht="15" customHeight="1">
      <c r="A21" s="64">
        <v>5</v>
      </c>
      <c r="B21" s="16" t="s">
        <v>24</v>
      </c>
      <c r="C21" s="17" t="s">
        <v>25</v>
      </c>
      <c r="D21" s="42"/>
      <c r="E21" s="25">
        <v>506.1</v>
      </c>
      <c r="F21" s="50">
        <v>3.43</v>
      </c>
      <c r="G21" s="26">
        <v>7074.38</v>
      </c>
      <c r="H21" s="10"/>
      <c r="I21" s="10"/>
      <c r="J21" s="10"/>
      <c r="K21" s="10"/>
    </row>
    <row r="22" spans="1:11" ht="15" customHeight="1">
      <c r="A22" s="224" t="s">
        <v>122</v>
      </c>
      <c r="B22" s="224"/>
      <c r="C22" s="224"/>
      <c r="D22" s="224"/>
      <c r="E22" s="224"/>
      <c r="F22" s="224"/>
      <c r="G22" s="224"/>
      <c r="H22" s="10"/>
      <c r="I22" s="10"/>
      <c r="J22" s="10"/>
      <c r="K22" s="10"/>
    </row>
    <row r="23" spans="1:11" ht="15.75" customHeight="1">
      <c r="A23" s="64"/>
      <c r="B23" s="74" t="s">
        <v>31</v>
      </c>
      <c r="C23" s="74"/>
      <c r="D23" s="74"/>
      <c r="E23" s="74"/>
      <c r="F23" s="74"/>
      <c r="G23" s="26"/>
      <c r="H23" s="10"/>
      <c r="I23" s="10"/>
      <c r="J23" s="10"/>
      <c r="K23" s="44"/>
    </row>
    <row r="24" spans="1:11" ht="16.5" customHeight="1">
      <c r="A24" s="64">
        <v>2</v>
      </c>
      <c r="B24" s="21" t="s">
        <v>81</v>
      </c>
      <c r="C24" s="23" t="s">
        <v>32</v>
      </c>
      <c r="D24" s="42" t="s">
        <v>123</v>
      </c>
      <c r="E24" s="20">
        <v>2.31</v>
      </c>
      <c r="F24" s="55">
        <v>155.88999999999999</v>
      </c>
      <c r="G24" s="19">
        <v>187.63</v>
      </c>
      <c r="H24" s="10"/>
      <c r="I24" s="10"/>
      <c r="J24" s="10"/>
      <c r="K24" s="10"/>
    </row>
    <row r="25" spans="1:11" ht="28.5" customHeight="1">
      <c r="A25" s="64">
        <v>3</v>
      </c>
      <c r="B25" s="21" t="s">
        <v>125</v>
      </c>
      <c r="C25" s="23" t="s">
        <v>32</v>
      </c>
      <c r="D25" s="42" t="s">
        <v>124</v>
      </c>
      <c r="E25" s="19">
        <f>0.0024*3*4.5</f>
        <v>3.2399999999999998E-2</v>
      </c>
      <c r="F25" s="55">
        <v>258.63</v>
      </c>
      <c r="G25" s="26">
        <v>836.01</v>
      </c>
      <c r="H25" s="10"/>
      <c r="I25" s="10"/>
      <c r="J25" s="10"/>
      <c r="K25" s="10"/>
    </row>
    <row r="26" spans="1:11" ht="16.5" customHeight="1">
      <c r="A26" s="64">
        <v>4</v>
      </c>
      <c r="B26" s="58" t="s">
        <v>85</v>
      </c>
      <c r="C26" s="59" t="s">
        <v>35</v>
      </c>
      <c r="D26" s="64" t="s">
        <v>28</v>
      </c>
      <c r="E26" s="24">
        <v>0</v>
      </c>
      <c r="F26" s="55">
        <v>191.32</v>
      </c>
      <c r="G26" s="26">
        <v>0</v>
      </c>
      <c r="H26" s="10"/>
      <c r="I26" s="10"/>
      <c r="J26" s="10"/>
      <c r="K26" s="10"/>
    </row>
    <row r="27" spans="1:11" ht="16.5" customHeight="1">
      <c r="A27" s="64">
        <v>5</v>
      </c>
      <c r="B27" s="21" t="s">
        <v>30</v>
      </c>
      <c r="C27" s="23" t="s">
        <v>32</v>
      </c>
      <c r="D27" s="42" t="s">
        <v>82</v>
      </c>
      <c r="E27" s="24">
        <v>0</v>
      </c>
      <c r="F27" s="19">
        <v>3020.33</v>
      </c>
      <c r="G27" s="26">
        <v>0</v>
      </c>
      <c r="H27" s="10"/>
      <c r="I27" s="48">
        <f>0.8952/2</f>
        <v>0.4476</v>
      </c>
      <c r="J27" s="10"/>
      <c r="K27" s="10"/>
    </row>
    <row r="28" spans="1:11" ht="18.75" customHeight="1">
      <c r="A28" s="64">
        <v>4</v>
      </c>
      <c r="B28" s="21" t="s">
        <v>113</v>
      </c>
      <c r="C28" s="23" t="s">
        <v>33</v>
      </c>
      <c r="D28" s="42" t="s">
        <v>83</v>
      </c>
      <c r="E28" s="19">
        <v>3.75</v>
      </c>
      <c r="F28" s="55">
        <v>56.69</v>
      </c>
      <c r="G28" s="19">
        <v>488.16</v>
      </c>
      <c r="H28" s="10"/>
      <c r="I28" s="10"/>
      <c r="J28" s="10"/>
      <c r="K28" s="10"/>
    </row>
    <row r="29" spans="1:11" ht="15" customHeight="1">
      <c r="A29" s="42">
        <v>7</v>
      </c>
      <c r="B29" s="58" t="s">
        <v>84</v>
      </c>
      <c r="C29" s="59" t="s">
        <v>35</v>
      </c>
      <c r="D29" s="64" t="s">
        <v>121</v>
      </c>
      <c r="E29" s="19">
        <v>0</v>
      </c>
      <c r="F29" s="55">
        <v>147.03</v>
      </c>
      <c r="G29" s="19">
        <v>447.22</v>
      </c>
      <c r="H29" s="10"/>
      <c r="I29" s="10"/>
      <c r="J29" s="10"/>
      <c r="K29" s="10"/>
    </row>
    <row r="30" spans="1:11" ht="15" customHeight="1">
      <c r="A30" s="42">
        <v>8</v>
      </c>
      <c r="B30" s="58" t="s">
        <v>86</v>
      </c>
      <c r="C30" s="59" t="s">
        <v>34</v>
      </c>
      <c r="D30" s="64" t="s">
        <v>28</v>
      </c>
      <c r="E30" s="19"/>
      <c r="F30" s="55">
        <v>1136.33</v>
      </c>
      <c r="G30" s="19">
        <v>0</v>
      </c>
      <c r="H30" s="10"/>
      <c r="I30" s="10"/>
      <c r="J30" s="10"/>
      <c r="K30" s="10"/>
    </row>
    <row r="31" spans="1:11" ht="15" customHeight="1">
      <c r="A31" s="64"/>
      <c r="B31" s="72" t="s">
        <v>5</v>
      </c>
      <c r="C31" s="72"/>
      <c r="D31" s="72"/>
      <c r="E31" s="19"/>
      <c r="F31" s="20"/>
      <c r="G31" s="26"/>
      <c r="H31" s="10"/>
      <c r="I31" s="10"/>
      <c r="J31" s="10"/>
      <c r="K31" s="10"/>
    </row>
    <row r="32" spans="1:11" ht="16.5" customHeight="1">
      <c r="A32" s="52">
        <v>3</v>
      </c>
      <c r="B32" s="21" t="s">
        <v>29</v>
      </c>
      <c r="C32" s="23" t="s">
        <v>34</v>
      </c>
      <c r="D32" s="42" t="s">
        <v>28</v>
      </c>
      <c r="E32" s="19">
        <v>0</v>
      </c>
      <c r="F32" s="55">
        <v>1527.22</v>
      </c>
      <c r="G32" s="19">
        <v>381.81</v>
      </c>
      <c r="H32" s="10"/>
      <c r="I32" s="10"/>
      <c r="J32" s="10"/>
      <c r="K32" s="10"/>
    </row>
    <row r="33" spans="1:12" ht="16.5" customHeight="1">
      <c r="A33" s="52">
        <v>4</v>
      </c>
      <c r="B33" s="21" t="s">
        <v>88</v>
      </c>
      <c r="C33" s="23" t="s">
        <v>32</v>
      </c>
      <c r="D33" s="93" t="s">
        <v>89</v>
      </c>
      <c r="E33" s="19">
        <v>0</v>
      </c>
      <c r="F33" s="56">
        <v>2102.71</v>
      </c>
      <c r="G33" s="19">
        <v>1140.72</v>
      </c>
      <c r="H33" s="10"/>
      <c r="I33" s="10"/>
      <c r="J33" s="10"/>
      <c r="K33" s="10"/>
    </row>
    <row r="34" spans="1:12" ht="31.5" customHeight="1">
      <c r="A34" s="52">
        <v>5</v>
      </c>
      <c r="B34" s="58" t="s">
        <v>90</v>
      </c>
      <c r="C34" s="23" t="s">
        <v>32</v>
      </c>
      <c r="D34" s="64" t="s">
        <v>91</v>
      </c>
      <c r="E34" s="19">
        <v>0</v>
      </c>
      <c r="F34" s="55">
        <v>350.75</v>
      </c>
      <c r="G34" s="19">
        <v>28.06</v>
      </c>
      <c r="H34" s="10"/>
      <c r="I34" s="10"/>
      <c r="J34" s="10"/>
      <c r="K34" s="10"/>
    </row>
    <row r="35" spans="1:12" ht="60">
      <c r="A35" s="52">
        <v>6</v>
      </c>
      <c r="B35" s="58" t="s">
        <v>118</v>
      </c>
      <c r="C35" s="23" t="s">
        <v>32</v>
      </c>
      <c r="D35" s="64" t="s">
        <v>91</v>
      </c>
      <c r="E35" s="19">
        <v>0</v>
      </c>
      <c r="F35" s="55">
        <v>5803.28</v>
      </c>
      <c r="G35" s="19">
        <v>203.11</v>
      </c>
      <c r="H35" s="10"/>
      <c r="I35" s="10"/>
      <c r="J35" s="10"/>
      <c r="K35" s="10"/>
    </row>
    <row r="36" spans="1:12">
      <c r="A36" s="52">
        <v>7</v>
      </c>
      <c r="B36" s="87" t="s">
        <v>92</v>
      </c>
      <c r="C36" s="17" t="s">
        <v>32</v>
      </c>
      <c r="D36" s="64" t="s">
        <v>93</v>
      </c>
      <c r="E36" s="19">
        <v>0</v>
      </c>
      <c r="F36" s="55">
        <v>428.7</v>
      </c>
      <c r="G36" s="19">
        <v>57.87</v>
      </c>
      <c r="H36" s="10"/>
      <c r="I36" s="10"/>
      <c r="J36" s="10"/>
      <c r="K36" s="10"/>
    </row>
    <row r="37" spans="1:12" ht="13.5" customHeight="1">
      <c r="A37" s="52">
        <v>8</v>
      </c>
      <c r="B37" s="94" t="s">
        <v>94</v>
      </c>
      <c r="C37" s="17" t="s">
        <v>35</v>
      </c>
      <c r="D37" s="87"/>
      <c r="E37" s="19">
        <v>0</v>
      </c>
      <c r="F37" s="56">
        <v>798</v>
      </c>
      <c r="G37" s="19">
        <v>26.6</v>
      </c>
      <c r="H37" s="10"/>
      <c r="I37" s="10"/>
      <c r="J37" s="10"/>
      <c r="K37" s="10"/>
    </row>
    <row r="38" spans="1:12" ht="15" customHeight="1">
      <c r="A38" s="225" t="s">
        <v>79</v>
      </c>
      <c r="B38" s="226"/>
      <c r="C38" s="226"/>
      <c r="D38" s="226"/>
      <c r="E38" s="226"/>
      <c r="F38" s="226"/>
      <c r="G38" s="227"/>
      <c r="H38" s="10"/>
      <c r="I38" s="10"/>
    </row>
    <row r="39" spans="1:12" ht="27" customHeight="1">
      <c r="A39" s="64">
        <v>15</v>
      </c>
      <c r="B39" s="21" t="s">
        <v>36</v>
      </c>
      <c r="C39" s="23" t="s">
        <v>32</v>
      </c>
      <c r="D39" s="42" t="s">
        <v>76</v>
      </c>
      <c r="E39" s="26">
        <v>0.42</v>
      </c>
      <c r="F39" s="55">
        <v>809.74</v>
      </c>
      <c r="G39" s="27">
        <v>0</v>
      </c>
    </row>
    <row r="40" spans="1:12" ht="31.5" customHeight="1">
      <c r="A40" s="64">
        <v>16</v>
      </c>
      <c r="B40" s="21" t="s">
        <v>37</v>
      </c>
      <c r="C40" s="23" t="s">
        <v>38</v>
      </c>
      <c r="D40" s="42" t="s">
        <v>76</v>
      </c>
      <c r="E40" s="26">
        <v>1.35</v>
      </c>
      <c r="F40" s="55">
        <v>72.81</v>
      </c>
      <c r="G40" s="27">
        <v>0</v>
      </c>
    </row>
    <row r="41" spans="1:12" ht="31.5" customHeight="1">
      <c r="A41" s="64">
        <v>17</v>
      </c>
      <c r="B41" s="21" t="s">
        <v>39</v>
      </c>
      <c r="C41" s="23" t="s">
        <v>32</v>
      </c>
      <c r="D41" s="42" t="s">
        <v>76</v>
      </c>
      <c r="E41" s="26">
        <v>0.03</v>
      </c>
      <c r="F41" s="55">
        <v>579.48</v>
      </c>
      <c r="G41" s="27">
        <v>0</v>
      </c>
    </row>
    <row r="42" spans="1:12" ht="29.25" customHeight="1">
      <c r="A42" s="64">
        <v>18</v>
      </c>
      <c r="B42" s="21" t="s">
        <v>40</v>
      </c>
      <c r="C42" s="23" t="s">
        <v>32</v>
      </c>
      <c r="D42" s="42" t="s">
        <v>76</v>
      </c>
      <c r="E42" s="26">
        <v>0.33</v>
      </c>
      <c r="F42" s="55">
        <v>579.48</v>
      </c>
      <c r="G42" s="27">
        <v>0</v>
      </c>
    </row>
    <row r="43" spans="1:12" ht="27.75" customHeight="1">
      <c r="A43" s="64">
        <v>19</v>
      </c>
      <c r="B43" s="21" t="s">
        <v>116</v>
      </c>
      <c r="C43" s="23" t="s">
        <v>32</v>
      </c>
      <c r="D43" s="42" t="s">
        <v>76</v>
      </c>
      <c r="E43" s="26">
        <v>0.22</v>
      </c>
      <c r="F43" s="55">
        <v>1213.55</v>
      </c>
      <c r="G43" s="19">
        <v>0</v>
      </c>
    </row>
    <row r="44" spans="1:12" ht="30.75" customHeight="1">
      <c r="A44" s="64">
        <v>9</v>
      </c>
      <c r="B44" s="21" t="s">
        <v>42</v>
      </c>
      <c r="C44" s="23" t="s">
        <v>32</v>
      </c>
      <c r="D44" s="42" t="s">
        <v>76</v>
      </c>
      <c r="E44" s="26">
        <v>0.22</v>
      </c>
      <c r="F44" s="55">
        <v>1213.55</v>
      </c>
      <c r="G44" s="27">
        <v>309.7</v>
      </c>
    </row>
    <row r="45" spans="1:12" ht="30.75" customHeight="1">
      <c r="A45" s="64">
        <v>10</v>
      </c>
      <c r="B45" s="21" t="s">
        <v>43</v>
      </c>
      <c r="C45" s="23" t="s">
        <v>44</v>
      </c>
      <c r="D45" s="42" t="s">
        <v>76</v>
      </c>
      <c r="E45" s="26">
        <v>0.02</v>
      </c>
      <c r="F45" s="55">
        <v>2730.49</v>
      </c>
      <c r="G45" s="27">
        <v>54.61</v>
      </c>
      <c r="J45" s="28"/>
      <c r="K45" s="29"/>
      <c r="L45" s="30"/>
    </row>
    <row r="46" spans="1:12" ht="28.5" customHeight="1">
      <c r="A46" s="64">
        <v>11</v>
      </c>
      <c r="B46" s="21" t="s">
        <v>45</v>
      </c>
      <c r="C46" s="23" t="s">
        <v>46</v>
      </c>
      <c r="D46" s="42" t="s">
        <v>76</v>
      </c>
      <c r="E46" s="26">
        <v>0.01</v>
      </c>
      <c r="F46" s="55">
        <v>5652.13</v>
      </c>
      <c r="G46" s="27">
        <v>56.52</v>
      </c>
      <c r="J46" s="28"/>
      <c r="K46" s="29"/>
      <c r="L46" s="30"/>
    </row>
    <row r="47" spans="1:12" ht="14.25" customHeight="1">
      <c r="A47" s="64">
        <v>23</v>
      </c>
      <c r="B47" s="21" t="s">
        <v>47</v>
      </c>
      <c r="C47" s="23" t="s">
        <v>33</v>
      </c>
      <c r="D47" s="64" t="s">
        <v>95</v>
      </c>
      <c r="E47" s="26">
        <v>8</v>
      </c>
      <c r="F47" s="56">
        <v>141.12</v>
      </c>
      <c r="G47" s="19">
        <v>0</v>
      </c>
      <c r="J47" s="28"/>
      <c r="K47" s="29"/>
      <c r="L47" s="30"/>
    </row>
    <row r="48" spans="1:12" ht="16.5" customHeight="1">
      <c r="A48" s="64">
        <v>24</v>
      </c>
      <c r="B48" s="21" t="s">
        <v>48</v>
      </c>
      <c r="C48" s="23" t="s">
        <v>33</v>
      </c>
      <c r="D48" s="64" t="s">
        <v>95</v>
      </c>
      <c r="E48" s="26">
        <v>16</v>
      </c>
      <c r="F48" s="56">
        <v>65.67</v>
      </c>
      <c r="G48" s="19">
        <v>0</v>
      </c>
      <c r="J48" s="28"/>
      <c r="K48" s="29"/>
      <c r="L48" s="30"/>
    </row>
    <row r="49" spans="1:12" ht="15" customHeight="1">
      <c r="A49" s="225" t="s">
        <v>77</v>
      </c>
      <c r="B49" s="226"/>
      <c r="C49" s="226"/>
      <c r="D49" s="226"/>
      <c r="E49" s="226"/>
      <c r="F49" s="226"/>
      <c r="G49" s="227"/>
      <c r="J49" s="28"/>
      <c r="K49" s="29"/>
      <c r="L49" s="30"/>
    </row>
    <row r="50" spans="1:12" ht="13.5" customHeight="1">
      <c r="A50" s="76"/>
      <c r="B50" s="71" t="s">
        <v>50</v>
      </c>
      <c r="C50" s="23"/>
      <c r="D50" s="31"/>
      <c r="E50" s="31"/>
      <c r="F50" s="46"/>
      <c r="G50" s="26"/>
      <c r="J50" s="28"/>
      <c r="K50" s="29"/>
      <c r="L50" s="30"/>
    </row>
    <row r="51" spans="1:12" ht="44.25" customHeight="1">
      <c r="A51" s="64">
        <v>12</v>
      </c>
      <c r="B51" s="21" t="s">
        <v>114</v>
      </c>
      <c r="C51" s="23" t="s">
        <v>62</v>
      </c>
      <c r="D51" s="22" t="s">
        <v>96</v>
      </c>
      <c r="E51" s="26">
        <v>0</v>
      </c>
      <c r="F51" s="55">
        <v>1547.28</v>
      </c>
      <c r="G51" s="27">
        <v>508.59</v>
      </c>
      <c r="J51" s="28"/>
      <c r="K51" s="29"/>
      <c r="L51" s="30"/>
    </row>
    <row r="52" spans="1:12" ht="15.75" customHeight="1">
      <c r="A52" s="64">
        <v>26</v>
      </c>
      <c r="B52" s="58" t="s">
        <v>108</v>
      </c>
      <c r="C52" s="23" t="s">
        <v>62</v>
      </c>
      <c r="D52" s="22" t="s">
        <v>109</v>
      </c>
      <c r="E52" s="26"/>
      <c r="F52" s="55">
        <v>1547.28</v>
      </c>
      <c r="G52" s="27">
        <v>0</v>
      </c>
      <c r="J52" s="28"/>
      <c r="K52" s="29"/>
      <c r="L52" s="30"/>
    </row>
    <row r="53" spans="1:12" ht="15.75" customHeight="1">
      <c r="A53" s="64"/>
      <c r="B53" s="225" t="s">
        <v>51</v>
      </c>
      <c r="C53" s="226"/>
      <c r="D53" s="226"/>
      <c r="E53" s="226"/>
      <c r="F53" s="227"/>
      <c r="G53" s="54"/>
      <c r="J53" s="28"/>
      <c r="K53" s="29"/>
      <c r="L53" s="30"/>
    </row>
    <row r="54" spans="1:12" ht="14.25" customHeight="1">
      <c r="A54" s="64">
        <v>27</v>
      </c>
      <c r="B54" s="21" t="s">
        <v>52</v>
      </c>
      <c r="C54" s="23" t="s">
        <v>62</v>
      </c>
      <c r="D54" s="42" t="s">
        <v>63</v>
      </c>
      <c r="E54" s="26">
        <v>0</v>
      </c>
      <c r="F54" s="55">
        <v>793.61</v>
      </c>
      <c r="G54" s="27">
        <f>E54/2</f>
        <v>0</v>
      </c>
      <c r="J54" s="28"/>
      <c r="K54" s="29"/>
      <c r="L54" s="30"/>
    </row>
    <row r="55" spans="1:12" ht="16.5" customHeight="1">
      <c r="A55" s="64"/>
      <c r="B55" s="86" t="s">
        <v>53</v>
      </c>
      <c r="C55" s="23"/>
      <c r="D55" s="22"/>
      <c r="E55" s="22"/>
      <c r="F55" s="42"/>
      <c r="G55" s="26"/>
      <c r="J55" s="28"/>
      <c r="K55" s="29"/>
      <c r="L55" s="30"/>
    </row>
    <row r="56" spans="1:12" ht="15" customHeight="1">
      <c r="A56" s="64">
        <v>28</v>
      </c>
      <c r="B56" s="21" t="s">
        <v>54</v>
      </c>
      <c r="C56" s="23" t="s">
        <v>33</v>
      </c>
      <c r="D56" s="22" t="s">
        <v>28</v>
      </c>
      <c r="E56" s="26">
        <v>0</v>
      </c>
      <c r="F56" s="55">
        <v>222.4</v>
      </c>
      <c r="G56" s="27">
        <v>0</v>
      </c>
      <c r="J56" s="28"/>
      <c r="K56" s="29"/>
      <c r="L56" s="30"/>
    </row>
    <row r="57" spans="1:12" ht="15.75" customHeight="1">
      <c r="A57" s="42">
        <v>29</v>
      </c>
      <c r="B57" s="21" t="s">
        <v>55</v>
      </c>
      <c r="C57" s="23" t="s">
        <v>33</v>
      </c>
      <c r="D57" s="22" t="s">
        <v>28</v>
      </c>
      <c r="E57" s="26">
        <v>0</v>
      </c>
      <c r="F57" s="55">
        <v>76.25</v>
      </c>
      <c r="G57" s="27">
        <f>E57/2</f>
        <v>0</v>
      </c>
      <c r="J57" s="28"/>
      <c r="K57" s="29"/>
      <c r="L57" s="30"/>
    </row>
    <row r="58" spans="1:12" ht="15.75" customHeight="1">
      <c r="A58" s="42">
        <v>8</v>
      </c>
      <c r="B58" s="21" t="s">
        <v>56</v>
      </c>
      <c r="C58" s="23" t="s">
        <v>38</v>
      </c>
      <c r="D58" s="42" t="s">
        <v>63</v>
      </c>
      <c r="E58" s="26">
        <v>13.47</v>
      </c>
      <c r="F58" s="55">
        <v>212.15</v>
      </c>
      <c r="G58" s="26">
        <v>7955.63</v>
      </c>
      <c r="J58" s="28"/>
      <c r="K58" s="29"/>
      <c r="L58" s="30"/>
    </row>
    <row r="59" spans="1:12" ht="15.75" customHeight="1">
      <c r="A59" s="42">
        <v>9</v>
      </c>
      <c r="B59" s="21" t="s">
        <v>57</v>
      </c>
      <c r="C59" s="23" t="s">
        <v>64</v>
      </c>
      <c r="D59" s="42" t="s">
        <v>63</v>
      </c>
      <c r="E59" s="26">
        <v>1.35</v>
      </c>
      <c r="F59" s="55">
        <v>165.21</v>
      </c>
      <c r="G59" s="26">
        <v>619.54</v>
      </c>
      <c r="J59" s="28"/>
      <c r="K59" s="29"/>
      <c r="L59" s="30"/>
    </row>
    <row r="60" spans="1:12" ht="15.75" customHeight="1">
      <c r="A60" s="42">
        <v>10</v>
      </c>
      <c r="B60" s="87" t="s">
        <v>58</v>
      </c>
      <c r="C60" s="23" t="s">
        <v>65</v>
      </c>
      <c r="D60" s="42" t="s">
        <v>63</v>
      </c>
      <c r="E60" s="26">
        <v>0</v>
      </c>
      <c r="F60" s="55">
        <v>2074.63</v>
      </c>
      <c r="G60" s="26">
        <v>12447.78</v>
      </c>
      <c r="J60" s="28"/>
      <c r="K60" s="29"/>
      <c r="L60" s="30"/>
    </row>
    <row r="61" spans="1:12" ht="15.75" customHeight="1">
      <c r="A61" s="42">
        <v>11</v>
      </c>
      <c r="B61" s="87" t="s">
        <v>71</v>
      </c>
      <c r="C61" s="23" t="s">
        <v>72</v>
      </c>
      <c r="D61" s="42" t="s">
        <v>63</v>
      </c>
      <c r="E61" s="18">
        <v>0</v>
      </c>
      <c r="F61" s="55">
        <v>49.88</v>
      </c>
      <c r="G61" s="26">
        <v>0</v>
      </c>
      <c r="J61" s="28"/>
      <c r="K61" s="29"/>
      <c r="L61" s="30"/>
    </row>
    <row r="62" spans="1:12" ht="30.75" customHeight="1">
      <c r="A62" s="42">
        <v>12</v>
      </c>
      <c r="B62" s="77" t="s">
        <v>97</v>
      </c>
      <c r="C62" s="59" t="s">
        <v>35</v>
      </c>
      <c r="D62" s="42"/>
      <c r="E62" s="18"/>
      <c r="F62" s="55">
        <v>45.32</v>
      </c>
      <c r="G62" s="26">
        <v>543.84</v>
      </c>
      <c r="J62" s="28"/>
      <c r="K62" s="29"/>
      <c r="L62" s="30"/>
    </row>
    <row r="63" spans="1:12" ht="15.75" customHeight="1">
      <c r="A63" s="42">
        <v>13</v>
      </c>
      <c r="B63" s="77" t="s">
        <v>98</v>
      </c>
      <c r="C63" s="59" t="s">
        <v>35</v>
      </c>
      <c r="D63" s="42"/>
      <c r="E63" s="18"/>
      <c r="F63" s="55">
        <v>42.28</v>
      </c>
      <c r="G63" s="26">
        <v>507.36</v>
      </c>
      <c r="J63" s="28"/>
      <c r="K63" s="29"/>
      <c r="L63" s="30"/>
    </row>
    <row r="64" spans="1:12" ht="29.25" customHeight="1">
      <c r="A64" s="76"/>
      <c r="B64" s="225" t="s">
        <v>66</v>
      </c>
      <c r="C64" s="226"/>
      <c r="D64" s="226"/>
      <c r="E64" s="226"/>
      <c r="F64" s="227"/>
      <c r="G64" s="26"/>
      <c r="J64" s="28"/>
      <c r="K64" s="29"/>
      <c r="L64" s="30"/>
    </row>
    <row r="65" spans="1:20" ht="17.25" customHeight="1">
      <c r="A65" s="42">
        <v>36</v>
      </c>
      <c r="B65" s="21" t="s">
        <v>59</v>
      </c>
      <c r="C65" s="23" t="s">
        <v>67</v>
      </c>
      <c r="D65" s="42" t="s">
        <v>63</v>
      </c>
      <c r="E65" s="26">
        <v>0</v>
      </c>
      <c r="F65" s="57">
        <v>3779.8</v>
      </c>
      <c r="G65" s="26">
        <v>0</v>
      </c>
      <c r="J65" s="28"/>
      <c r="K65" s="29"/>
      <c r="L65" s="30"/>
    </row>
    <row r="66" spans="1:20" ht="15.75" customHeight="1">
      <c r="A66" s="42"/>
      <c r="B66" s="72" t="s">
        <v>99</v>
      </c>
      <c r="C66" s="72"/>
      <c r="D66" s="72"/>
      <c r="E66" s="26"/>
      <c r="F66" s="42"/>
      <c r="G66" s="26"/>
      <c r="J66" s="28"/>
      <c r="K66" s="29"/>
      <c r="L66" s="30"/>
    </row>
    <row r="67" spans="1:20" ht="14.25" customHeight="1">
      <c r="A67" s="42">
        <v>37</v>
      </c>
      <c r="B67" s="58" t="s">
        <v>100</v>
      </c>
      <c r="C67" s="59" t="s">
        <v>102</v>
      </c>
      <c r="D67" s="42"/>
      <c r="E67" s="26"/>
      <c r="F67" s="55">
        <v>501.62</v>
      </c>
      <c r="G67" s="26">
        <v>0</v>
      </c>
      <c r="J67" s="28"/>
      <c r="K67" s="29"/>
      <c r="L67" s="30"/>
    </row>
    <row r="68" spans="1:20" ht="15.75" customHeight="1">
      <c r="A68" s="42">
        <v>38</v>
      </c>
      <c r="B68" s="58" t="s">
        <v>101</v>
      </c>
      <c r="C68" s="59" t="s">
        <v>33</v>
      </c>
      <c r="D68" s="42"/>
      <c r="E68" s="26"/>
      <c r="F68" s="55">
        <v>852.99</v>
      </c>
      <c r="G68" s="26">
        <v>0</v>
      </c>
      <c r="J68" s="28"/>
      <c r="K68" s="29"/>
      <c r="L68" s="30"/>
    </row>
    <row r="69" spans="1:20" ht="15.75" customHeight="1">
      <c r="A69" s="42"/>
      <c r="B69" s="73" t="s">
        <v>103</v>
      </c>
      <c r="C69" s="59"/>
      <c r="D69" s="42"/>
      <c r="E69" s="26"/>
      <c r="F69" s="55"/>
      <c r="G69" s="26"/>
      <c r="J69" s="28"/>
      <c r="K69" s="29"/>
      <c r="L69" s="30"/>
    </row>
    <row r="70" spans="1:20" ht="16.5" customHeight="1">
      <c r="A70" s="42">
        <v>39</v>
      </c>
      <c r="B70" s="60" t="s">
        <v>104</v>
      </c>
      <c r="C70" s="61" t="s">
        <v>105</v>
      </c>
      <c r="D70" s="53"/>
      <c r="E70" s="26"/>
      <c r="F70" s="56">
        <v>2759.44</v>
      </c>
      <c r="G70" s="26">
        <v>0</v>
      </c>
      <c r="J70" s="28"/>
      <c r="K70" s="29"/>
      <c r="L70" s="30"/>
    </row>
    <row r="71" spans="1:20" ht="15" customHeight="1">
      <c r="A71" s="42"/>
      <c r="B71" s="86" t="s">
        <v>74</v>
      </c>
      <c r="C71" s="86"/>
      <c r="D71" s="86"/>
      <c r="E71" s="26"/>
      <c r="F71" s="42"/>
      <c r="G71" s="26"/>
      <c r="H71" s="32">
        <f>G21+G24+G25+G26+G27+G28+G29+G30+G32+G33+G34+G35+G36+G37+G39+G40+G41+G42+G43+G44+G45+G46+G47+G48+G51+G53+G55+G56+G57+G58+G59+G60+G61+G62+G64+G66+G67+G69+G71+G72</f>
        <v>34234.239999999998</v>
      </c>
      <c r="J71" s="28"/>
      <c r="K71" s="29"/>
      <c r="L71" s="30"/>
    </row>
    <row r="72" spans="1:20" ht="27.75" customHeight="1">
      <c r="A72" s="42">
        <v>13</v>
      </c>
      <c r="B72" s="47" t="s">
        <v>110</v>
      </c>
      <c r="C72" s="23" t="s">
        <v>68</v>
      </c>
      <c r="D72" s="22" t="s">
        <v>69</v>
      </c>
      <c r="E72" s="22">
        <v>327.9</v>
      </c>
      <c r="F72" s="55">
        <v>2.1</v>
      </c>
      <c r="G72" s="19">
        <v>866.46</v>
      </c>
      <c r="H72" s="32"/>
      <c r="J72" s="28"/>
      <c r="K72" s="29"/>
      <c r="L72" s="30"/>
    </row>
    <row r="73" spans="1:20" ht="15" customHeight="1">
      <c r="A73" s="42">
        <v>14</v>
      </c>
      <c r="B73" s="58" t="s">
        <v>106</v>
      </c>
      <c r="C73" s="23"/>
      <c r="D73" s="22"/>
      <c r="E73" s="22"/>
      <c r="F73" s="55">
        <v>1.63</v>
      </c>
      <c r="G73" s="19">
        <v>672.54</v>
      </c>
      <c r="H73" s="32"/>
      <c r="J73" s="28"/>
      <c r="K73" s="29"/>
      <c r="L73" s="30"/>
    </row>
    <row r="74" spans="1:20" ht="15" customHeight="1">
      <c r="A74" s="76"/>
      <c r="B74" s="62" t="s">
        <v>112</v>
      </c>
      <c r="C74" s="64"/>
      <c r="D74" s="22"/>
      <c r="E74" s="22"/>
      <c r="F74" s="26"/>
      <c r="G74" s="49">
        <f>SUM(G20+G21+G32+G33+G34+G35+G36+G37+G44+G45+G46+G51+G72+G73)</f>
        <v>11937.470000000005</v>
      </c>
      <c r="H74" s="32"/>
      <c r="J74" s="28"/>
      <c r="K74" s="29"/>
      <c r="L74" s="30"/>
    </row>
    <row r="75" spans="1:20">
      <c r="A75" s="76"/>
      <c r="B75" s="95" t="s">
        <v>75</v>
      </c>
      <c r="C75" s="95"/>
      <c r="D75" s="95"/>
      <c r="E75" s="95"/>
      <c r="F75" s="95"/>
      <c r="G75" s="95"/>
      <c r="H75" s="33">
        <f>SUM(H21:H72)</f>
        <v>34234.239999999998</v>
      </c>
      <c r="J75" s="33"/>
    </row>
    <row r="76" spans="1:20">
      <c r="A76" s="42">
        <v>15</v>
      </c>
      <c r="B76" s="88" t="s">
        <v>115</v>
      </c>
      <c r="C76" s="89" t="s">
        <v>130</v>
      </c>
      <c r="D76" s="19">
        <v>1</v>
      </c>
      <c r="E76" s="22"/>
      <c r="F76" s="19">
        <v>180.15</v>
      </c>
      <c r="G76" s="19">
        <v>180.15</v>
      </c>
    </row>
    <row r="77" spans="1:20" ht="30">
      <c r="A77" s="42">
        <v>16</v>
      </c>
      <c r="B77" s="90" t="s">
        <v>131</v>
      </c>
      <c r="C77" s="91" t="s">
        <v>68</v>
      </c>
      <c r="D77" s="19">
        <f>0.2</f>
        <v>0.2</v>
      </c>
      <c r="E77" s="22"/>
      <c r="F77" s="19">
        <v>64.599999999999994</v>
      </c>
      <c r="G77" s="19">
        <v>12.92</v>
      </c>
    </row>
    <row r="78" spans="1:20" ht="15.75" customHeight="1">
      <c r="A78" s="42">
        <v>17</v>
      </c>
      <c r="B78" s="92" t="s">
        <v>132</v>
      </c>
      <c r="C78" s="89" t="s">
        <v>130</v>
      </c>
      <c r="D78" s="19">
        <v>1</v>
      </c>
      <c r="E78" s="22"/>
      <c r="F78" s="19">
        <v>295.58999999999997</v>
      </c>
      <c r="G78" s="19">
        <v>295.58999999999997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1"/>
    </row>
    <row r="79" spans="1:20" ht="15.75" customHeight="1">
      <c r="A79" s="42"/>
      <c r="B79" s="69" t="s">
        <v>60</v>
      </c>
      <c r="C79" s="65"/>
      <c r="D79" s="78"/>
      <c r="E79" s="65">
        <v>1</v>
      </c>
      <c r="F79" s="65"/>
      <c r="G79" s="49">
        <f>SUM(G76+G77+G78)</f>
        <v>488.65999999999997</v>
      </c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42"/>
      <c r="B80" s="75" t="s">
        <v>107</v>
      </c>
      <c r="C80" s="22"/>
      <c r="D80" s="22"/>
      <c r="E80" s="66"/>
      <c r="F80" s="67"/>
      <c r="G80" s="25">
        <v>0</v>
      </c>
      <c r="H80" s="5"/>
      <c r="I80" s="5"/>
      <c r="J80" s="5"/>
      <c r="K80" s="5"/>
      <c r="L80" s="5"/>
      <c r="M80" s="5"/>
      <c r="N80" s="5"/>
      <c r="O80" s="5"/>
      <c r="P80" s="204"/>
      <c r="Q80" s="204"/>
      <c r="R80" s="204"/>
      <c r="S80" s="204"/>
    </row>
    <row r="81" spans="1:19">
      <c r="A81" s="79"/>
      <c r="B81" s="70" t="s">
        <v>61</v>
      </c>
      <c r="C81" s="53"/>
      <c r="D81" s="53"/>
      <c r="E81" s="53"/>
      <c r="F81" s="53"/>
      <c r="G81" s="68">
        <f>G74+G79</f>
        <v>12426.130000000005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5.75" customHeight="1">
      <c r="A82" s="206" t="s">
        <v>133</v>
      </c>
      <c r="B82" s="206"/>
      <c r="C82" s="206"/>
      <c r="D82" s="206"/>
      <c r="E82" s="206"/>
      <c r="F82" s="206"/>
      <c r="G82" s="206"/>
    </row>
    <row r="83" spans="1:19" ht="15.75" customHeight="1">
      <c r="A83" s="85"/>
      <c r="B83" s="207" t="s">
        <v>134</v>
      </c>
      <c r="C83" s="207"/>
      <c r="D83" s="207"/>
      <c r="E83" s="207"/>
      <c r="F83" s="207"/>
      <c r="G83" s="3"/>
    </row>
    <row r="84" spans="1:19" ht="15.75" customHeight="1">
      <c r="A84" s="82"/>
      <c r="B84" s="202" t="s">
        <v>6</v>
      </c>
      <c r="C84" s="202"/>
      <c r="D84" s="202"/>
      <c r="E84" s="202"/>
      <c r="F84" s="202"/>
      <c r="G84" s="5"/>
    </row>
    <row r="85" spans="1:19">
      <c r="A85" s="12"/>
      <c r="B85" s="12"/>
      <c r="C85" s="12"/>
      <c r="D85" s="12"/>
      <c r="E85" s="12"/>
      <c r="F85" s="12"/>
      <c r="G85" s="12"/>
    </row>
    <row r="86" spans="1:19" ht="15.75">
      <c r="A86" s="208" t="s">
        <v>7</v>
      </c>
      <c r="B86" s="208"/>
      <c r="C86" s="208"/>
      <c r="D86" s="208"/>
      <c r="E86" s="208"/>
      <c r="F86" s="208"/>
      <c r="G86" s="208"/>
    </row>
    <row r="87" spans="1:19" ht="15.75">
      <c r="A87" s="208" t="s">
        <v>8</v>
      </c>
      <c r="B87" s="208"/>
      <c r="C87" s="208"/>
      <c r="D87" s="208"/>
      <c r="E87" s="208"/>
      <c r="F87" s="208"/>
      <c r="G87" s="208"/>
    </row>
    <row r="88" spans="1:19" ht="15.75" customHeight="1">
      <c r="A88" s="209" t="s">
        <v>78</v>
      </c>
      <c r="B88" s="209"/>
      <c r="C88" s="209"/>
      <c r="D88" s="209"/>
      <c r="E88" s="209"/>
      <c r="F88" s="209"/>
      <c r="G88" s="209"/>
    </row>
    <row r="89" spans="1:19" ht="15.75">
      <c r="A89" s="13"/>
    </row>
    <row r="90" spans="1:19" ht="15.75" customHeight="1">
      <c r="A90" s="200" t="s">
        <v>9</v>
      </c>
      <c r="B90" s="200"/>
      <c r="C90" s="200"/>
      <c r="D90" s="200"/>
      <c r="E90" s="200"/>
      <c r="F90" s="200"/>
      <c r="G90" s="200"/>
    </row>
    <row r="91" spans="1:19" ht="15.75" customHeight="1">
      <c r="A91" s="4"/>
    </row>
    <row r="92" spans="1:19" ht="15.75" customHeight="1">
      <c r="B92" s="80" t="s">
        <v>10</v>
      </c>
      <c r="C92" s="229" t="s">
        <v>117</v>
      </c>
      <c r="D92" s="229"/>
      <c r="E92" s="229"/>
      <c r="G92" s="83"/>
    </row>
    <row r="93" spans="1:19">
      <c r="A93" s="82"/>
      <c r="C93" s="202" t="s">
        <v>11</v>
      </c>
      <c r="D93" s="202"/>
      <c r="E93" s="202"/>
      <c r="G93" s="81" t="s">
        <v>12</v>
      </c>
    </row>
    <row r="94" spans="1:19" ht="15.75">
      <c r="A94" s="38"/>
      <c r="C94" s="14"/>
      <c r="D94" s="14"/>
      <c r="F94" s="14"/>
    </row>
    <row r="95" spans="1:19" ht="15.75">
      <c r="B95" s="80" t="s">
        <v>13</v>
      </c>
      <c r="C95" s="203"/>
      <c r="D95" s="203"/>
      <c r="E95" s="203"/>
      <c r="G95" s="83"/>
    </row>
    <row r="96" spans="1:19">
      <c r="A96" s="82"/>
      <c r="C96" s="204" t="s">
        <v>11</v>
      </c>
      <c r="D96" s="204"/>
      <c r="E96" s="204"/>
      <c r="G96" s="81" t="s">
        <v>12</v>
      </c>
    </row>
    <row r="98" spans="1:7" ht="15.75">
      <c r="A98" s="4" t="s">
        <v>14</v>
      </c>
    </row>
    <row r="111" spans="1:7" ht="15.75">
      <c r="A111" s="4" t="s">
        <v>14</v>
      </c>
    </row>
    <row r="112" spans="1:7">
      <c r="A112" s="205" t="s">
        <v>15</v>
      </c>
      <c r="B112" s="205"/>
      <c r="C112" s="205"/>
      <c r="D112" s="205"/>
      <c r="E112" s="205"/>
      <c r="F112" s="205"/>
      <c r="G112" s="205"/>
    </row>
    <row r="113" spans="1:7" ht="16.5">
      <c r="A113" s="228" t="s">
        <v>16</v>
      </c>
      <c r="B113" s="228"/>
      <c r="C113" s="228"/>
      <c r="D113" s="228"/>
      <c r="E113" s="228"/>
      <c r="F113" s="228"/>
      <c r="G113" s="228"/>
    </row>
    <row r="114" spans="1:7" ht="16.5">
      <c r="A114" s="228" t="s">
        <v>17</v>
      </c>
      <c r="B114" s="228"/>
      <c r="C114" s="228"/>
      <c r="D114" s="228"/>
      <c r="E114" s="228"/>
      <c r="F114" s="228"/>
      <c r="G114" s="228"/>
    </row>
    <row r="115" spans="1:7" ht="16.5">
      <c r="A115" s="228" t="s">
        <v>22</v>
      </c>
      <c r="B115" s="228"/>
      <c r="C115" s="228"/>
      <c r="D115" s="228"/>
      <c r="E115" s="228"/>
      <c r="F115" s="228"/>
      <c r="G115" s="228"/>
    </row>
    <row r="116" spans="1:7" ht="16.5">
      <c r="A116" s="228" t="s">
        <v>21</v>
      </c>
      <c r="B116" s="228"/>
      <c r="C116" s="228"/>
      <c r="D116" s="228"/>
      <c r="E116" s="228"/>
      <c r="F116" s="228"/>
      <c r="G116" s="228"/>
    </row>
    <row r="183" spans="1:7" ht="15.75" customHeight="1">
      <c r="A183" s="4" t="s">
        <v>14</v>
      </c>
    </row>
    <row r="184" spans="1:7">
      <c r="A184" s="205" t="s">
        <v>15</v>
      </c>
      <c r="B184" s="205"/>
      <c r="C184" s="205"/>
      <c r="D184" s="205"/>
      <c r="E184" s="205"/>
      <c r="F184" s="205"/>
      <c r="G184" s="205"/>
    </row>
    <row r="185" spans="1:7" ht="16.5">
      <c r="A185" s="228" t="s">
        <v>16</v>
      </c>
      <c r="B185" s="228"/>
      <c r="C185" s="228"/>
      <c r="D185" s="228"/>
      <c r="E185" s="228"/>
      <c r="F185" s="228"/>
      <c r="G185" s="228"/>
    </row>
    <row r="186" spans="1:7" ht="16.5">
      <c r="A186" s="228" t="s">
        <v>17</v>
      </c>
      <c r="B186" s="228"/>
      <c r="C186" s="228"/>
      <c r="D186" s="228"/>
      <c r="E186" s="228"/>
      <c r="F186" s="228"/>
      <c r="G186" s="228"/>
    </row>
    <row r="187" spans="1:7" ht="35.25" customHeight="1">
      <c r="A187" s="228" t="s">
        <v>22</v>
      </c>
      <c r="B187" s="228"/>
      <c r="C187" s="228"/>
      <c r="D187" s="228"/>
      <c r="E187" s="228"/>
      <c r="F187" s="228"/>
      <c r="G187" s="228"/>
    </row>
    <row r="188" spans="1:7" ht="37.5" customHeight="1">
      <c r="A188" s="228" t="s">
        <v>21</v>
      </c>
      <c r="B188" s="228"/>
      <c r="C188" s="228"/>
      <c r="D188" s="228"/>
      <c r="E188" s="228"/>
      <c r="F188" s="228"/>
      <c r="G188" s="228"/>
    </row>
    <row r="190" spans="1:7" ht="27.75" customHeight="1">
      <c r="A190" s="15" t="s">
        <v>20</v>
      </c>
      <c r="B190" s="15"/>
      <c r="C190" s="15"/>
      <c r="D190" s="15"/>
      <c r="E190" s="15"/>
      <c r="F190" s="15"/>
    </row>
  </sheetData>
  <autoFilter ref="G15:G76"/>
  <mergeCells count="35">
    <mergeCell ref="L4:L5"/>
    <mergeCell ref="A5:G5"/>
    <mergeCell ref="A10:G10"/>
    <mergeCell ref="A188:G188"/>
    <mergeCell ref="C92:E92"/>
    <mergeCell ref="A184:G184"/>
    <mergeCell ref="A185:G185"/>
    <mergeCell ref="A186:G186"/>
    <mergeCell ref="A187:G187"/>
    <mergeCell ref="A112:G112"/>
    <mergeCell ref="A113:G113"/>
    <mergeCell ref="A114:G114"/>
    <mergeCell ref="A115:G115"/>
    <mergeCell ref="A116:G116"/>
    <mergeCell ref="C93:E93"/>
    <mergeCell ref="C96:E96"/>
    <mergeCell ref="P80:S80"/>
    <mergeCell ref="A82:G82"/>
    <mergeCell ref="B83:F83"/>
    <mergeCell ref="B84:F84"/>
    <mergeCell ref="A87:G87"/>
    <mergeCell ref="A90:G90"/>
    <mergeCell ref="C95:E95"/>
    <mergeCell ref="A88:G88"/>
    <mergeCell ref="A86:G86"/>
    <mergeCell ref="A22:G22"/>
    <mergeCell ref="A38:G38"/>
    <mergeCell ref="A49:G49"/>
    <mergeCell ref="B53:F53"/>
    <mergeCell ref="B64:F64"/>
    <mergeCell ref="A3:G3"/>
    <mergeCell ref="A4:G4"/>
    <mergeCell ref="A8:G8"/>
    <mergeCell ref="A15:G15"/>
    <mergeCell ref="A16:G16"/>
  </mergeCells>
  <pageMargins left="0.70866141732283472" right="0.23622047244094491" top="0.31496062992125984" bottom="0.27559055118110237" header="0.31496062992125984" footer="0.31496062992125984"/>
  <pageSetup paperSize="9" scale="38" fitToHeight="0" orientation="portrait" r:id="rId1"/>
  <rowBreaks count="3" manualBreakCount="3">
    <brk id="30" max="6" man="1"/>
    <brk id="53" max="6" man="1"/>
    <brk id="8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D38" sqref="D38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192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226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43524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187</v>
      </c>
      <c r="C30" s="104" t="s">
        <v>155</v>
      </c>
      <c r="D30" s="103" t="s">
        <v>204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188</v>
      </c>
      <c r="C31" s="104" t="s">
        <v>155</v>
      </c>
      <c r="D31" s="103" t="s">
        <v>205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189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176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customHeight="1">
      <c r="A37" s="52">
        <v>5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G37*1.6</f>
        <v>3040.5920000000001</v>
      </c>
      <c r="J37" s="35"/>
      <c r="K37" s="10"/>
      <c r="L37" s="10"/>
      <c r="M37" s="10"/>
    </row>
    <row r="38" spans="1:14" ht="15.75" customHeight="1">
      <c r="A38" s="52">
        <v>6</v>
      </c>
      <c r="B38" s="103" t="s">
        <v>150</v>
      </c>
      <c r="C38" s="104" t="s">
        <v>32</v>
      </c>
      <c r="D38" s="103" t="s">
        <v>247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152</v>
      </c>
      <c r="C39" s="104" t="s">
        <v>153</v>
      </c>
      <c r="D39" s="103" t="s">
        <v>87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v>0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248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118</v>
      </c>
      <c r="C41" s="104" t="s">
        <v>155</v>
      </c>
      <c r="D41" s="103" t="s">
        <v>249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customHeight="1">
      <c r="A42" s="52">
        <v>9</v>
      </c>
      <c r="B42" s="103" t="s">
        <v>157</v>
      </c>
      <c r="C42" s="104" t="s">
        <v>155</v>
      </c>
      <c r="D42" s="103" t="s">
        <v>250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F42/7.5*G42</f>
        <v>82.791439999999994</v>
      </c>
      <c r="J42" s="36"/>
    </row>
    <row r="43" spans="1:14" ht="15.75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F43/7.5*G43</f>
        <v>119.15640000000002</v>
      </c>
      <c r="J43" s="36"/>
    </row>
    <row r="44" spans="1:14" ht="15.75" customHeight="1">
      <c r="A44" s="211" t="s">
        <v>160</v>
      </c>
      <c r="B44" s="212"/>
      <c r="C44" s="212"/>
      <c r="D44" s="212"/>
      <c r="E44" s="212"/>
      <c r="F44" s="212"/>
      <c r="G44" s="212"/>
      <c r="H44" s="212"/>
      <c r="I44" s="213"/>
      <c r="J44" s="36"/>
    </row>
    <row r="45" spans="1:14" ht="15.75" hidden="1" customHeight="1">
      <c r="A45" s="64">
        <v>15</v>
      </c>
      <c r="B45" s="103" t="s">
        <v>177</v>
      </c>
      <c r="C45" s="104" t="s">
        <v>155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15.75" hidden="1" customHeight="1">
      <c r="A46" s="64">
        <v>16</v>
      </c>
      <c r="B46" s="103" t="s">
        <v>40</v>
      </c>
      <c r="C46" s="104" t="s">
        <v>155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15.75" hidden="1" customHeight="1">
      <c r="A47" s="64">
        <v>17</v>
      </c>
      <c r="B47" s="103" t="s">
        <v>41</v>
      </c>
      <c r="C47" s="104" t="s">
        <v>155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15.75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customHeight="1">
      <c r="A49" s="64">
        <v>11</v>
      </c>
      <c r="B49" s="103" t="s">
        <v>70</v>
      </c>
      <c r="C49" s="104" t="s">
        <v>155</v>
      </c>
      <c r="D49" s="103" t="s">
        <v>254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144</v>
      </c>
      <c r="C50" s="104" t="s">
        <v>155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145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5" customHeight="1">
      <c r="A53" s="64">
        <v>12</v>
      </c>
      <c r="B53" s="103" t="s">
        <v>48</v>
      </c>
      <c r="C53" s="104" t="s">
        <v>130</v>
      </c>
      <c r="D53" s="193">
        <v>43497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11" t="s">
        <v>161</v>
      </c>
      <c r="B54" s="214"/>
      <c r="C54" s="214"/>
      <c r="D54" s="214"/>
      <c r="E54" s="214"/>
      <c r="F54" s="214"/>
      <c r="G54" s="214"/>
      <c r="H54" s="214"/>
      <c r="I54" s="21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13</v>
      </c>
      <c r="B56" s="103" t="s">
        <v>178</v>
      </c>
      <c r="C56" s="104" t="s">
        <v>138</v>
      </c>
      <c r="D56" s="103" t="s">
        <v>179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G56*0.18</f>
        <v>415.19159999999994</v>
      </c>
      <c r="J56" s="36"/>
      <c r="L56" s="28"/>
      <c r="M56" s="29"/>
      <c r="N56" s="30"/>
    </row>
    <row r="57" spans="1:14" ht="15.75" hidden="1" customHeight="1">
      <c r="A57" s="64">
        <v>14</v>
      </c>
      <c r="B57" s="103" t="s">
        <v>186</v>
      </c>
      <c r="C57" s="104" t="s">
        <v>206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f>G57*1.5</f>
        <v>2251.5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180</v>
      </c>
      <c r="C59" s="104" t="s">
        <v>138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13</v>
      </c>
      <c r="B60" s="140" t="s">
        <v>146</v>
      </c>
      <c r="C60" s="141" t="s">
        <v>27</v>
      </c>
      <c r="D60" s="140" t="s">
        <v>233</v>
      </c>
      <c r="E60" s="142">
        <v>120</v>
      </c>
      <c r="F60" s="143">
        <f>E60*12</f>
        <v>1440</v>
      </c>
      <c r="G60" s="55">
        <v>1.4</v>
      </c>
      <c r="H60" s="111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" customHeight="1">
      <c r="A62" s="64">
        <v>14</v>
      </c>
      <c r="B62" s="21" t="s">
        <v>54</v>
      </c>
      <c r="C62" s="23" t="s">
        <v>130</v>
      </c>
      <c r="D62" s="21" t="s">
        <v>233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f>G62*1</f>
        <v>276.74</v>
      </c>
      <c r="J62" s="36"/>
      <c r="L62" s="28"/>
      <c r="M62" s="29"/>
      <c r="N62" s="30"/>
    </row>
    <row r="63" spans="1:14" ht="21.75" hidden="1" customHeight="1">
      <c r="A63" s="42">
        <v>29</v>
      </c>
      <c r="B63" s="21" t="s">
        <v>55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9.5" hidden="1" customHeight="1">
      <c r="A64" s="42">
        <v>8</v>
      </c>
      <c r="B64" s="21" t="s">
        <v>56</v>
      </c>
      <c r="C64" s="23" t="s">
        <v>181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6.5" hidden="1" customHeight="1">
      <c r="A65" s="42">
        <v>9</v>
      </c>
      <c r="B65" s="21" t="s">
        <v>57</v>
      </c>
      <c r="C65" s="23" t="s">
        <v>182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9.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8.75" hidden="1" customHeight="1">
      <c r="A67" s="42">
        <v>11</v>
      </c>
      <c r="B67" s="115" t="s">
        <v>183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4.25" hidden="1" customHeight="1">
      <c r="A68" s="42">
        <v>12</v>
      </c>
      <c r="B68" s="115" t="s">
        <v>207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15</v>
      </c>
      <c r="B70" s="21" t="s">
        <v>148</v>
      </c>
      <c r="C70" s="42" t="s">
        <v>149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208</v>
      </c>
      <c r="C72" s="23" t="s">
        <v>209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210</v>
      </c>
      <c r="C73" s="23" t="s">
        <v>211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191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04"/>
      <c r="S77" s="204"/>
      <c r="T77" s="204"/>
      <c r="U77" s="204"/>
    </row>
    <row r="78" spans="1:22" ht="15.75" hidden="1" customHeight="1">
      <c r="A78" s="119"/>
      <c r="B78" s="121" t="s">
        <v>147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184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16" t="s">
        <v>162</v>
      </c>
      <c r="B80" s="217"/>
      <c r="C80" s="217"/>
      <c r="D80" s="217"/>
      <c r="E80" s="217"/>
      <c r="F80" s="217"/>
      <c r="G80" s="217"/>
      <c r="H80" s="217"/>
      <c r="I80" s="21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16</v>
      </c>
      <c r="B81" s="103" t="s">
        <v>185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17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112</v>
      </c>
      <c r="C83" s="64"/>
      <c r="D83" s="22"/>
      <c r="E83" s="22"/>
      <c r="F83" s="22"/>
      <c r="G83" s="26"/>
      <c r="H83" s="26"/>
      <c r="I83" s="49">
        <f>I82+I81+I70+I60+I53+I49+I43+I42+I41+I40+I38+I37+I17+I16+I18+I27+I62</f>
        <v>38344.591868333329</v>
      </c>
    </row>
    <row r="84" spans="1:9" ht="15.75" customHeight="1">
      <c r="A84" s="197" t="s">
        <v>75</v>
      </c>
      <c r="B84" s="198"/>
      <c r="C84" s="198"/>
      <c r="D84" s="198"/>
      <c r="E84" s="198"/>
      <c r="F84" s="198"/>
      <c r="G84" s="198"/>
      <c r="H84" s="198"/>
      <c r="I84" s="199"/>
    </row>
    <row r="85" spans="1:9" ht="31.5" customHeight="1">
      <c r="A85" s="135">
        <v>18</v>
      </c>
      <c r="B85" s="149" t="s">
        <v>221</v>
      </c>
      <c r="C85" s="154" t="s">
        <v>32</v>
      </c>
      <c r="D85" s="139"/>
      <c r="E85" s="55"/>
      <c r="F85" s="55">
        <v>2</v>
      </c>
      <c r="G85" s="148">
        <v>19757.060000000001</v>
      </c>
      <c r="H85" s="137">
        <f t="shared" ref="H85:H87" si="10">G85*F85/1000</f>
        <v>39.514120000000005</v>
      </c>
      <c r="I85" s="136">
        <f>G85*0.599*10/1000</f>
        <v>118.34478940000001</v>
      </c>
    </row>
    <row r="86" spans="1:9" ht="31.5" customHeight="1">
      <c r="A86" s="135">
        <v>19</v>
      </c>
      <c r="B86" s="149" t="s">
        <v>213</v>
      </c>
      <c r="C86" s="154" t="s">
        <v>214</v>
      </c>
      <c r="D86" s="58"/>
      <c r="E86" s="25"/>
      <c r="F86" s="55">
        <v>0.02</v>
      </c>
      <c r="G86" s="148">
        <v>59.21</v>
      </c>
      <c r="H86" s="137">
        <f t="shared" si="10"/>
        <v>1.1842000000000001E-3</v>
      </c>
      <c r="I86" s="136">
        <f>G86*1</f>
        <v>59.21</v>
      </c>
    </row>
    <row r="87" spans="1:9" ht="31.5" customHeight="1">
      <c r="A87" s="135">
        <v>20</v>
      </c>
      <c r="B87" s="149" t="s">
        <v>227</v>
      </c>
      <c r="C87" s="154" t="s">
        <v>218</v>
      </c>
      <c r="D87" s="58"/>
      <c r="E87" s="25"/>
      <c r="F87" s="55">
        <v>1</v>
      </c>
      <c r="G87" s="148">
        <v>26095.37</v>
      </c>
      <c r="H87" s="137">
        <f t="shared" si="10"/>
        <v>26.095369999999999</v>
      </c>
      <c r="I87" s="136">
        <f>G87*0.01</f>
        <v>260.95369999999997</v>
      </c>
    </row>
    <row r="88" spans="1:9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SUM(I85:I87)</f>
        <v>438.50848939999997</v>
      </c>
    </row>
    <row r="89" spans="1:9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9" ht="15.75" customHeight="1">
      <c r="A90" s="79"/>
      <c r="B90" s="70" t="s">
        <v>212</v>
      </c>
      <c r="C90" s="53"/>
      <c r="D90" s="53"/>
      <c r="E90" s="53"/>
      <c r="F90" s="53"/>
      <c r="G90" s="53"/>
      <c r="H90" s="53"/>
      <c r="I90" s="68">
        <f>I83+I88</f>
        <v>38783.100357733332</v>
      </c>
    </row>
    <row r="91" spans="1:9" ht="15.75">
      <c r="A91" s="206" t="s">
        <v>255</v>
      </c>
      <c r="B91" s="206"/>
      <c r="C91" s="206"/>
      <c r="D91" s="206"/>
      <c r="E91" s="206"/>
      <c r="F91" s="206"/>
      <c r="G91" s="206"/>
      <c r="H91" s="206"/>
      <c r="I91" s="206"/>
    </row>
    <row r="92" spans="1:9" ht="15.75" customHeight="1">
      <c r="A92" s="97"/>
      <c r="B92" s="207" t="s">
        <v>256</v>
      </c>
      <c r="C92" s="207"/>
      <c r="D92" s="207"/>
      <c r="E92" s="207"/>
      <c r="F92" s="207"/>
      <c r="G92" s="207"/>
      <c r="H92" s="101"/>
      <c r="I92" s="3"/>
    </row>
    <row r="93" spans="1:9">
      <c r="A93" s="123"/>
      <c r="B93" s="202" t="s">
        <v>6</v>
      </c>
      <c r="C93" s="202"/>
      <c r="D93" s="202"/>
      <c r="E93" s="202"/>
      <c r="F93" s="202"/>
      <c r="G93" s="202"/>
      <c r="H93" s="37"/>
      <c r="I93" s="5"/>
    </row>
    <row r="94" spans="1:9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>
      <c r="A95" s="208" t="s">
        <v>7</v>
      </c>
      <c r="B95" s="208"/>
      <c r="C95" s="208"/>
      <c r="D95" s="208"/>
      <c r="E95" s="208"/>
      <c r="F95" s="208"/>
      <c r="G95" s="208"/>
      <c r="H95" s="208"/>
      <c r="I95" s="208"/>
    </row>
    <row r="96" spans="1:9" ht="16.5" customHeight="1">
      <c r="A96" s="208" t="s">
        <v>8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9" t="s">
        <v>78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 customHeight="1">
      <c r="A98" s="13"/>
    </row>
    <row r="99" spans="1:9" ht="15.75" customHeight="1">
      <c r="A99" s="200" t="s">
        <v>9</v>
      </c>
      <c r="B99" s="200"/>
      <c r="C99" s="200"/>
      <c r="D99" s="200"/>
      <c r="E99" s="200"/>
      <c r="F99" s="200"/>
      <c r="G99" s="200"/>
      <c r="H99" s="200"/>
      <c r="I99" s="200"/>
    </row>
    <row r="100" spans="1:9" ht="15.75">
      <c r="A100" s="4"/>
    </row>
    <row r="101" spans="1:9" ht="15.75" customHeight="1">
      <c r="B101" s="125" t="s">
        <v>10</v>
      </c>
      <c r="C101" s="201" t="s">
        <v>163</v>
      </c>
      <c r="D101" s="201"/>
      <c r="E101" s="201"/>
      <c r="F101" s="99"/>
      <c r="I101" s="122"/>
    </row>
    <row r="102" spans="1:9">
      <c r="A102" s="123"/>
      <c r="C102" s="202" t="s">
        <v>11</v>
      </c>
      <c r="D102" s="202"/>
      <c r="E102" s="202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03"/>
      <c r="D104" s="203"/>
      <c r="E104" s="203"/>
      <c r="F104" s="100"/>
      <c r="I104" s="122"/>
    </row>
    <row r="105" spans="1:9">
      <c r="A105" s="123"/>
      <c r="C105" s="204" t="s">
        <v>11</v>
      </c>
      <c r="D105" s="204"/>
      <c r="E105" s="204"/>
      <c r="F105" s="123"/>
      <c r="I105" s="124" t="s">
        <v>12</v>
      </c>
    </row>
    <row r="106" spans="1:9" ht="15.75">
      <c r="A106" s="4" t="s">
        <v>14</v>
      </c>
    </row>
    <row r="107" spans="1:9">
      <c r="A107" s="205" t="s">
        <v>15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45" customHeight="1">
      <c r="A108" s="196" t="s">
        <v>16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30" customHeight="1">
      <c r="A109" s="196" t="s">
        <v>17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22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" customHeight="1">
      <c r="A111" s="196" t="s">
        <v>21</v>
      </c>
      <c r="B111" s="196"/>
      <c r="C111" s="196"/>
      <c r="D111" s="196"/>
      <c r="E111" s="196"/>
      <c r="F111" s="196"/>
      <c r="G111" s="196"/>
      <c r="H111" s="196"/>
      <c r="I111" s="196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5:E105"/>
    <mergeCell ref="A84:I84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0:I80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D39" sqref="D39:D4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193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228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43555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0" t="s">
        <v>120</v>
      </c>
      <c r="B29" s="210"/>
      <c r="C29" s="210"/>
      <c r="D29" s="210"/>
      <c r="E29" s="210"/>
      <c r="F29" s="210"/>
      <c r="G29" s="210"/>
      <c r="H29" s="210"/>
      <c r="I29" s="210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187</v>
      </c>
      <c r="C31" s="104" t="s">
        <v>155</v>
      </c>
      <c r="D31" s="103" t="s">
        <v>204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188</v>
      </c>
      <c r="C32" s="104" t="s">
        <v>155</v>
      </c>
      <c r="D32" s="103" t="s">
        <v>205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155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189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176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8" customHeight="1">
      <c r="A38" s="52">
        <v>5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G38*1.8</f>
        <v>3420.6659999999997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150</v>
      </c>
      <c r="C39" s="104" t="s">
        <v>32</v>
      </c>
      <c r="D39" s="103" t="s">
        <v>247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152</v>
      </c>
      <c r="C40" s="104" t="s">
        <v>153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248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118</v>
      </c>
      <c r="C42" s="104" t="s">
        <v>155</v>
      </c>
      <c r="D42" s="103" t="s">
        <v>249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customHeight="1">
      <c r="A43" s="52">
        <v>9</v>
      </c>
      <c r="B43" s="103" t="s">
        <v>157</v>
      </c>
      <c r="C43" s="104" t="s">
        <v>155</v>
      </c>
      <c r="D43" s="103" t="s">
        <v>250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(F43/7.5*1.5)*G43</f>
        <v>124.18715999999999</v>
      </c>
      <c r="J43" s="36"/>
    </row>
    <row r="44" spans="1:13" ht="15.75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(F44/7.5*1.5)*G44</f>
        <v>178.73460000000003</v>
      </c>
      <c r="J44" s="36"/>
    </row>
    <row r="45" spans="1:13" ht="15.75" hidden="1" customHeight="1">
      <c r="A45" s="211" t="s">
        <v>160</v>
      </c>
      <c r="B45" s="212"/>
      <c r="C45" s="212"/>
      <c r="D45" s="212"/>
      <c r="E45" s="212"/>
      <c r="F45" s="212"/>
      <c r="G45" s="212"/>
      <c r="H45" s="212"/>
      <c r="I45" s="213"/>
      <c r="J45" s="36"/>
    </row>
    <row r="46" spans="1:13" ht="15.75" hidden="1" customHeight="1">
      <c r="A46" s="64">
        <v>15</v>
      </c>
      <c r="B46" s="103" t="s">
        <v>177</v>
      </c>
      <c r="C46" s="104" t="s">
        <v>155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16</v>
      </c>
      <c r="B47" s="103" t="s">
        <v>40</v>
      </c>
      <c r="C47" s="104" t="s">
        <v>155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17</v>
      </c>
      <c r="B48" s="103" t="s">
        <v>41</v>
      </c>
      <c r="C48" s="104" t="s">
        <v>155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12</v>
      </c>
      <c r="B50" s="103" t="s">
        <v>70</v>
      </c>
      <c r="C50" s="104" t="s">
        <v>155</v>
      </c>
      <c r="D50" s="103" t="s">
        <v>190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155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12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11" t="s">
        <v>194</v>
      </c>
      <c r="B55" s="214"/>
      <c r="C55" s="214"/>
      <c r="D55" s="214"/>
      <c r="E55" s="214"/>
      <c r="F55" s="214"/>
      <c r="G55" s="214"/>
      <c r="H55" s="214"/>
      <c r="I55" s="215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3.75" customHeight="1">
      <c r="A57" s="64">
        <v>11</v>
      </c>
      <c r="B57" s="103" t="s">
        <v>178</v>
      </c>
      <c r="C57" s="104" t="s">
        <v>138</v>
      </c>
      <c r="D57" s="103"/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G57*0.405</f>
        <v>934.18110000000001</v>
      </c>
      <c r="J57" s="36"/>
      <c r="L57" s="28"/>
      <c r="M57" s="29"/>
      <c r="N57" s="30"/>
    </row>
    <row r="58" spans="1:14" ht="17.25" customHeight="1">
      <c r="A58" s="64">
        <v>12</v>
      </c>
      <c r="B58" s="103" t="s">
        <v>186</v>
      </c>
      <c r="C58" s="104" t="s">
        <v>206</v>
      </c>
      <c r="D58" s="103" t="s">
        <v>257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180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13</v>
      </c>
      <c r="B61" s="113" t="s">
        <v>146</v>
      </c>
      <c r="C61" s="112" t="s">
        <v>27</v>
      </c>
      <c r="D61" s="140" t="s">
        <v>233</v>
      </c>
      <c r="E61" s="142">
        <v>120</v>
      </c>
      <c r="F61" s="143">
        <f>E61*12</f>
        <v>1440</v>
      </c>
      <c r="G61" s="55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8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v>0</v>
      </c>
      <c r="J63" s="36"/>
      <c r="L63" s="28"/>
      <c r="M63" s="29"/>
      <c r="N63" s="30"/>
    </row>
    <row r="64" spans="1:14" ht="18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7.25" hidden="1" customHeight="1">
      <c r="A65" s="42">
        <v>8</v>
      </c>
      <c r="B65" s="21" t="s">
        <v>56</v>
      </c>
      <c r="C65" s="23" t="s">
        <v>181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v>0</v>
      </c>
      <c r="J65" s="36"/>
      <c r="L65" s="28"/>
      <c r="M65" s="29"/>
      <c r="N65" s="30"/>
    </row>
    <row r="66" spans="1:22" ht="18.75" hidden="1" customHeight="1">
      <c r="A66" s="42">
        <v>9</v>
      </c>
      <c r="B66" s="21" t="s">
        <v>57</v>
      </c>
      <c r="C66" s="23" t="s">
        <v>182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v>0</v>
      </c>
      <c r="J66" s="36"/>
      <c r="L66" s="28"/>
      <c r="M66" s="29"/>
      <c r="N66" s="30"/>
    </row>
    <row r="67" spans="1:22" ht="17.2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v>0</v>
      </c>
      <c r="J67" s="36"/>
      <c r="L67" s="28"/>
      <c r="M67" s="29"/>
      <c r="N67" s="30"/>
    </row>
    <row r="68" spans="1:22" ht="19.5" hidden="1" customHeight="1">
      <c r="A68" s="42">
        <v>11</v>
      </c>
      <c r="B68" s="115" t="s">
        <v>183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v>0</v>
      </c>
      <c r="J68" s="36"/>
      <c r="L68" s="28"/>
      <c r="M68" s="29"/>
      <c r="N68" s="30"/>
    </row>
    <row r="69" spans="1:22" ht="21" hidden="1" customHeight="1">
      <c r="A69" s="42">
        <v>12</v>
      </c>
      <c r="B69" s="115" t="s">
        <v>207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v>0</v>
      </c>
      <c r="J69" s="36"/>
      <c r="L69" s="28"/>
      <c r="M69" s="29"/>
      <c r="N69" s="30"/>
    </row>
    <row r="70" spans="1:22" ht="19.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14</v>
      </c>
      <c r="B71" s="21" t="s">
        <v>148</v>
      </c>
      <c r="C71" s="42" t="s">
        <v>149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208</v>
      </c>
      <c r="C73" s="23" t="s">
        <v>209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9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210</v>
      </c>
      <c r="C74" s="23" t="s">
        <v>211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9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9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191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0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04"/>
      <c r="S78" s="204"/>
      <c r="T78" s="204"/>
      <c r="U78" s="204"/>
    </row>
    <row r="79" spans="1:22" ht="15.75" hidden="1" customHeight="1">
      <c r="A79" s="119"/>
      <c r="B79" s="121" t="s">
        <v>147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184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16" t="s">
        <v>195</v>
      </c>
      <c r="B81" s="217"/>
      <c r="C81" s="217"/>
      <c r="D81" s="217"/>
      <c r="E81" s="217"/>
      <c r="F81" s="217"/>
      <c r="G81" s="217"/>
      <c r="H81" s="217"/>
      <c r="I81" s="218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15</v>
      </c>
      <c r="B82" s="103" t="s">
        <v>185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16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I83+I82+I71+I61+I58+I57+I44+I43+I42+I41+I39+I38+I27+I18+I17+I16</f>
        <v>32320.505888333337</v>
      </c>
    </row>
    <row r="85" spans="1:21" ht="15.75" customHeight="1">
      <c r="A85" s="197" t="s">
        <v>75</v>
      </c>
      <c r="B85" s="198"/>
      <c r="C85" s="198"/>
      <c r="D85" s="198"/>
      <c r="E85" s="198"/>
      <c r="F85" s="198"/>
      <c r="G85" s="198"/>
      <c r="H85" s="198"/>
      <c r="I85" s="199"/>
    </row>
    <row r="86" spans="1:21" ht="32.25" customHeight="1">
      <c r="A86" s="146">
        <v>17</v>
      </c>
      <c r="B86" s="149" t="s">
        <v>221</v>
      </c>
      <c r="C86" s="154" t="s">
        <v>32</v>
      </c>
      <c r="D86" s="139"/>
      <c r="E86" s="55"/>
      <c r="F86" s="55">
        <v>2</v>
      </c>
      <c r="G86" s="148">
        <v>19757.060000000001</v>
      </c>
      <c r="H86" s="137">
        <f t="shared" ref="H86" si="11">G86*F86/1000</f>
        <v>39.514120000000005</v>
      </c>
      <c r="I86" s="136">
        <f>G86*0.599*10/1000</f>
        <v>118.34478940000001</v>
      </c>
    </row>
    <row r="87" spans="1:21" ht="16.5" customHeight="1">
      <c r="A87" s="170">
        <v>18</v>
      </c>
      <c r="B87" s="149" t="s">
        <v>229</v>
      </c>
      <c r="C87" s="154" t="s">
        <v>230</v>
      </c>
      <c r="D87" s="171"/>
      <c r="E87" s="171"/>
      <c r="F87" s="171"/>
      <c r="G87" s="148">
        <v>225.75</v>
      </c>
      <c r="H87" s="171"/>
      <c r="I87" s="172">
        <f>G87*1</f>
        <v>225.75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344.09478940000002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212</v>
      </c>
      <c r="C90" s="53"/>
      <c r="D90" s="53"/>
      <c r="E90" s="53"/>
      <c r="F90" s="53"/>
      <c r="G90" s="53"/>
      <c r="H90" s="53"/>
      <c r="I90" s="68">
        <f>I84+I88</f>
        <v>32664.600677733335</v>
      </c>
    </row>
    <row r="91" spans="1:21" ht="15.75">
      <c r="A91" s="206" t="s">
        <v>258</v>
      </c>
      <c r="B91" s="206"/>
      <c r="C91" s="206"/>
      <c r="D91" s="206"/>
      <c r="E91" s="206"/>
      <c r="F91" s="206"/>
      <c r="G91" s="206"/>
      <c r="H91" s="206"/>
      <c r="I91" s="206"/>
    </row>
    <row r="92" spans="1:21" ht="15.75" customHeight="1">
      <c r="A92" s="97"/>
      <c r="B92" s="207" t="s">
        <v>259</v>
      </c>
      <c r="C92" s="207"/>
      <c r="D92" s="207"/>
      <c r="E92" s="207"/>
      <c r="F92" s="207"/>
      <c r="G92" s="207"/>
      <c r="H92" s="101"/>
      <c r="I92" s="3"/>
    </row>
    <row r="93" spans="1:21">
      <c r="A93" s="123"/>
      <c r="B93" s="202" t="s">
        <v>6</v>
      </c>
      <c r="C93" s="202"/>
      <c r="D93" s="202"/>
      <c r="E93" s="202"/>
      <c r="F93" s="202"/>
      <c r="G93" s="202"/>
      <c r="H93" s="37"/>
      <c r="I93" s="5"/>
    </row>
    <row r="94" spans="1:21" ht="8.2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208" t="s">
        <v>7</v>
      </c>
      <c r="B95" s="208"/>
      <c r="C95" s="208"/>
      <c r="D95" s="208"/>
      <c r="E95" s="208"/>
      <c r="F95" s="208"/>
      <c r="G95" s="208"/>
      <c r="H95" s="208"/>
      <c r="I95" s="208"/>
    </row>
    <row r="96" spans="1:21" ht="16.5" customHeight="1">
      <c r="A96" s="208" t="s">
        <v>8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9" t="s">
        <v>78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 customHeight="1">
      <c r="A98" s="13"/>
    </row>
    <row r="99" spans="1:9" ht="15.75" customHeight="1">
      <c r="A99" s="200" t="s">
        <v>9</v>
      </c>
      <c r="B99" s="200"/>
      <c r="C99" s="200"/>
      <c r="D99" s="200"/>
      <c r="E99" s="200"/>
      <c r="F99" s="200"/>
      <c r="G99" s="200"/>
      <c r="H99" s="200"/>
      <c r="I99" s="200"/>
    </row>
    <row r="100" spans="1:9" ht="15.75">
      <c r="A100" s="4"/>
    </row>
    <row r="101" spans="1:9" ht="15.75" customHeight="1">
      <c r="B101" s="125" t="s">
        <v>10</v>
      </c>
      <c r="C101" s="201" t="s">
        <v>163</v>
      </c>
      <c r="D101" s="201"/>
      <c r="E101" s="201"/>
      <c r="F101" s="99"/>
      <c r="I101" s="122"/>
    </row>
    <row r="102" spans="1:9">
      <c r="A102" s="123"/>
      <c r="C102" s="202" t="s">
        <v>11</v>
      </c>
      <c r="D102" s="202"/>
      <c r="E102" s="202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03"/>
      <c r="D104" s="203"/>
      <c r="E104" s="203"/>
      <c r="F104" s="100"/>
      <c r="I104" s="122"/>
    </row>
    <row r="105" spans="1:9">
      <c r="A105" s="123"/>
      <c r="C105" s="204" t="s">
        <v>11</v>
      </c>
      <c r="D105" s="204"/>
      <c r="E105" s="204"/>
      <c r="F105" s="123"/>
      <c r="I105" s="124" t="s">
        <v>12</v>
      </c>
    </row>
    <row r="106" spans="1:9" ht="15.75">
      <c r="A106" s="4" t="s">
        <v>14</v>
      </c>
    </row>
    <row r="107" spans="1:9">
      <c r="A107" s="205" t="s">
        <v>15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45" customHeight="1">
      <c r="A108" s="196" t="s">
        <v>16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30" customHeight="1">
      <c r="A109" s="196" t="s">
        <v>17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22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" customHeight="1">
      <c r="A111" s="196" t="s">
        <v>21</v>
      </c>
      <c r="B111" s="196"/>
      <c r="C111" s="196"/>
      <c r="D111" s="196"/>
      <c r="E111" s="196"/>
      <c r="F111" s="196"/>
      <c r="G111" s="196"/>
      <c r="H111" s="196"/>
      <c r="I111" s="196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196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231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43585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187</v>
      </c>
      <c r="C30" s="104" t="s">
        <v>155</v>
      </c>
      <c r="D30" s="103" t="s">
        <v>204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188</v>
      </c>
      <c r="C31" s="104" t="s">
        <v>155</v>
      </c>
      <c r="D31" s="103" t="s">
        <v>205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189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176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9.5" hidden="1" customHeight="1">
      <c r="A37" s="52">
        <v>5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G37*0.1</f>
        <v>190.03700000000001</v>
      </c>
      <c r="J37" s="35"/>
      <c r="K37" s="10"/>
      <c r="L37" s="10"/>
      <c r="M37" s="10"/>
    </row>
    <row r="38" spans="1:14" ht="15.75" customHeight="1">
      <c r="A38" s="52">
        <v>5</v>
      </c>
      <c r="B38" s="103" t="s">
        <v>150</v>
      </c>
      <c r="C38" s="104" t="s">
        <v>32</v>
      </c>
      <c r="D38" s="103" t="s">
        <v>247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8.75" customHeight="1">
      <c r="A39" s="52">
        <v>6</v>
      </c>
      <c r="B39" s="103" t="s">
        <v>152</v>
      </c>
      <c r="C39" s="104" t="s">
        <v>153</v>
      </c>
      <c r="D39" s="103" t="s">
        <v>260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f>G39*39</f>
        <v>8846.76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248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118</v>
      </c>
      <c r="C41" s="104" t="s">
        <v>155</v>
      </c>
      <c r="D41" s="103" t="s">
        <v>249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customHeight="1">
      <c r="A42" s="52">
        <v>9</v>
      </c>
      <c r="B42" s="103" t="s">
        <v>157</v>
      </c>
      <c r="C42" s="104" t="s">
        <v>155</v>
      </c>
      <c r="D42" s="103" t="s">
        <v>250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F42/7.5*1.5*G42</f>
        <v>124.18715999999999</v>
      </c>
      <c r="J42" s="36"/>
    </row>
    <row r="43" spans="1:14" ht="15.75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F43/7.5*1.5*G43</f>
        <v>178.73460000000003</v>
      </c>
      <c r="J43" s="36"/>
    </row>
    <row r="44" spans="1:14" ht="19.5" hidden="1" customHeight="1">
      <c r="A44" s="211" t="s">
        <v>160</v>
      </c>
      <c r="B44" s="212"/>
      <c r="C44" s="212"/>
      <c r="D44" s="212"/>
      <c r="E44" s="212"/>
      <c r="F44" s="212"/>
      <c r="G44" s="212"/>
      <c r="H44" s="212"/>
      <c r="I44" s="213"/>
      <c r="J44" s="36"/>
    </row>
    <row r="45" spans="1:14" ht="27.75" hidden="1" customHeight="1">
      <c r="A45" s="64">
        <v>15</v>
      </c>
      <c r="B45" s="103" t="s">
        <v>177</v>
      </c>
      <c r="C45" s="104" t="s">
        <v>155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27" hidden="1" customHeight="1">
      <c r="A46" s="64">
        <v>16</v>
      </c>
      <c r="B46" s="103" t="s">
        <v>40</v>
      </c>
      <c r="C46" s="104" t="s">
        <v>155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26.25" hidden="1" customHeight="1">
      <c r="A47" s="64">
        <v>17</v>
      </c>
      <c r="B47" s="103" t="s">
        <v>41</v>
      </c>
      <c r="C47" s="104" t="s">
        <v>155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30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25.5" hidden="1" customHeight="1">
      <c r="A49" s="64">
        <v>12</v>
      </c>
      <c r="B49" s="103" t="s">
        <v>70</v>
      </c>
      <c r="C49" s="104" t="s">
        <v>155</v>
      </c>
      <c r="D49" s="103" t="s">
        <v>190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8.25" hidden="1" customHeight="1">
      <c r="A50" s="64">
        <v>12</v>
      </c>
      <c r="B50" s="103" t="s">
        <v>144</v>
      </c>
      <c r="C50" s="104" t="s">
        <v>155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7.5" hidden="1" customHeight="1">
      <c r="A51" s="64">
        <v>13</v>
      </c>
      <c r="B51" s="103" t="s">
        <v>145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21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8" hidden="1" customHeight="1">
      <c r="A53" s="64">
        <v>13</v>
      </c>
      <c r="B53" s="103" t="s">
        <v>48</v>
      </c>
      <c r="C53" s="104" t="s">
        <v>130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11" t="s">
        <v>194</v>
      </c>
      <c r="B54" s="214"/>
      <c r="C54" s="214"/>
      <c r="D54" s="214"/>
      <c r="E54" s="214"/>
      <c r="F54" s="214"/>
      <c r="G54" s="214"/>
      <c r="H54" s="214"/>
      <c r="I54" s="215"/>
      <c r="J54" s="36"/>
      <c r="L54" s="28"/>
      <c r="M54" s="29"/>
      <c r="N54" s="30"/>
    </row>
    <row r="55" spans="1:14" ht="17.25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customHeight="1">
      <c r="A56" s="64">
        <v>11</v>
      </c>
      <c r="B56" s="103" t="s">
        <v>178</v>
      </c>
      <c r="C56" s="104" t="s">
        <v>138</v>
      </c>
      <c r="D56" s="147"/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G56*1.106</f>
        <v>2551.1217200000001</v>
      </c>
      <c r="J56" s="36"/>
      <c r="L56" s="28"/>
      <c r="M56" s="29"/>
      <c r="N56" s="30"/>
    </row>
    <row r="57" spans="1:14" ht="15.75" customHeight="1">
      <c r="A57" s="64">
        <v>12</v>
      </c>
      <c r="B57" s="103" t="s">
        <v>186</v>
      </c>
      <c r="C57" s="104" t="s">
        <v>206</v>
      </c>
      <c r="D57" s="147" t="s">
        <v>234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f>G57*4</f>
        <v>6004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180</v>
      </c>
      <c r="C59" s="104" t="s">
        <v>138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13</v>
      </c>
      <c r="B60" s="113" t="s">
        <v>146</v>
      </c>
      <c r="C60" s="112" t="s">
        <v>27</v>
      </c>
      <c r="D60" s="113" t="s">
        <v>233</v>
      </c>
      <c r="E60" s="114">
        <v>140.4</v>
      </c>
      <c r="F60" s="107">
        <f>E60*12</f>
        <v>1684.8000000000002</v>
      </c>
      <c r="G60" s="19">
        <v>1.4</v>
      </c>
      <c r="H60" s="111">
        <f>F60*G60/1000</f>
        <v>2.3587200000000004</v>
      </c>
      <c r="I60" s="19">
        <f>1440/12*G60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17</v>
      </c>
      <c r="B62" s="21" t="s">
        <v>54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8</v>
      </c>
      <c r="B64" s="21" t="s">
        <v>56</v>
      </c>
      <c r="C64" s="23" t="s">
        <v>181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9</v>
      </c>
      <c r="B65" s="21" t="s">
        <v>57</v>
      </c>
      <c r="C65" s="23" t="s">
        <v>182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11</v>
      </c>
      <c r="B67" s="115" t="s">
        <v>183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12</v>
      </c>
      <c r="B68" s="115" t="s">
        <v>207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14</v>
      </c>
      <c r="B70" s="21" t="s">
        <v>148</v>
      </c>
      <c r="C70" s="42" t="s">
        <v>149</v>
      </c>
      <c r="D70" s="21" t="s">
        <v>232</v>
      </c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208</v>
      </c>
      <c r="C72" s="23" t="s">
        <v>209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210</v>
      </c>
      <c r="C73" s="23" t="s">
        <v>211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191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04"/>
      <c r="S77" s="204"/>
      <c r="T77" s="204"/>
      <c r="U77" s="204"/>
    </row>
    <row r="78" spans="1:22" ht="15.75" hidden="1" customHeight="1">
      <c r="A78" s="119"/>
      <c r="B78" s="121" t="s">
        <v>147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184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16" t="s">
        <v>195</v>
      </c>
      <c r="B80" s="217"/>
      <c r="C80" s="217"/>
      <c r="D80" s="217"/>
      <c r="E80" s="217"/>
      <c r="F80" s="217"/>
      <c r="G80" s="217"/>
      <c r="H80" s="217"/>
      <c r="I80" s="21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15</v>
      </c>
      <c r="B81" s="103" t="s">
        <v>185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16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112</v>
      </c>
      <c r="C83" s="64"/>
      <c r="D83" s="22"/>
      <c r="E83" s="22"/>
      <c r="F83" s="22"/>
      <c r="G83" s="26"/>
      <c r="H83" s="26"/>
      <c r="I83" s="49">
        <f>I82+I81+I70+I60+I57+I56+I43+I42+I41+I40+I39+I38+I27+I18+I17+I16</f>
        <v>43116.040508333332</v>
      </c>
    </row>
    <row r="84" spans="1:9" ht="15.75" customHeight="1">
      <c r="A84" s="197" t="s">
        <v>75</v>
      </c>
      <c r="B84" s="198"/>
      <c r="C84" s="198"/>
      <c r="D84" s="198"/>
      <c r="E84" s="198"/>
      <c r="F84" s="198"/>
      <c r="G84" s="198"/>
      <c r="H84" s="198"/>
      <c r="I84" s="199"/>
    </row>
    <row r="85" spans="1:9" s="176" customFormat="1" ht="15.75" customHeight="1">
      <c r="A85" s="173">
        <v>17</v>
      </c>
      <c r="B85" s="177" t="s">
        <v>235</v>
      </c>
      <c r="C85" s="64" t="s">
        <v>166</v>
      </c>
      <c r="D85" s="156"/>
      <c r="E85" s="157"/>
      <c r="F85" s="157"/>
      <c r="G85" s="55">
        <v>3587.49</v>
      </c>
      <c r="H85" s="174"/>
      <c r="I85" s="175">
        <f>G85*0.06</f>
        <v>215.24939999999998</v>
      </c>
    </row>
    <row r="86" spans="1:9" ht="15.75" customHeight="1">
      <c r="A86" s="42"/>
      <c r="B86" s="69" t="s">
        <v>60</v>
      </c>
      <c r="C86" s="65"/>
      <c r="D86" s="95"/>
      <c r="E86" s="65">
        <v>1</v>
      </c>
      <c r="F86" s="65"/>
      <c r="G86" s="65"/>
      <c r="H86" s="65"/>
      <c r="I86" s="49">
        <f>I85</f>
        <v>215.24939999999998</v>
      </c>
    </row>
    <row r="87" spans="1:9" ht="15.75" customHeight="1">
      <c r="A87" s="42"/>
      <c r="B87" s="75" t="s">
        <v>107</v>
      </c>
      <c r="C87" s="22"/>
      <c r="D87" s="22"/>
      <c r="E87" s="66"/>
      <c r="F87" s="66"/>
      <c r="G87" s="67"/>
      <c r="H87" s="67"/>
      <c r="I87" s="25">
        <v>0</v>
      </c>
    </row>
    <row r="88" spans="1:9" ht="15.75" customHeight="1">
      <c r="A88" s="79"/>
      <c r="B88" s="70" t="s">
        <v>212</v>
      </c>
      <c r="C88" s="53"/>
      <c r="D88" s="53"/>
      <c r="E88" s="53"/>
      <c r="F88" s="53"/>
      <c r="G88" s="53"/>
      <c r="H88" s="53"/>
      <c r="I88" s="68">
        <f>I83+I86</f>
        <v>43331.289908333332</v>
      </c>
    </row>
    <row r="89" spans="1:9" ht="15.75">
      <c r="A89" s="206" t="s">
        <v>261</v>
      </c>
      <c r="B89" s="206"/>
      <c r="C89" s="206"/>
      <c r="D89" s="206"/>
      <c r="E89" s="206"/>
      <c r="F89" s="206"/>
      <c r="G89" s="206"/>
      <c r="H89" s="206"/>
      <c r="I89" s="206"/>
    </row>
    <row r="90" spans="1:9" ht="15.75" customHeight="1">
      <c r="A90" s="97"/>
      <c r="B90" s="207" t="s">
        <v>262</v>
      </c>
      <c r="C90" s="207"/>
      <c r="D90" s="207"/>
      <c r="E90" s="207"/>
      <c r="F90" s="207"/>
      <c r="G90" s="207"/>
      <c r="H90" s="101"/>
      <c r="I90" s="3"/>
    </row>
    <row r="91" spans="1:9">
      <c r="A91" s="123"/>
      <c r="B91" s="202" t="s">
        <v>6</v>
      </c>
      <c r="C91" s="202"/>
      <c r="D91" s="202"/>
      <c r="E91" s="202"/>
      <c r="F91" s="202"/>
      <c r="G91" s="202"/>
      <c r="H91" s="37"/>
      <c r="I91" s="5"/>
    </row>
    <row r="92" spans="1:9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15.75">
      <c r="A93" s="208" t="s">
        <v>7</v>
      </c>
      <c r="B93" s="208"/>
      <c r="C93" s="208"/>
      <c r="D93" s="208"/>
      <c r="E93" s="208"/>
      <c r="F93" s="208"/>
      <c r="G93" s="208"/>
      <c r="H93" s="208"/>
      <c r="I93" s="208"/>
    </row>
    <row r="94" spans="1:9" ht="16.5" customHeight="1">
      <c r="A94" s="208" t="s">
        <v>8</v>
      </c>
      <c r="B94" s="208"/>
      <c r="C94" s="208"/>
      <c r="D94" s="208"/>
      <c r="E94" s="208"/>
      <c r="F94" s="208"/>
      <c r="G94" s="208"/>
      <c r="H94" s="208"/>
      <c r="I94" s="208"/>
    </row>
    <row r="95" spans="1:9" ht="16.5" customHeight="1">
      <c r="A95" s="209" t="s">
        <v>78</v>
      </c>
      <c r="B95" s="209"/>
      <c r="C95" s="209"/>
      <c r="D95" s="209"/>
      <c r="E95" s="209"/>
      <c r="F95" s="209"/>
      <c r="G95" s="209"/>
      <c r="H95" s="209"/>
      <c r="I95" s="209"/>
    </row>
    <row r="96" spans="1:9" ht="15.75" customHeight="1">
      <c r="A96" s="13"/>
    </row>
    <row r="97" spans="1:9" ht="15.75" customHeight="1">
      <c r="A97" s="200" t="s">
        <v>9</v>
      </c>
      <c r="B97" s="200"/>
      <c r="C97" s="200"/>
      <c r="D97" s="200"/>
      <c r="E97" s="200"/>
      <c r="F97" s="200"/>
      <c r="G97" s="200"/>
      <c r="H97" s="200"/>
      <c r="I97" s="200"/>
    </row>
    <row r="98" spans="1:9" ht="15.75">
      <c r="A98" s="4"/>
    </row>
    <row r="99" spans="1:9" ht="15.75" customHeight="1">
      <c r="B99" s="125" t="s">
        <v>10</v>
      </c>
      <c r="C99" s="201" t="s">
        <v>163</v>
      </c>
      <c r="D99" s="201"/>
      <c r="E99" s="201"/>
      <c r="F99" s="99"/>
      <c r="I99" s="122"/>
    </row>
    <row r="100" spans="1:9">
      <c r="A100" s="123"/>
      <c r="C100" s="202" t="s">
        <v>11</v>
      </c>
      <c r="D100" s="202"/>
      <c r="E100" s="202"/>
      <c r="F100" s="37"/>
      <c r="I100" s="124" t="s">
        <v>12</v>
      </c>
    </row>
    <row r="101" spans="1:9" ht="15.75">
      <c r="A101" s="38"/>
      <c r="C101" s="14"/>
      <c r="D101" s="14"/>
      <c r="G101" s="14"/>
      <c r="H101" s="14"/>
    </row>
    <row r="102" spans="1:9" ht="15.75">
      <c r="B102" s="125" t="s">
        <v>13</v>
      </c>
      <c r="C102" s="203"/>
      <c r="D102" s="203"/>
      <c r="E102" s="203"/>
      <c r="F102" s="100"/>
      <c r="I102" s="122"/>
    </row>
    <row r="103" spans="1:9">
      <c r="A103" s="123"/>
      <c r="C103" s="204" t="s">
        <v>11</v>
      </c>
      <c r="D103" s="204"/>
      <c r="E103" s="204"/>
      <c r="F103" s="123"/>
      <c r="I103" s="124" t="s">
        <v>12</v>
      </c>
    </row>
    <row r="104" spans="1:9" ht="15.75">
      <c r="A104" s="4" t="s">
        <v>14</v>
      </c>
    </row>
    <row r="105" spans="1:9">
      <c r="A105" s="205" t="s">
        <v>15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45" customHeight="1">
      <c r="A106" s="196" t="s">
        <v>16</v>
      </c>
      <c r="B106" s="196"/>
      <c r="C106" s="196"/>
      <c r="D106" s="196"/>
      <c r="E106" s="196"/>
      <c r="F106" s="196"/>
      <c r="G106" s="196"/>
      <c r="H106" s="196"/>
      <c r="I106" s="196"/>
    </row>
    <row r="107" spans="1:9" ht="30" customHeight="1">
      <c r="A107" s="196" t="s">
        <v>17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30" customHeight="1">
      <c r="A108" s="196" t="s">
        <v>22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" customHeight="1">
      <c r="A109" s="196" t="s">
        <v>21</v>
      </c>
      <c r="B109" s="196"/>
      <c r="C109" s="196"/>
      <c r="D109" s="196"/>
      <c r="E109" s="196"/>
      <c r="F109" s="196"/>
      <c r="G109" s="196"/>
      <c r="H109" s="196"/>
      <c r="I109" s="196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3:E103"/>
    <mergeCell ref="A84:I84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80:I80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view="pageBreakPreview" topLeftCell="A57" zoomScale="60" workbookViewId="0">
      <selection activeCell="D30" sqref="D30:D3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197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236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43616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8.2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customHeight="1">
      <c r="A19" s="42">
        <v>4</v>
      </c>
      <c r="B19" s="103" t="s">
        <v>165</v>
      </c>
      <c r="C19" s="104" t="s">
        <v>166</v>
      </c>
      <c r="D19" s="103" t="s">
        <v>263</v>
      </c>
      <c r="E19" s="105">
        <v>32.4</v>
      </c>
      <c r="F19" s="106">
        <f>SUM(E19/10)</f>
        <v>3.2399999999999998</v>
      </c>
      <c r="G19" s="106">
        <v>211.74</v>
      </c>
      <c r="H19" s="107">
        <f t="shared" ref="H19:H27" si="1">SUM(F19*G19/1000)</f>
        <v>0.68603760000000003</v>
      </c>
      <c r="I19" s="19">
        <f>F19*G19</f>
        <v>686.0376</v>
      </c>
      <c r="J19" s="35"/>
      <c r="K19" s="10"/>
      <c r="L19" s="10"/>
      <c r="M19" s="10"/>
    </row>
    <row r="20" spans="1:13" ht="15.75" customHeight="1">
      <c r="A20" s="42">
        <v>5</v>
      </c>
      <c r="B20" s="103" t="s">
        <v>168</v>
      </c>
      <c r="C20" s="104" t="s">
        <v>138</v>
      </c>
      <c r="D20" s="103" t="s">
        <v>233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f t="shared" ref="I20:I21" si="2">F20/2*G20</f>
        <v>28.467600000000001</v>
      </c>
      <c r="J20" s="35"/>
      <c r="K20" s="10"/>
      <c r="L20" s="10"/>
      <c r="M20" s="10"/>
    </row>
    <row r="21" spans="1:13" ht="15.75" customHeight="1">
      <c r="A21" s="42">
        <v>6</v>
      </c>
      <c r="B21" s="103" t="s">
        <v>169</v>
      </c>
      <c r="C21" s="104" t="s">
        <v>138</v>
      </c>
      <c r="D21" s="103" t="s">
        <v>233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f t="shared" si="2"/>
        <v>27.107136000000001</v>
      </c>
      <c r="J21" s="35"/>
      <c r="K21" s="10"/>
      <c r="L21" s="10"/>
      <c r="M21" s="10"/>
    </row>
    <row r="22" spans="1:13" ht="15.75" customHeight="1">
      <c r="A22" s="42">
        <v>7</v>
      </c>
      <c r="B22" s="103" t="s">
        <v>170</v>
      </c>
      <c r="C22" s="104" t="s">
        <v>62</v>
      </c>
      <c r="D22" s="103" t="s">
        <v>264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customHeight="1">
      <c r="A23" s="42">
        <v>8</v>
      </c>
      <c r="B23" s="103" t="s">
        <v>171</v>
      </c>
      <c r="C23" s="104" t="s">
        <v>62</v>
      </c>
      <c r="D23" s="103" t="s">
        <v>233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f t="shared" ref="I23:I26" si="3">F23*G23</f>
        <v>9.7196400000000001</v>
      </c>
      <c r="J23" s="35"/>
      <c r="K23" s="10"/>
      <c r="L23" s="10"/>
      <c r="M23" s="10"/>
    </row>
    <row r="24" spans="1:13" ht="15.75" customHeight="1">
      <c r="A24" s="42">
        <v>9</v>
      </c>
      <c r="B24" s="103" t="s">
        <v>172</v>
      </c>
      <c r="C24" s="104" t="s">
        <v>62</v>
      </c>
      <c r="D24" s="103" t="s">
        <v>264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f t="shared" si="3"/>
        <v>52.373520000000006</v>
      </c>
      <c r="J24" s="35"/>
      <c r="K24" s="10"/>
      <c r="L24" s="10"/>
      <c r="M24" s="10"/>
    </row>
    <row r="25" spans="1:13" ht="31.5" customHeight="1">
      <c r="A25" s="42">
        <v>10</v>
      </c>
      <c r="B25" s="103" t="s">
        <v>174</v>
      </c>
      <c r="C25" s="104" t="s">
        <v>62</v>
      </c>
      <c r="D25" s="103" t="s">
        <v>233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f t="shared" si="3"/>
        <v>34.959600000000002</v>
      </c>
      <c r="J25" s="35"/>
      <c r="K25" s="10"/>
      <c r="L25" s="10"/>
      <c r="M25" s="10"/>
    </row>
    <row r="26" spans="1:13" ht="15.75" customHeight="1">
      <c r="A26" s="42">
        <v>11</v>
      </c>
      <c r="B26" s="103" t="s">
        <v>175</v>
      </c>
      <c r="C26" s="104" t="s">
        <v>62</v>
      </c>
      <c r="D26" s="103" t="s">
        <v>264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f t="shared" si="3"/>
        <v>93.319200000000009</v>
      </c>
      <c r="J26" s="35"/>
      <c r="K26" s="10"/>
      <c r="L26" s="10"/>
      <c r="M26" s="10"/>
    </row>
    <row r="27" spans="1:13" ht="15.75" customHeight="1">
      <c r="A27" s="42">
        <v>12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13</v>
      </c>
      <c r="B30" s="51" t="s">
        <v>187</v>
      </c>
      <c r="C30" s="104" t="s">
        <v>155</v>
      </c>
      <c r="D30" s="103" t="s">
        <v>245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4" si="4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14</v>
      </c>
      <c r="B31" s="51" t="s">
        <v>188</v>
      </c>
      <c r="C31" s="104" t="s">
        <v>155</v>
      </c>
      <c r="D31" s="103" t="s">
        <v>244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4"/>
        <v>1.4609340719999999</v>
      </c>
      <c r="I31" s="19">
        <f t="shared" ref="I31" si="5">F31/6*G31</f>
        <v>243.489012</v>
      </c>
      <c r="J31" s="35"/>
      <c r="K31" s="10"/>
      <c r="L31" s="10"/>
      <c r="M31" s="10"/>
    </row>
    <row r="32" spans="1:13">
      <c r="A32" s="64">
        <v>15</v>
      </c>
      <c r="B32" s="51" t="s">
        <v>30</v>
      </c>
      <c r="C32" s="104" t="s">
        <v>155</v>
      </c>
      <c r="D32" s="103" t="s">
        <v>232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4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4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176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4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6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150</v>
      </c>
      <c r="C37" s="104" t="s">
        <v>32</v>
      </c>
      <c r="D37" s="103" t="s">
        <v>151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6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152</v>
      </c>
      <c r="C38" s="104" t="s">
        <v>153</v>
      </c>
      <c r="D38" s="103" t="s">
        <v>87</v>
      </c>
      <c r="E38" s="105"/>
      <c r="F38" s="106">
        <v>39</v>
      </c>
      <c r="G38" s="106">
        <v>226.84</v>
      </c>
      <c r="H38" s="107">
        <f t="shared" si="6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154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6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118</v>
      </c>
      <c r="C40" s="104" t="s">
        <v>155</v>
      </c>
      <c r="D40" s="103" t="s">
        <v>156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6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157</v>
      </c>
      <c r="C41" s="104" t="s">
        <v>155</v>
      </c>
      <c r="D41" s="103" t="s">
        <v>158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6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6"/>
        <v>0.89367300000000005</v>
      </c>
      <c r="I42" s="19">
        <f>F42/6*G42</f>
        <v>148.94550000000001</v>
      </c>
      <c r="J42" s="36"/>
    </row>
    <row r="43" spans="1:14" ht="15.75" customHeight="1">
      <c r="A43" s="211" t="s">
        <v>160</v>
      </c>
      <c r="B43" s="212"/>
      <c r="C43" s="212"/>
      <c r="D43" s="212"/>
      <c r="E43" s="212"/>
      <c r="F43" s="212"/>
      <c r="G43" s="212"/>
      <c r="H43" s="212"/>
      <c r="I43" s="213"/>
      <c r="J43" s="36"/>
    </row>
    <row r="44" spans="1:14" ht="15.75" customHeight="1">
      <c r="A44" s="64">
        <v>16</v>
      </c>
      <c r="B44" s="103" t="s">
        <v>177</v>
      </c>
      <c r="C44" s="104" t="s">
        <v>155</v>
      </c>
      <c r="D44" s="103" t="s">
        <v>233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7">SUM(F44*G44/1000)</f>
        <v>2.2622265960000001</v>
      </c>
      <c r="I44" s="19">
        <f t="shared" ref="I44:I46" si="8">F44/2*G44</f>
        <v>1131.113298</v>
      </c>
      <c r="J44" s="36"/>
    </row>
    <row r="45" spans="1:14" ht="15.75" customHeight="1">
      <c r="A45" s="64">
        <v>17</v>
      </c>
      <c r="B45" s="103" t="s">
        <v>40</v>
      </c>
      <c r="C45" s="104" t="s">
        <v>155</v>
      </c>
      <c r="D45" s="103" t="s">
        <v>233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7"/>
        <v>3.2159742784000001</v>
      </c>
      <c r="I45" s="19">
        <f t="shared" si="8"/>
        <v>1607.9871392</v>
      </c>
      <c r="J45" s="36"/>
    </row>
    <row r="46" spans="1:14" ht="15.75" customHeight="1">
      <c r="A46" s="64">
        <v>18</v>
      </c>
      <c r="B46" s="103" t="s">
        <v>41</v>
      </c>
      <c r="C46" s="104" t="s">
        <v>155</v>
      </c>
      <c r="D46" s="103" t="s">
        <v>233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7"/>
        <v>2.9431196201999996</v>
      </c>
      <c r="I46" s="19">
        <f t="shared" si="8"/>
        <v>1471.5598100999998</v>
      </c>
      <c r="J46" s="36"/>
    </row>
    <row r="47" spans="1:14" ht="15.75" customHeight="1">
      <c r="A47" s="64">
        <v>19</v>
      </c>
      <c r="B47" s="103" t="s">
        <v>37</v>
      </c>
      <c r="C47" s="104" t="s">
        <v>38</v>
      </c>
      <c r="D47" s="103" t="s">
        <v>233</v>
      </c>
      <c r="E47" s="105">
        <v>65.03</v>
      </c>
      <c r="F47" s="106">
        <f>SUM(E47*2/100)</f>
        <v>1.3006</v>
      </c>
      <c r="G47" s="19">
        <v>90.61</v>
      </c>
      <c r="H47" s="107">
        <f t="shared" si="7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customHeight="1">
      <c r="A48" s="64">
        <v>20</v>
      </c>
      <c r="B48" s="103" t="s">
        <v>70</v>
      </c>
      <c r="C48" s="104" t="s">
        <v>155</v>
      </c>
      <c r="D48" s="103" t="s">
        <v>233</v>
      </c>
      <c r="E48" s="105">
        <v>2062.5</v>
      </c>
      <c r="F48" s="106">
        <f>SUM(E48*5/1000)</f>
        <v>10.3125</v>
      </c>
      <c r="G48" s="19">
        <v>1711.28</v>
      </c>
      <c r="H48" s="107">
        <f t="shared" si="7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2.25" customHeight="1">
      <c r="A49" s="64">
        <v>21</v>
      </c>
      <c r="B49" s="103" t="s">
        <v>144</v>
      </c>
      <c r="C49" s="104" t="s">
        <v>155</v>
      </c>
      <c r="D49" s="103" t="s">
        <v>233</v>
      </c>
      <c r="E49" s="105">
        <v>2062.5</v>
      </c>
      <c r="F49" s="106">
        <f>SUM(E49*2/1000)</f>
        <v>4.125</v>
      </c>
      <c r="G49" s="19">
        <v>1510.06</v>
      </c>
      <c r="H49" s="107">
        <f t="shared" si="7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customHeight="1">
      <c r="A50" s="64">
        <v>22</v>
      </c>
      <c r="B50" s="103" t="s">
        <v>145</v>
      </c>
      <c r="C50" s="104" t="s">
        <v>44</v>
      </c>
      <c r="D50" s="103" t="s">
        <v>233</v>
      </c>
      <c r="E50" s="105">
        <v>12</v>
      </c>
      <c r="F50" s="106">
        <f>SUM(E50*2/100)</f>
        <v>0.24</v>
      </c>
      <c r="G50" s="19">
        <v>3850.4</v>
      </c>
      <c r="H50" s="107">
        <f t="shared" si="7"/>
        <v>0.92409600000000003</v>
      </c>
      <c r="I50" s="19">
        <f t="shared" ref="I50:I51" si="9">F50/2*G50</f>
        <v>462.048</v>
      </c>
      <c r="J50" s="36"/>
      <c r="L50" s="28"/>
      <c r="M50" s="29"/>
      <c r="N50" s="30"/>
    </row>
    <row r="51" spans="1:14" ht="16.5" customHeight="1">
      <c r="A51" s="64">
        <v>23</v>
      </c>
      <c r="B51" s="103" t="s">
        <v>45</v>
      </c>
      <c r="C51" s="104" t="s">
        <v>46</v>
      </c>
      <c r="D51" s="103" t="s">
        <v>233</v>
      </c>
      <c r="E51" s="105">
        <v>1</v>
      </c>
      <c r="F51" s="106">
        <v>0.02</v>
      </c>
      <c r="G51" s="19">
        <v>7033.13</v>
      </c>
      <c r="H51" s="107">
        <f t="shared" si="7"/>
        <v>0.1406626</v>
      </c>
      <c r="I51" s="19">
        <f t="shared" si="9"/>
        <v>70.331299999999999</v>
      </c>
      <c r="J51" s="36"/>
      <c r="L51" s="28"/>
      <c r="M51" s="29"/>
      <c r="N51" s="30"/>
    </row>
    <row r="52" spans="1:14" ht="15.75" customHeight="1">
      <c r="A52" s="64">
        <v>24</v>
      </c>
      <c r="B52" s="103" t="s">
        <v>48</v>
      </c>
      <c r="C52" s="104" t="s">
        <v>130</v>
      </c>
      <c r="D52" s="193">
        <v>43602</v>
      </c>
      <c r="E52" s="105">
        <v>72</v>
      </c>
      <c r="F52" s="106">
        <f>SUM(E52)*3</f>
        <v>216</v>
      </c>
      <c r="G52" s="19">
        <v>81.73</v>
      </c>
      <c r="H52" s="107">
        <f t="shared" si="7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11" t="s">
        <v>161</v>
      </c>
      <c r="B53" s="214"/>
      <c r="C53" s="214"/>
      <c r="D53" s="214"/>
      <c r="E53" s="214"/>
      <c r="F53" s="214"/>
      <c r="G53" s="214"/>
      <c r="H53" s="214"/>
      <c r="I53" s="21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178</v>
      </c>
      <c r="C55" s="104" t="s">
        <v>138</v>
      </c>
      <c r="D55" s="103" t="s">
        <v>179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186</v>
      </c>
      <c r="C56" s="104" t="s">
        <v>206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180</v>
      </c>
      <c r="C58" s="104" t="s">
        <v>138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25</v>
      </c>
      <c r="B59" s="113" t="s">
        <v>146</v>
      </c>
      <c r="C59" s="112" t="s">
        <v>27</v>
      </c>
      <c r="D59" s="113" t="s">
        <v>233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17</v>
      </c>
      <c r="B61" s="21" t="s">
        <v>54</v>
      </c>
      <c r="C61" s="23" t="s">
        <v>130</v>
      </c>
      <c r="D61" s="21" t="s">
        <v>87</v>
      </c>
      <c r="E61" s="26">
        <v>2</v>
      </c>
      <c r="F61" s="106">
        <f>E61</f>
        <v>2</v>
      </c>
      <c r="G61" s="19">
        <v>276.74</v>
      </c>
      <c r="H61" s="102">
        <f t="shared" ref="H61:H69" si="10">SUM(F61*G61/1000)</f>
        <v>0.55347999999999997</v>
      </c>
      <c r="I61" s="19">
        <v>0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10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27</v>
      </c>
      <c r="B63" s="21" t="s">
        <v>56</v>
      </c>
      <c r="C63" s="23" t="s">
        <v>181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10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28</v>
      </c>
      <c r="B64" s="21" t="s">
        <v>57</v>
      </c>
      <c r="C64" s="23" t="s">
        <v>182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10"/>
        <v>1.7693409899999997</v>
      </c>
      <c r="I64" s="19">
        <f t="shared" ref="I64:I67" si="11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29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10"/>
        <v>35.366961000000003</v>
      </c>
      <c r="I65" s="19">
        <f t="shared" si="11"/>
        <v>35366.961000000003</v>
      </c>
      <c r="J65" s="36"/>
      <c r="L65" s="28"/>
      <c r="M65" s="29"/>
      <c r="N65" s="30"/>
    </row>
    <row r="66" spans="1:22" ht="15.75" hidden="1" customHeight="1">
      <c r="A66" s="42">
        <v>30</v>
      </c>
      <c r="B66" s="115" t="s">
        <v>183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10"/>
        <v>0.40806999999999999</v>
      </c>
      <c r="I66" s="19">
        <f t="shared" si="11"/>
        <v>408.07</v>
      </c>
      <c r="J66" s="36"/>
      <c r="L66" s="28"/>
      <c r="M66" s="29"/>
      <c r="N66" s="30"/>
    </row>
    <row r="67" spans="1:22" ht="15.75" hidden="1" customHeight="1">
      <c r="A67" s="42">
        <v>31</v>
      </c>
      <c r="B67" s="115" t="s">
        <v>207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10"/>
        <v>0.38072200000000006</v>
      </c>
      <c r="I67" s="19">
        <f t="shared" si="11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10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26</v>
      </c>
      <c r="B69" s="21" t="s">
        <v>148</v>
      </c>
      <c r="C69" s="42" t="s">
        <v>149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10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208</v>
      </c>
      <c r="C71" s="23" t="s">
        <v>209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2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210</v>
      </c>
      <c r="C72" s="23" t="s">
        <v>211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2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2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191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3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04"/>
      <c r="S76" s="204"/>
      <c r="T76" s="204"/>
      <c r="U76" s="204"/>
    </row>
    <row r="77" spans="1:22" ht="15.75" hidden="1" customHeight="1">
      <c r="A77" s="119"/>
      <c r="B77" s="121" t="s">
        <v>147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184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16" t="s">
        <v>162</v>
      </c>
      <c r="B79" s="217"/>
      <c r="C79" s="217"/>
      <c r="D79" s="217"/>
      <c r="E79" s="217"/>
      <c r="F79" s="217"/>
      <c r="G79" s="217"/>
      <c r="H79" s="217"/>
      <c r="I79" s="2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27</v>
      </c>
      <c r="B80" s="103" t="s">
        <v>185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28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112</v>
      </c>
      <c r="C82" s="64"/>
      <c r="D82" s="22"/>
      <c r="E82" s="22"/>
      <c r="F82" s="22"/>
      <c r="G82" s="26"/>
      <c r="H82" s="26"/>
      <c r="I82" s="49">
        <f>I81+I80+I69+I59+I52+I51+I50+I49+I48+I47+I46+I45+I44+I32+I31+I30+I27+I26+I25+I24+I23+I22+I21+I20+I19+I18+I17+I16</f>
        <v>42710.112952966672</v>
      </c>
    </row>
    <row r="83" spans="1:9" ht="15.75" customHeight="1">
      <c r="A83" s="197" t="s">
        <v>75</v>
      </c>
      <c r="B83" s="198"/>
      <c r="C83" s="198"/>
      <c r="D83" s="198"/>
      <c r="E83" s="198"/>
      <c r="F83" s="198"/>
      <c r="G83" s="198"/>
      <c r="H83" s="198"/>
      <c r="I83" s="199"/>
    </row>
    <row r="84" spans="1:9" ht="30.75" customHeight="1">
      <c r="A84" s="135">
        <v>29</v>
      </c>
      <c r="B84" s="90" t="s">
        <v>223</v>
      </c>
      <c r="C84" s="91" t="s">
        <v>44</v>
      </c>
      <c r="D84" s="75"/>
      <c r="E84" s="55"/>
      <c r="F84" s="55">
        <f>(3+3+3+3+3+3+7)/3</f>
        <v>8.3333333333333339</v>
      </c>
      <c r="G84" s="55">
        <v>3914.31</v>
      </c>
      <c r="H84" s="137">
        <f t="shared" ref="H84" si="14">G84*F84/1000</f>
        <v>32.619250000000001</v>
      </c>
      <c r="I84" s="138">
        <f>G84*0.01</f>
        <v>39.143099999999997</v>
      </c>
    </row>
    <row r="85" spans="1:9" ht="28.5" customHeight="1">
      <c r="A85" s="178">
        <v>30</v>
      </c>
      <c r="B85" s="90" t="s">
        <v>213</v>
      </c>
      <c r="C85" s="91" t="s">
        <v>214</v>
      </c>
      <c r="D85" s="156"/>
      <c r="E85" s="148"/>
      <c r="F85" s="148"/>
      <c r="G85" s="55">
        <v>59.21</v>
      </c>
      <c r="H85" s="179"/>
      <c r="I85" s="180">
        <f>G85*1</f>
        <v>59.21</v>
      </c>
    </row>
    <row r="86" spans="1:9" ht="29.25" customHeight="1">
      <c r="A86" s="178">
        <v>31</v>
      </c>
      <c r="B86" s="90" t="s">
        <v>227</v>
      </c>
      <c r="C86" s="91" t="s">
        <v>218</v>
      </c>
      <c r="D86" s="156"/>
      <c r="E86" s="148"/>
      <c r="F86" s="148"/>
      <c r="G86" s="55">
        <v>26095.37</v>
      </c>
      <c r="H86" s="179"/>
      <c r="I86" s="180">
        <f>G86*0.03</f>
        <v>782.86109999999996</v>
      </c>
    </row>
    <row r="87" spans="1:9" ht="29.25" customHeight="1">
      <c r="A87" s="178">
        <v>32</v>
      </c>
      <c r="B87" s="181" t="s">
        <v>237</v>
      </c>
      <c r="C87" s="182" t="s">
        <v>215</v>
      </c>
      <c r="D87" s="185" t="s">
        <v>238</v>
      </c>
      <c r="E87" s="183"/>
      <c r="F87" s="183"/>
      <c r="G87" s="184">
        <v>1465</v>
      </c>
      <c r="H87" s="179"/>
      <c r="I87" s="180">
        <f>G87*0.5</f>
        <v>732.5</v>
      </c>
    </row>
    <row r="88" spans="1:9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SUM(I84:I87)</f>
        <v>1613.7141999999999</v>
      </c>
    </row>
    <row r="89" spans="1:9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9" ht="15.75" customHeight="1">
      <c r="A90" s="79"/>
      <c r="B90" s="70" t="s">
        <v>212</v>
      </c>
      <c r="C90" s="53"/>
      <c r="D90" s="53"/>
      <c r="E90" s="53"/>
      <c r="F90" s="53"/>
      <c r="G90" s="53"/>
      <c r="H90" s="53"/>
      <c r="I90" s="68">
        <f>I82+I88</f>
        <v>44323.827152966674</v>
      </c>
    </row>
    <row r="91" spans="1:9" ht="15.75">
      <c r="A91" s="206" t="s">
        <v>265</v>
      </c>
      <c r="B91" s="206"/>
      <c r="C91" s="206"/>
      <c r="D91" s="206"/>
      <c r="E91" s="206"/>
      <c r="F91" s="206"/>
      <c r="G91" s="206"/>
      <c r="H91" s="206"/>
      <c r="I91" s="206"/>
    </row>
    <row r="92" spans="1:9" ht="15.75" customHeight="1">
      <c r="A92" s="97"/>
      <c r="B92" s="207" t="s">
        <v>266</v>
      </c>
      <c r="C92" s="207"/>
      <c r="D92" s="207"/>
      <c r="E92" s="207"/>
      <c r="F92" s="207"/>
      <c r="G92" s="207"/>
      <c r="H92" s="101"/>
      <c r="I92" s="3"/>
    </row>
    <row r="93" spans="1:9">
      <c r="A93" s="123"/>
      <c r="B93" s="202" t="s">
        <v>6</v>
      </c>
      <c r="C93" s="202"/>
      <c r="D93" s="202"/>
      <c r="E93" s="202"/>
      <c r="F93" s="202"/>
      <c r="G93" s="202"/>
      <c r="H93" s="37"/>
      <c r="I93" s="5"/>
    </row>
    <row r="94" spans="1:9" ht="8.2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>
      <c r="A95" s="208" t="s">
        <v>7</v>
      </c>
      <c r="B95" s="208"/>
      <c r="C95" s="208"/>
      <c r="D95" s="208"/>
      <c r="E95" s="208"/>
      <c r="F95" s="208"/>
      <c r="G95" s="208"/>
      <c r="H95" s="208"/>
      <c r="I95" s="208"/>
    </row>
    <row r="96" spans="1:9" ht="16.5" customHeight="1">
      <c r="A96" s="208" t="s">
        <v>8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9" t="s">
        <v>78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 customHeight="1">
      <c r="A98" s="13"/>
    </row>
    <row r="99" spans="1:9" ht="15.75" customHeight="1">
      <c r="A99" s="200" t="s">
        <v>9</v>
      </c>
      <c r="B99" s="200"/>
      <c r="C99" s="200"/>
      <c r="D99" s="200"/>
      <c r="E99" s="200"/>
      <c r="F99" s="200"/>
      <c r="G99" s="200"/>
      <c r="H99" s="200"/>
      <c r="I99" s="200"/>
    </row>
    <row r="100" spans="1:9" ht="15.75">
      <c r="A100" s="4"/>
    </row>
    <row r="101" spans="1:9" ht="15.75" customHeight="1">
      <c r="B101" s="125" t="s">
        <v>10</v>
      </c>
      <c r="C101" s="201" t="s">
        <v>163</v>
      </c>
      <c r="D101" s="201"/>
      <c r="E101" s="201"/>
      <c r="F101" s="99"/>
      <c r="I101" s="122"/>
    </row>
    <row r="102" spans="1:9">
      <c r="A102" s="123"/>
      <c r="C102" s="202" t="s">
        <v>11</v>
      </c>
      <c r="D102" s="202"/>
      <c r="E102" s="202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03"/>
      <c r="D104" s="203"/>
      <c r="E104" s="203"/>
      <c r="F104" s="100"/>
      <c r="I104" s="122"/>
    </row>
    <row r="105" spans="1:9">
      <c r="A105" s="123"/>
      <c r="C105" s="204" t="s">
        <v>11</v>
      </c>
      <c r="D105" s="204"/>
      <c r="E105" s="204"/>
      <c r="F105" s="123"/>
      <c r="I105" s="124" t="s">
        <v>12</v>
      </c>
    </row>
    <row r="106" spans="1:9" ht="15.75">
      <c r="A106" s="4" t="s">
        <v>14</v>
      </c>
    </row>
    <row r="107" spans="1:9">
      <c r="A107" s="205" t="s">
        <v>15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45" customHeight="1">
      <c r="A108" s="196" t="s">
        <v>16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30" customHeight="1">
      <c r="A109" s="196" t="s">
        <v>17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22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" customHeight="1">
      <c r="A111" s="196" t="s">
        <v>21</v>
      </c>
      <c r="B111" s="196"/>
      <c r="C111" s="196"/>
      <c r="D111" s="196"/>
      <c r="E111" s="196"/>
      <c r="F111" s="196"/>
      <c r="G111" s="196"/>
      <c r="H111" s="196"/>
      <c r="I111" s="19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5:E105"/>
    <mergeCell ref="A83:I83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9:I79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98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D31" sqref="D31:D3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198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239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43646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0" t="s">
        <v>120</v>
      </c>
      <c r="B29" s="210"/>
      <c r="C29" s="210"/>
      <c r="D29" s="210"/>
      <c r="E29" s="210"/>
      <c r="F29" s="210"/>
      <c r="G29" s="210"/>
      <c r="H29" s="210"/>
      <c r="I29" s="210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5</v>
      </c>
      <c r="B31" s="51" t="s">
        <v>187</v>
      </c>
      <c r="C31" s="104" t="s">
        <v>155</v>
      </c>
      <c r="D31" s="103" t="s">
        <v>245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5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6</v>
      </c>
      <c r="B32" s="51" t="s">
        <v>188</v>
      </c>
      <c r="C32" s="104" t="s">
        <v>155</v>
      </c>
      <c r="D32" s="103" t="s">
        <v>244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" si="3">F32/6*G32</f>
        <v>243.489012</v>
      </c>
      <c r="J32" s="35"/>
      <c r="K32" s="10"/>
      <c r="L32" s="10"/>
      <c r="M32" s="10"/>
    </row>
    <row r="33" spans="1:14" hidden="1">
      <c r="A33" s="64">
        <v>16</v>
      </c>
      <c r="B33" s="51" t="s">
        <v>30</v>
      </c>
      <c r="C33" s="104" t="s">
        <v>155</v>
      </c>
      <c r="D33" s="103" t="s">
        <v>232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2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176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2"/>
        <v>1.4139600000000001</v>
      </c>
      <c r="I35" s="19">
        <v>0</v>
      </c>
      <c r="J35" s="35"/>
      <c r="K35" s="10"/>
      <c r="L35" s="10"/>
      <c r="M35" s="10"/>
    </row>
    <row r="36" spans="1:14" hidden="1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hidden="1" customHeight="1">
      <c r="A37" s="52">
        <v>6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4">SUM(F37*G37/1000)</f>
        <v>9.5018499999999992</v>
      </c>
      <c r="I37" s="19">
        <f>F37/6*G37</f>
        <v>1583.6416666666667</v>
      </c>
      <c r="J37" s="35"/>
      <c r="K37" s="10"/>
      <c r="L37" s="10"/>
      <c r="M37" s="10"/>
    </row>
    <row r="38" spans="1:14" ht="15.75" hidden="1" customHeight="1">
      <c r="A38" s="52">
        <v>7</v>
      </c>
      <c r="B38" s="103" t="s">
        <v>150</v>
      </c>
      <c r="C38" s="104" t="s">
        <v>32</v>
      </c>
      <c r="D38" s="103" t="s">
        <v>151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4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152</v>
      </c>
      <c r="C39" s="104" t="s">
        <v>153</v>
      </c>
      <c r="D39" s="103" t="s">
        <v>87</v>
      </c>
      <c r="E39" s="105"/>
      <c r="F39" s="106">
        <v>39</v>
      </c>
      <c r="G39" s="106">
        <v>226.84</v>
      </c>
      <c r="H39" s="107">
        <f t="shared" si="4"/>
        <v>8.8467599999999997</v>
      </c>
      <c r="I39" s="19">
        <v>0</v>
      </c>
      <c r="J39" s="35"/>
      <c r="K39" s="10"/>
      <c r="L39" s="10"/>
      <c r="M39" s="10"/>
    </row>
    <row r="40" spans="1:14" ht="15.75" hidden="1" customHeight="1">
      <c r="A40" s="52">
        <v>8</v>
      </c>
      <c r="B40" s="103" t="s">
        <v>90</v>
      </c>
      <c r="C40" s="104" t="s">
        <v>32</v>
      </c>
      <c r="D40" s="103" t="s">
        <v>154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4"/>
        <v>3.9372154500000001</v>
      </c>
      <c r="I40" s="19">
        <f>F40/6*G40</f>
        <v>656.20257500000002</v>
      </c>
      <c r="J40" s="35"/>
      <c r="K40" s="10"/>
    </row>
    <row r="41" spans="1:14" ht="45" hidden="1" customHeight="1">
      <c r="A41" s="52">
        <v>9</v>
      </c>
      <c r="B41" s="103" t="s">
        <v>118</v>
      </c>
      <c r="C41" s="104" t="s">
        <v>155</v>
      </c>
      <c r="D41" s="103" t="s">
        <v>156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4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10</v>
      </c>
      <c r="B42" s="103" t="s">
        <v>157</v>
      </c>
      <c r="C42" s="104" t="s">
        <v>155</v>
      </c>
      <c r="D42" s="103" t="s">
        <v>158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4"/>
        <v>0.62093579999999993</v>
      </c>
      <c r="I42" s="19">
        <f>F42/6*G42</f>
        <v>103.4893</v>
      </c>
      <c r="J42" s="36"/>
    </row>
    <row r="43" spans="1:14" ht="15.75" hidden="1" customHeight="1">
      <c r="A43" s="52">
        <v>11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4"/>
        <v>0.89367300000000005</v>
      </c>
      <c r="I43" s="19">
        <f>F43/6*G43</f>
        <v>148.94550000000001</v>
      </c>
      <c r="J43" s="36"/>
    </row>
    <row r="44" spans="1:14" ht="15.75" hidden="1" customHeight="1">
      <c r="A44" s="211" t="s">
        <v>160</v>
      </c>
      <c r="B44" s="212"/>
      <c r="C44" s="212"/>
      <c r="D44" s="212"/>
      <c r="E44" s="212"/>
      <c r="F44" s="212"/>
      <c r="G44" s="212"/>
      <c r="H44" s="212"/>
      <c r="I44" s="213"/>
      <c r="J44" s="36"/>
    </row>
    <row r="45" spans="1:14" ht="15.75" hidden="1" customHeight="1">
      <c r="A45" s="64">
        <v>18</v>
      </c>
      <c r="B45" s="103" t="s">
        <v>177</v>
      </c>
      <c r="C45" s="104" t="s">
        <v>155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5">SUM(F45*G45/1000)</f>
        <v>2.2622265960000001</v>
      </c>
      <c r="I45" s="19">
        <f t="shared" ref="I45:I47" si="6">F45/2*G45</f>
        <v>1131.113298</v>
      </c>
      <c r="J45" s="36"/>
    </row>
    <row r="46" spans="1:14" ht="15.75" hidden="1" customHeight="1">
      <c r="A46" s="64">
        <v>19</v>
      </c>
      <c r="B46" s="103" t="s">
        <v>40</v>
      </c>
      <c r="C46" s="104" t="s">
        <v>155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5"/>
        <v>3.2159742784000001</v>
      </c>
      <c r="I46" s="19">
        <f t="shared" si="6"/>
        <v>1607.9871392</v>
      </c>
      <c r="J46" s="36"/>
    </row>
    <row r="47" spans="1:14" ht="15.75" hidden="1" customHeight="1">
      <c r="A47" s="64">
        <v>20</v>
      </c>
      <c r="B47" s="103" t="s">
        <v>41</v>
      </c>
      <c r="C47" s="104" t="s">
        <v>155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5"/>
        <v>2.9431196201999996</v>
      </c>
      <c r="I47" s="19">
        <f t="shared" si="6"/>
        <v>1471.5598100999998</v>
      </c>
      <c r="J47" s="36"/>
    </row>
    <row r="48" spans="1:14" ht="15.75" hidden="1" customHeight="1">
      <c r="A48" s="64">
        <v>21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5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hidden="1" customHeight="1">
      <c r="A49" s="64">
        <v>22</v>
      </c>
      <c r="B49" s="103" t="s">
        <v>70</v>
      </c>
      <c r="C49" s="104" t="s">
        <v>155</v>
      </c>
      <c r="D49" s="103" t="s">
        <v>190</v>
      </c>
      <c r="E49" s="105">
        <v>2062.5</v>
      </c>
      <c r="F49" s="106">
        <f>SUM(E49*5/1000)</f>
        <v>10.3125</v>
      </c>
      <c r="G49" s="19">
        <v>1711.28</v>
      </c>
      <c r="H49" s="107">
        <f t="shared" si="5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144</v>
      </c>
      <c r="C50" s="104" t="s">
        <v>155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5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145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5"/>
        <v>0.92409600000000003</v>
      </c>
      <c r="I51" s="19">
        <f t="shared" ref="I51:I52" si="7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5"/>
        <v>0.1406626</v>
      </c>
      <c r="I52" s="19">
        <f t="shared" si="7"/>
        <v>70.331299999999999</v>
      </c>
      <c r="J52" s="36"/>
      <c r="L52" s="28"/>
      <c r="M52" s="29"/>
      <c r="N52" s="30"/>
    </row>
    <row r="53" spans="1:14" ht="15.75" hidden="1" customHeight="1">
      <c r="A53" s="64">
        <v>23</v>
      </c>
      <c r="B53" s="103" t="s">
        <v>48</v>
      </c>
      <c r="C53" s="104" t="s">
        <v>130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5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11" t="s">
        <v>194</v>
      </c>
      <c r="B54" s="214"/>
      <c r="C54" s="214"/>
      <c r="D54" s="214"/>
      <c r="E54" s="214"/>
      <c r="F54" s="214"/>
      <c r="G54" s="214"/>
      <c r="H54" s="214"/>
      <c r="I54" s="215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14</v>
      </c>
      <c r="B56" s="103" t="s">
        <v>178</v>
      </c>
      <c r="C56" s="104" t="s">
        <v>138</v>
      </c>
      <c r="D56" s="103" t="s">
        <v>179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F56/6*G56</f>
        <v>1275.5608599999998</v>
      </c>
      <c r="J56" s="36"/>
      <c r="L56" s="28"/>
      <c r="M56" s="29"/>
      <c r="N56" s="30"/>
    </row>
    <row r="57" spans="1:14" ht="15.75" hidden="1" customHeight="1">
      <c r="A57" s="64">
        <v>26</v>
      </c>
      <c r="B57" s="103" t="s">
        <v>186</v>
      </c>
      <c r="C57" s="104" t="s">
        <v>206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v>0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180</v>
      </c>
      <c r="C59" s="104" t="s">
        <v>138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7</v>
      </c>
      <c r="B60" s="113" t="s">
        <v>146</v>
      </c>
      <c r="C60" s="112" t="s">
        <v>27</v>
      </c>
      <c r="D60" s="113" t="s">
        <v>233</v>
      </c>
      <c r="E60" s="114">
        <v>140.4</v>
      </c>
      <c r="F60" s="107">
        <v>1440</v>
      </c>
      <c r="G60" s="19">
        <v>1.4</v>
      </c>
      <c r="H60" s="111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17</v>
      </c>
      <c r="B62" s="21" t="s">
        <v>54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8">SUM(F62*G62/1000)</f>
        <v>0.55347999999999997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8"/>
        <v>0.18978</v>
      </c>
      <c r="I63" s="19">
        <v>0</v>
      </c>
      <c r="J63" s="36"/>
      <c r="L63" s="28"/>
      <c r="M63" s="29"/>
      <c r="N63" s="30"/>
    </row>
    <row r="64" spans="1:14" ht="15.75" customHeight="1">
      <c r="A64" s="42">
        <v>8</v>
      </c>
      <c r="B64" s="21" t="s">
        <v>56</v>
      </c>
      <c r="C64" s="23" t="s">
        <v>181</v>
      </c>
      <c r="D64" s="21"/>
      <c r="E64" s="105">
        <v>8607</v>
      </c>
      <c r="F64" s="19">
        <f>SUM(E64/100)</f>
        <v>86.07</v>
      </c>
      <c r="G64" s="19">
        <v>263.99</v>
      </c>
      <c r="H64" s="102">
        <f t="shared" si="8"/>
        <v>22.721619299999997</v>
      </c>
      <c r="I64" s="19">
        <f>F64*G64</f>
        <v>22721.619299999998</v>
      </c>
      <c r="J64" s="36"/>
      <c r="L64" s="28"/>
      <c r="M64" s="29"/>
      <c r="N64" s="30"/>
    </row>
    <row r="65" spans="1:22" ht="15.75" customHeight="1">
      <c r="A65" s="42">
        <v>9</v>
      </c>
      <c r="B65" s="21" t="s">
        <v>57</v>
      </c>
      <c r="C65" s="23" t="s">
        <v>182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8"/>
        <v>1.7693409899999997</v>
      </c>
      <c r="I65" s="19">
        <f t="shared" ref="I65:I68" si="9">F65*G65</f>
        <v>1769.3409899999997</v>
      </c>
      <c r="J65" s="36"/>
      <c r="L65" s="28"/>
      <c r="M65" s="29"/>
      <c r="N65" s="30"/>
    </row>
    <row r="66" spans="1:22" ht="15.75" customHeight="1">
      <c r="A66" s="42">
        <v>10</v>
      </c>
      <c r="B66" s="21" t="s">
        <v>58</v>
      </c>
      <c r="C66" s="23" t="s">
        <v>105</v>
      </c>
      <c r="D66" s="21"/>
      <c r="E66" s="105">
        <v>1370</v>
      </c>
      <c r="F66" s="19">
        <f>SUM(E66/100)</f>
        <v>13.7</v>
      </c>
      <c r="G66" s="19">
        <v>2581.5300000000002</v>
      </c>
      <c r="H66" s="102">
        <f t="shared" si="8"/>
        <v>35.366961000000003</v>
      </c>
      <c r="I66" s="19">
        <f t="shared" si="9"/>
        <v>35366.961000000003</v>
      </c>
      <c r="J66" s="36"/>
      <c r="L66" s="28"/>
      <c r="M66" s="29"/>
      <c r="N66" s="30"/>
    </row>
    <row r="67" spans="1:22" ht="15.75" customHeight="1">
      <c r="A67" s="42">
        <v>11</v>
      </c>
      <c r="B67" s="115" t="s">
        <v>183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8"/>
        <v>0.40806999999999999</v>
      </c>
      <c r="I67" s="19">
        <f t="shared" si="9"/>
        <v>408.07</v>
      </c>
      <c r="J67" s="36"/>
      <c r="L67" s="28"/>
      <c r="M67" s="29"/>
      <c r="N67" s="30"/>
    </row>
    <row r="68" spans="1:22" ht="15.75" customHeight="1">
      <c r="A68" s="42">
        <v>12</v>
      </c>
      <c r="B68" s="115" t="s">
        <v>207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8"/>
        <v>0.38072200000000006</v>
      </c>
      <c r="I68" s="19">
        <f t="shared" si="9"/>
        <v>380.72200000000004</v>
      </c>
      <c r="J68" s="36"/>
      <c r="L68" s="28"/>
      <c r="M68" s="29"/>
      <c r="N68" s="30"/>
    </row>
    <row r="69" spans="1:22" ht="19.5" hidden="1" customHeight="1">
      <c r="A69" s="42">
        <v>10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8"/>
        <v>0.18621000000000001</v>
      </c>
      <c r="I69" s="19">
        <f>G69*F69</f>
        <v>186.21</v>
      </c>
      <c r="J69" s="36"/>
      <c r="L69" s="28"/>
      <c r="M69" s="29"/>
      <c r="N69" s="30"/>
    </row>
    <row r="70" spans="1:22" ht="21.75" customHeight="1">
      <c r="A70" s="42">
        <v>13</v>
      </c>
      <c r="B70" s="21" t="s">
        <v>148</v>
      </c>
      <c r="C70" s="42" t="s">
        <v>149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8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208</v>
      </c>
      <c r="C72" s="23" t="s">
        <v>209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10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210</v>
      </c>
      <c r="C73" s="23" t="s">
        <v>211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10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10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191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11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04"/>
      <c r="S77" s="204"/>
      <c r="T77" s="204"/>
      <c r="U77" s="204"/>
    </row>
    <row r="78" spans="1:22" ht="17.25" hidden="1" customHeight="1">
      <c r="A78" s="119"/>
      <c r="B78" s="121" t="s">
        <v>147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184</v>
      </c>
      <c r="C79" s="23"/>
      <c r="D79" s="21"/>
      <c r="E79" s="116"/>
      <c r="F79" s="19">
        <v>1</v>
      </c>
      <c r="G79" s="19">
        <v>8680.7999999999993</v>
      </c>
      <c r="H79" s="102">
        <f>G79*F79/1000</f>
        <v>8.6807999999999996</v>
      </c>
      <c r="I79" s="19">
        <f>G79*1</f>
        <v>8680.7999999999993</v>
      </c>
    </row>
    <row r="80" spans="1:22" ht="15.75" customHeight="1">
      <c r="A80" s="216" t="s">
        <v>195</v>
      </c>
      <c r="B80" s="217"/>
      <c r="C80" s="217"/>
      <c r="D80" s="217"/>
      <c r="E80" s="217"/>
      <c r="F80" s="217"/>
      <c r="G80" s="217"/>
      <c r="H80" s="217"/>
      <c r="I80" s="218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14</v>
      </c>
      <c r="B81" s="103" t="s">
        <v>185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15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112</v>
      </c>
      <c r="C83" s="64"/>
      <c r="D83" s="22"/>
      <c r="E83" s="22"/>
      <c r="F83" s="22"/>
      <c r="G83" s="26"/>
      <c r="H83" s="26"/>
      <c r="I83" s="49">
        <f>I82+I81+I70+I68+I67+I66+I65+I64+I60+I32+I31+I27+I18+I17+I16</f>
        <v>83911.249074666674</v>
      </c>
    </row>
    <row r="84" spans="1:9" ht="15.75" customHeight="1">
      <c r="A84" s="197" t="s">
        <v>75</v>
      </c>
      <c r="B84" s="198"/>
      <c r="C84" s="198"/>
      <c r="D84" s="198"/>
      <c r="E84" s="198"/>
      <c r="F84" s="198"/>
      <c r="G84" s="198"/>
      <c r="H84" s="198"/>
      <c r="I84" s="199"/>
    </row>
    <row r="85" spans="1:9" ht="32.25" customHeight="1">
      <c r="A85" s="135">
        <v>16</v>
      </c>
      <c r="B85" s="181" t="s">
        <v>223</v>
      </c>
      <c r="C85" s="182" t="s">
        <v>44</v>
      </c>
      <c r="D85" s="75"/>
      <c r="E85" s="19"/>
      <c r="F85" s="19">
        <v>2</v>
      </c>
      <c r="G85" s="183">
        <v>3914.31</v>
      </c>
      <c r="H85" s="102">
        <f t="shared" ref="H85:H86" si="12">G85*F85/1000</f>
        <v>7.8286199999999999</v>
      </c>
      <c r="I85" s="138">
        <f>G85*0.01</f>
        <v>39.143099999999997</v>
      </c>
    </row>
    <row r="86" spans="1:9" ht="18.75" customHeight="1">
      <c r="A86" s="135">
        <v>17</v>
      </c>
      <c r="B86" s="181" t="s">
        <v>240</v>
      </c>
      <c r="C86" s="182" t="s">
        <v>215</v>
      </c>
      <c r="D86" s="75"/>
      <c r="E86" s="19"/>
      <c r="F86" s="19">
        <v>3</v>
      </c>
      <c r="G86" s="183">
        <v>273</v>
      </c>
      <c r="H86" s="102">
        <f t="shared" si="12"/>
        <v>0.81899999999999995</v>
      </c>
      <c r="I86" s="138">
        <f>G86*3</f>
        <v>819</v>
      </c>
    </row>
    <row r="87" spans="1:9" ht="31.5" customHeight="1">
      <c r="A87" s="178">
        <v>18</v>
      </c>
      <c r="B87" s="181" t="s">
        <v>213</v>
      </c>
      <c r="C87" s="182" t="s">
        <v>214</v>
      </c>
      <c r="D87" s="186"/>
      <c r="E87" s="187"/>
      <c r="F87" s="187"/>
      <c r="G87" s="183">
        <v>59.21</v>
      </c>
      <c r="H87" s="188"/>
      <c r="I87" s="180">
        <f>G87*1</f>
        <v>59.21</v>
      </c>
    </row>
    <row r="88" spans="1:9" ht="30" customHeight="1">
      <c r="A88" s="178">
        <v>19</v>
      </c>
      <c r="B88" s="181" t="s">
        <v>241</v>
      </c>
      <c r="C88" s="182" t="s">
        <v>130</v>
      </c>
      <c r="D88" s="186"/>
      <c r="E88" s="187"/>
      <c r="F88" s="187"/>
      <c r="G88" s="183">
        <v>211.63</v>
      </c>
      <c r="H88" s="188"/>
      <c r="I88" s="180">
        <f>G88*1</f>
        <v>211.63</v>
      </c>
    </row>
    <row r="89" spans="1:9" ht="30" customHeight="1">
      <c r="A89" s="178">
        <v>20</v>
      </c>
      <c r="B89" s="181" t="s">
        <v>111</v>
      </c>
      <c r="C89" s="182" t="s">
        <v>130</v>
      </c>
      <c r="D89" s="186"/>
      <c r="E89" s="187"/>
      <c r="F89" s="187"/>
      <c r="G89" s="183">
        <v>91.11</v>
      </c>
      <c r="H89" s="188"/>
      <c r="I89" s="180">
        <f>G89*1</f>
        <v>91.11</v>
      </c>
    </row>
    <row r="90" spans="1:9" ht="15.75" customHeight="1">
      <c r="A90" s="178">
        <v>21</v>
      </c>
      <c r="B90" s="181" t="s">
        <v>242</v>
      </c>
      <c r="C90" s="182" t="s">
        <v>130</v>
      </c>
      <c r="D90" s="186"/>
      <c r="E90" s="187"/>
      <c r="F90" s="187"/>
      <c r="G90" s="183">
        <v>616.74</v>
      </c>
      <c r="H90" s="188"/>
      <c r="I90" s="180">
        <f>G90*1</f>
        <v>616.74</v>
      </c>
    </row>
    <row r="91" spans="1:9" ht="15.75" customHeight="1">
      <c r="A91" s="42"/>
      <c r="B91" s="69" t="s">
        <v>60</v>
      </c>
      <c r="C91" s="65"/>
      <c r="D91" s="95"/>
      <c r="E91" s="65">
        <v>1</v>
      </c>
      <c r="F91" s="65"/>
      <c r="G91" s="65"/>
      <c r="H91" s="65"/>
      <c r="I91" s="49">
        <f>SUM(I85:I90)</f>
        <v>1836.8330999999998</v>
      </c>
    </row>
    <row r="92" spans="1:9" ht="15.75" customHeight="1">
      <c r="A92" s="42"/>
      <c r="B92" s="75" t="s">
        <v>107</v>
      </c>
      <c r="C92" s="22"/>
      <c r="D92" s="22"/>
      <c r="E92" s="66"/>
      <c r="F92" s="66"/>
      <c r="G92" s="67"/>
      <c r="H92" s="67"/>
      <c r="I92" s="25">
        <v>0</v>
      </c>
    </row>
    <row r="93" spans="1:9" ht="15.75" customHeight="1">
      <c r="A93" s="79"/>
      <c r="B93" s="70" t="s">
        <v>212</v>
      </c>
      <c r="C93" s="53"/>
      <c r="D93" s="53"/>
      <c r="E93" s="53"/>
      <c r="F93" s="53"/>
      <c r="G93" s="53"/>
      <c r="H93" s="53"/>
      <c r="I93" s="68">
        <f>I83+I91</f>
        <v>85748.082174666677</v>
      </c>
    </row>
    <row r="94" spans="1:9" ht="15.75">
      <c r="A94" s="206" t="s">
        <v>267</v>
      </c>
      <c r="B94" s="206"/>
      <c r="C94" s="206"/>
      <c r="D94" s="206"/>
      <c r="E94" s="206"/>
      <c r="F94" s="206"/>
      <c r="G94" s="206"/>
      <c r="H94" s="206"/>
      <c r="I94" s="206"/>
    </row>
    <row r="95" spans="1:9" ht="15.75" customHeight="1">
      <c r="A95" s="97"/>
      <c r="B95" s="207" t="s">
        <v>268</v>
      </c>
      <c r="C95" s="207"/>
      <c r="D95" s="207"/>
      <c r="E95" s="207"/>
      <c r="F95" s="207"/>
      <c r="G95" s="207"/>
      <c r="H95" s="101"/>
      <c r="I95" s="3"/>
    </row>
    <row r="96" spans="1:9">
      <c r="A96" s="123"/>
      <c r="B96" s="202" t="s">
        <v>6</v>
      </c>
      <c r="C96" s="202"/>
      <c r="D96" s="202"/>
      <c r="E96" s="202"/>
      <c r="F96" s="202"/>
      <c r="G96" s="202"/>
      <c r="H96" s="37"/>
      <c r="I96" s="5"/>
    </row>
    <row r="97" spans="1:9" ht="15.75" customHeight="1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5.75">
      <c r="A98" s="208" t="s">
        <v>7</v>
      </c>
      <c r="B98" s="208"/>
      <c r="C98" s="208"/>
      <c r="D98" s="208"/>
      <c r="E98" s="208"/>
      <c r="F98" s="208"/>
      <c r="G98" s="208"/>
      <c r="H98" s="208"/>
      <c r="I98" s="208"/>
    </row>
    <row r="99" spans="1:9" ht="16.5" customHeight="1">
      <c r="A99" s="208" t="s">
        <v>8</v>
      </c>
      <c r="B99" s="208"/>
      <c r="C99" s="208"/>
      <c r="D99" s="208"/>
      <c r="E99" s="208"/>
      <c r="F99" s="208"/>
      <c r="G99" s="208"/>
      <c r="H99" s="208"/>
      <c r="I99" s="208"/>
    </row>
    <row r="100" spans="1:9" ht="16.5" customHeight="1">
      <c r="A100" s="209" t="s">
        <v>78</v>
      </c>
      <c r="B100" s="209"/>
      <c r="C100" s="209"/>
      <c r="D100" s="209"/>
      <c r="E100" s="209"/>
      <c r="F100" s="209"/>
      <c r="G100" s="209"/>
      <c r="H100" s="209"/>
      <c r="I100" s="209"/>
    </row>
    <row r="101" spans="1:9" ht="15.75" customHeight="1">
      <c r="A101" s="13"/>
    </row>
    <row r="102" spans="1:9" ht="15.75" customHeight="1">
      <c r="A102" s="200" t="s">
        <v>9</v>
      </c>
      <c r="B102" s="200"/>
      <c r="C102" s="200"/>
      <c r="D102" s="200"/>
      <c r="E102" s="200"/>
      <c r="F102" s="200"/>
      <c r="G102" s="200"/>
      <c r="H102" s="200"/>
      <c r="I102" s="200"/>
    </row>
    <row r="103" spans="1:9" ht="15.75">
      <c r="A103" s="4"/>
    </row>
    <row r="104" spans="1:9" ht="15.75" customHeight="1">
      <c r="B104" s="125" t="s">
        <v>10</v>
      </c>
      <c r="C104" s="201" t="s">
        <v>163</v>
      </c>
      <c r="D104" s="201"/>
      <c r="E104" s="201"/>
      <c r="F104" s="99"/>
      <c r="I104" s="122"/>
    </row>
    <row r="105" spans="1:9">
      <c r="A105" s="123"/>
      <c r="C105" s="202" t="s">
        <v>11</v>
      </c>
      <c r="D105" s="202"/>
      <c r="E105" s="202"/>
      <c r="F105" s="37"/>
      <c r="I105" s="124" t="s">
        <v>12</v>
      </c>
    </row>
    <row r="106" spans="1:9" ht="15.75">
      <c r="A106" s="38"/>
      <c r="C106" s="14"/>
      <c r="D106" s="14"/>
      <c r="G106" s="14"/>
      <c r="H106" s="14"/>
    </row>
    <row r="107" spans="1:9" ht="15.75">
      <c r="B107" s="125" t="s">
        <v>13</v>
      </c>
      <c r="C107" s="203"/>
      <c r="D107" s="203"/>
      <c r="E107" s="203"/>
      <c r="F107" s="100"/>
      <c r="I107" s="122"/>
    </row>
    <row r="108" spans="1:9">
      <c r="A108" s="123"/>
      <c r="C108" s="204" t="s">
        <v>11</v>
      </c>
      <c r="D108" s="204"/>
      <c r="E108" s="204"/>
      <c r="F108" s="123"/>
      <c r="I108" s="124" t="s">
        <v>12</v>
      </c>
    </row>
    <row r="109" spans="1:9" ht="15.75">
      <c r="A109" s="4" t="s">
        <v>14</v>
      </c>
    </row>
    <row r="110" spans="1:9">
      <c r="A110" s="205" t="s">
        <v>15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45" customHeight="1">
      <c r="A111" s="196" t="s">
        <v>16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30" customHeight="1">
      <c r="A112" s="196" t="s">
        <v>17</v>
      </c>
      <c r="B112" s="196"/>
      <c r="C112" s="196"/>
      <c r="D112" s="196"/>
      <c r="E112" s="196"/>
      <c r="F112" s="196"/>
      <c r="G112" s="196"/>
      <c r="H112" s="196"/>
      <c r="I112" s="196"/>
    </row>
    <row r="113" spans="1:9" ht="30" customHeight="1">
      <c r="A113" s="196" t="s">
        <v>22</v>
      </c>
      <c r="B113" s="196"/>
      <c r="C113" s="196"/>
      <c r="D113" s="196"/>
      <c r="E113" s="196"/>
      <c r="F113" s="196"/>
      <c r="G113" s="196"/>
      <c r="H113" s="196"/>
      <c r="I113" s="196"/>
    </row>
    <row r="114" spans="1:9" ht="15" customHeight="1">
      <c r="A114" s="196" t="s">
        <v>21</v>
      </c>
      <c r="B114" s="196"/>
      <c r="C114" s="196"/>
      <c r="D114" s="196"/>
      <c r="E114" s="196"/>
      <c r="F114" s="196"/>
      <c r="G114" s="196"/>
      <c r="H114" s="196"/>
      <c r="I114" s="196"/>
    </row>
  </sheetData>
  <autoFilter ref="I12:I70"/>
  <mergeCells count="29">
    <mergeCell ref="A14:I14"/>
    <mergeCell ref="A15:I15"/>
    <mergeCell ref="A29:I29"/>
    <mergeCell ref="A44:I44"/>
    <mergeCell ref="A54:I54"/>
    <mergeCell ref="A3:I3"/>
    <mergeCell ref="A4:I4"/>
    <mergeCell ref="A5:I5"/>
    <mergeCell ref="A8:I8"/>
    <mergeCell ref="A10:I10"/>
    <mergeCell ref="R77:U77"/>
    <mergeCell ref="C108:E108"/>
    <mergeCell ref="A84:I84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0:I80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G2" sqref="G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199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269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43677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187</v>
      </c>
      <c r="C30" s="104" t="s">
        <v>155</v>
      </c>
      <c r="D30" s="103" t="s">
        <v>245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4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188</v>
      </c>
      <c r="C31" s="104" t="s">
        <v>155</v>
      </c>
      <c r="D31" s="103" t="s">
        <v>244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1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176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1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3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150</v>
      </c>
      <c r="C37" s="104" t="s">
        <v>32</v>
      </c>
      <c r="D37" s="103" t="s">
        <v>151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3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152</v>
      </c>
      <c r="C38" s="104" t="s">
        <v>153</v>
      </c>
      <c r="D38" s="103" t="s">
        <v>87</v>
      </c>
      <c r="E38" s="105"/>
      <c r="F38" s="106">
        <v>39</v>
      </c>
      <c r="G38" s="106">
        <v>226.84</v>
      </c>
      <c r="H38" s="107">
        <f t="shared" si="3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154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3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118</v>
      </c>
      <c r="C40" s="104" t="s">
        <v>155</v>
      </c>
      <c r="D40" s="103" t="s">
        <v>156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3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157</v>
      </c>
      <c r="C41" s="104" t="s">
        <v>155</v>
      </c>
      <c r="D41" s="103" t="s">
        <v>158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3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3"/>
        <v>0.89367300000000005</v>
      </c>
      <c r="I42" s="19">
        <f>F42/6*G42</f>
        <v>148.94550000000001</v>
      </c>
      <c r="J42" s="36"/>
    </row>
    <row r="43" spans="1:14" ht="15.75" hidden="1" customHeight="1">
      <c r="A43" s="211" t="s">
        <v>160</v>
      </c>
      <c r="B43" s="212"/>
      <c r="C43" s="212"/>
      <c r="D43" s="212"/>
      <c r="E43" s="212"/>
      <c r="F43" s="212"/>
      <c r="G43" s="212"/>
      <c r="H43" s="212"/>
      <c r="I43" s="213"/>
      <c r="J43" s="36"/>
    </row>
    <row r="44" spans="1:14" ht="15.75" hidden="1" customHeight="1">
      <c r="A44" s="64">
        <v>18</v>
      </c>
      <c r="B44" s="103" t="s">
        <v>177</v>
      </c>
      <c r="C44" s="104" t="s">
        <v>155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4">SUM(F44*G44/1000)</f>
        <v>2.2622265960000001</v>
      </c>
      <c r="I44" s="19">
        <f t="shared" ref="I44:I46" si="5">F44/2*G44</f>
        <v>1131.113298</v>
      </c>
      <c r="J44" s="36"/>
    </row>
    <row r="45" spans="1:14" ht="15.75" hidden="1" customHeight="1">
      <c r="A45" s="64">
        <v>19</v>
      </c>
      <c r="B45" s="103" t="s">
        <v>40</v>
      </c>
      <c r="C45" s="104" t="s">
        <v>155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4"/>
        <v>3.2159742784000001</v>
      </c>
      <c r="I45" s="19">
        <f t="shared" si="5"/>
        <v>1607.9871392</v>
      </c>
      <c r="J45" s="36"/>
    </row>
    <row r="46" spans="1:14" ht="15.75" hidden="1" customHeight="1">
      <c r="A46" s="64">
        <v>20</v>
      </c>
      <c r="B46" s="103" t="s">
        <v>41</v>
      </c>
      <c r="C46" s="104" t="s">
        <v>155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4"/>
        <v>2.9431196201999996</v>
      </c>
      <c r="I46" s="19">
        <f t="shared" si="5"/>
        <v>1471.5598100999998</v>
      </c>
      <c r="J46" s="36"/>
    </row>
    <row r="47" spans="1:14" ht="15.75" hidden="1" customHeight="1">
      <c r="A47" s="64">
        <v>21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4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hidden="1" customHeight="1">
      <c r="A48" s="64">
        <v>22</v>
      </c>
      <c r="B48" s="103" t="s">
        <v>70</v>
      </c>
      <c r="C48" s="104" t="s">
        <v>155</v>
      </c>
      <c r="D48" s="103" t="s">
        <v>190</v>
      </c>
      <c r="E48" s="105">
        <v>2062.5</v>
      </c>
      <c r="F48" s="106">
        <f>SUM(E48*5/1000)</f>
        <v>10.3125</v>
      </c>
      <c r="G48" s="19">
        <v>1711.28</v>
      </c>
      <c r="H48" s="107">
        <f t="shared" si="4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hidden="1" customHeight="1">
      <c r="A49" s="64">
        <v>12</v>
      </c>
      <c r="B49" s="103" t="s">
        <v>144</v>
      </c>
      <c r="C49" s="104" t="s">
        <v>155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4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hidden="1" customHeight="1">
      <c r="A50" s="64">
        <v>13</v>
      </c>
      <c r="B50" s="103" t="s">
        <v>145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4"/>
        <v>0.92409600000000003</v>
      </c>
      <c r="I50" s="19">
        <f t="shared" ref="I50:I51" si="6">F50/2*G50</f>
        <v>462.048</v>
      </c>
      <c r="J50" s="36"/>
      <c r="L50" s="28"/>
      <c r="M50" s="29"/>
      <c r="N50" s="30"/>
    </row>
    <row r="51" spans="1:14" ht="15.75" hidden="1" customHeight="1">
      <c r="A51" s="64">
        <v>14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4"/>
        <v>0.1406626</v>
      </c>
      <c r="I51" s="19">
        <f t="shared" si="6"/>
        <v>70.331299999999999</v>
      </c>
      <c r="J51" s="36"/>
      <c r="L51" s="28"/>
      <c r="M51" s="29"/>
      <c r="N51" s="30"/>
    </row>
    <row r="52" spans="1:14" ht="15.75" hidden="1" customHeight="1">
      <c r="A52" s="64">
        <v>23</v>
      </c>
      <c r="B52" s="103" t="s">
        <v>48</v>
      </c>
      <c r="C52" s="104" t="s">
        <v>130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4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11" t="s">
        <v>194</v>
      </c>
      <c r="B53" s="214"/>
      <c r="C53" s="214"/>
      <c r="D53" s="214"/>
      <c r="E53" s="214"/>
      <c r="F53" s="214"/>
      <c r="G53" s="214"/>
      <c r="H53" s="214"/>
      <c r="I53" s="21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178</v>
      </c>
      <c r="C55" s="104" t="s">
        <v>138</v>
      </c>
      <c r="D55" s="103" t="s">
        <v>179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186</v>
      </c>
      <c r="C56" s="104" t="s">
        <v>206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180</v>
      </c>
      <c r="C58" s="104" t="s">
        <v>138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7</v>
      </c>
      <c r="B59" s="113" t="s">
        <v>146</v>
      </c>
      <c r="C59" s="112" t="s">
        <v>27</v>
      </c>
      <c r="D59" s="113" t="s">
        <v>233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17</v>
      </c>
      <c r="B61" s="21" t="s">
        <v>54</v>
      </c>
      <c r="C61" s="23" t="s">
        <v>130</v>
      </c>
      <c r="D61" s="21" t="s">
        <v>87</v>
      </c>
      <c r="E61" s="26">
        <v>2</v>
      </c>
      <c r="F61" s="106">
        <f>E61</f>
        <v>2</v>
      </c>
      <c r="G61" s="19">
        <v>276.74</v>
      </c>
      <c r="H61" s="102">
        <f t="shared" ref="H61:H69" si="7">SUM(F61*G61/1000)</f>
        <v>0.55347999999999997</v>
      </c>
      <c r="I61" s="19">
        <v>0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7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181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7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182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7"/>
        <v>1.7693409899999997</v>
      </c>
      <c r="I64" s="19">
        <f t="shared" ref="I64:I67" si="8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7"/>
        <v>35.366961000000003</v>
      </c>
      <c r="I65" s="19">
        <f t="shared" si="8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183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7"/>
        <v>0.40806999999999999</v>
      </c>
      <c r="I66" s="19">
        <f t="shared" si="8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207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7"/>
        <v>0.38072200000000006</v>
      </c>
      <c r="I67" s="19">
        <f t="shared" si="8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7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8</v>
      </c>
      <c r="B69" s="21" t="s">
        <v>148</v>
      </c>
      <c r="C69" s="42" t="s">
        <v>149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7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208</v>
      </c>
      <c r="C71" s="23" t="s">
        <v>209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9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210</v>
      </c>
      <c r="C72" s="23" t="s">
        <v>211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9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9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191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0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04"/>
      <c r="S76" s="204"/>
      <c r="T76" s="204"/>
      <c r="U76" s="204"/>
    </row>
    <row r="77" spans="1:22" ht="17.25" hidden="1" customHeight="1">
      <c r="A77" s="119"/>
      <c r="B77" s="121" t="s">
        <v>147</v>
      </c>
      <c r="C77" s="117"/>
      <c r="D77" s="47"/>
      <c r="E77" s="117"/>
      <c r="F77" s="117"/>
      <c r="G77" s="117"/>
      <c r="H77" s="126"/>
      <c r="I77" s="26"/>
    </row>
    <row r="78" spans="1:22" ht="18.75" hidden="1" customHeight="1">
      <c r="A78" s="42">
        <v>11</v>
      </c>
      <c r="B78" s="103" t="s">
        <v>184</v>
      </c>
      <c r="C78" s="23"/>
      <c r="D78" s="21"/>
      <c r="E78" s="116"/>
      <c r="F78" s="19">
        <v>1</v>
      </c>
      <c r="G78" s="19">
        <v>1634.8</v>
      </c>
      <c r="H78" s="102">
        <f>G78*F78/1000</f>
        <v>1.6348</v>
      </c>
      <c r="I78" s="19">
        <f>G78</f>
        <v>1634.8</v>
      </c>
    </row>
    <row r="79" spans="1:22" ht="15.75" customHeight="1">
      <c r="A79" s="216" t="s">
        <v>195</v>
      </c>
      <c r="B79" s="217"/>
      <c r="C79" s="217"/>
      <c r="D79" s="217"/>
      <c r="E79" s="217"/>
      <c r="F79" s="217"/>
      <c r="G79" s="217"/>
      <c r="H79" s="217"/>
      <c r="I79" s="2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9</v>
      </c>
      <c r="B80" s="103" t="s">
        <v>185</v>
      </c>
      <c r="C80" s="23" t="s">
        <v>68</v>
      </c>
      <c r="D80" s="118" t="s">
        <v>69</v>
      </c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10</v>
      </c>
      <c r="B81" s="21" t="s">
        <v>106</v>
      </c>
      <c r="C81" s="23"/>
      <c r="D81" s="118" t="s">
        <v>69</v>
      </c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112</v>
      </c>
      <c r="C82" s="64"/>
      <c r="D82" s="22"/>
      <c r="E82" s="22"/>
      <c r="F82" s="22"/>
      <c r="G82" s="26"/>
      <c r="H82" s="26"/>
      <c r="I82" s="49">
        <f>I81+I80+I69+I59+I31+I30+I27+I18+I17+I16</f>
        <v>23264.535784666663</v>
      </c>
    </row>
    <row r="83" spans="1:9" ht="15.75" customHeight="1">
      <c r="A83" s="197" t="s">
        <v>75</v>
      </c>
      <c r="B83" s="198"/>
      <c r="C83" s="198"/>
      <c r="D83" s="198"/>
      <c r="E83" s="198"/>
      <c r="F83" s="198"/>
      <c r="G83" s="198"/>
      <c r="H83" s="198"/>
      <c r="I83" s="199"/>
    </row>
    <row r="84" spans="1:9" ht="31.5" customHeight="1">
      <c r="A84" s="135">
        <v>11</v>
      </c>
      <c r="B84" s="181" t="s">
        <v>223</v>
      </c>
      <c r="C84" s="182" t="s">
        <v>44</v>
      </c>
      <c r="D84" s="75"/>
      <c r="E84" s="19"/>
      <c r="F84" s="19">
        <v>0.03</v>
      </c>
      <c r="G84" s="183">
        <v>3914.31</v>
      </c>
      <c r="H84" s="102">
        <f t="shared" ref="H84:H85" si="11">G84*F84/1000</f>
        <v>0.1174293</v>
      </c>
      <c r="I84" s="138">
        <f>G84*0.01</f>
        <v>39.143099999999997</v>
      </c>
    </row>
    <row r="85" spans="1:9" ht="31.5" hidden="1" customHeight="1">
      <c r="A85" s="135">
        <v>15</v>
      </c>
      <c r="B85" s="88"/>
      <c r="C85" s="89"/>
      <c r="D85" s="75"/>
      <c r="E85" s="19"/>
      <c r="F85" s="19">
        <v>1</v>
      </c>
      <c r="G85" s="19"/>
      <c r="H85" s="102">
        <f t="shared" si="11"/>
        <v>0</v>
      </c>
      <c r="I85" s="138"/>
    </row>
    <row r="86" spans="1:9" ht="15.75" customHeight="1">
      <c r="A86" s="42"/>
      <c r="B86" s="69" t="s">
        <v>60</v>
      </c>
      <c r="C86" s="65"/>
      <c r="D86" s="95"/>
      <c r="E86" s="65">
        <v>1</v>
      </c>
      <c r="F86" s="65"/>
      <c r="G86" s="65"/>
      <c r="H86" s="65"/>
      <c r="I86" s="49">
        <f>I84</f>
        <v>39.143099999999997</v>
      </c>
    </row>
    <row r="87" spans="1:9" ht="15.75" customHeight="1">
      <c r="A87" s="42"/>
      <c r="B87" s="75" t="s">
        <v>107</v>
      </c>
      <c r="C87" s="22"/>
      <c r="D87" s="22"/>
      <c r="E87" s="66"/>
      <c r="F87" s="66"/>
      <c r="G87" s="67"/>
      <c r="H87" s="67"/>
      <c r="I87" s="25">
        <v>0</v>
      </c>
    </row>
    <row r="88" spans="1:9" ht="15.75" customHeight="1">
      <c r="A88" s="79"/>
      <c r="B88" s="70" t="s">
        <v>212</v>
      </c>
      <c r="C88" s="53"/>
      <c r="D88" s="53"/>
      <c r="E88" s="53"/>
      <c r="F88" s="53"/>
      <c r="G88" s="53"/>
      <c r="H88" s="53"/>
      <c r="I88" s="68">
        <f>I82+I86</f>
        <v>23303.678884666664</v>
      </c>
    </row>
    <row r="89" spans="1:9" ht="15.75">
      <c r="A89" s="206" t="s">
        <v>296</v>
      </c>
      <c r="B89" s="206"/>
      <c r="C89" s="206"/>
      <c r="D89" s="206"/>
      <c r="E89" s="206"/>
      <c r="F89" s="206"/>
      <c r="G89" s="206"/>
      <c r="H89" s="206"/>
      <c r="I89" s="206"/>
    </row>
    <row r="90" spans="1:9" ht="15.75" customHeight="1">
      <c r="A90" s="97"/>
      <c r="B90" s="207" t="s">
        <v>270</v>
      </c>
      <c r="C90" s="207"/>
      <c r="D90" s="207"/>
      <c r="E90" s="207"/>
      <c r="F90" s="207"/>
      <c r="G90" s="207"/>
      <c r="H90" s="101"/>
      <c r="I90" s="3"/>
    </row>
    <row r="91" spans="1:9">
      <c r="A91" s="123"/>
      <c r="B91" s="202" t="s">
        <v>6</v>
      </c>
      <c r="C91" s="202"/>
      <c r="D91" s="202"/>
      <c r="E91" s="202"/>
      <c r="F91" s="202"/>
      <c r="G91" s="202"/>
      <c r="H91" s="37"/>
      <c r="I91" s="5"/>
    </row>
    <row r="92" spans="1:9" ht="15.75" customHeight="1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15.75">
      <c r="A93" s="208" t="s">
        <v>7</v>
      </c>
      <c r="B93" s="208"/>
      <c r="C93" s="208"/>
      <c r="D93" s="208"/>
      <c r="E93" s="208"/>
      <c r="F93" s="208"/>
      <c r="G93" s="208"/>
      <c r="H93" s="208"/>
      <c r="I93" s="208"/>
    </row>
    <row r="94" spans="1:9" ht="16.5" customHeight="1">
      <c r="A94" s="208" t="s">
        <v>8</v>
      </c>
      <c r="B94" s="208"/>
      <c r="C94" s="208"/>
      <c r="D94" s="208"/>
      <c r="E94" s="208"/>
      <c r="F94" s="208"/>
      <c r="G94" s="208"/>
      <c r="H94" s="208"/>
      <c r="I94" s="208"/>
    </row>
    <row r="95" spans="1:9" ht="16.5" customHeight="1">
      <c r="A95" s="209" t="s">
        <v>78</v>
      </c>
      <c r="B95" s="209"/>
      <c r="C95" s="209"/>
      <c r="D95" s="209"/>
      <c r="E95" s="209"/>
      <c r="F95" s="209"/>
      <c r="G95" s="209"/>
      <c r="H95" s="209"/>
      <c r="I95" s="209"/>
    </row>
    <row r="96" spans="1:9" ht="15.75" customHeight="1">
      <c r="A96" s="13"/>
    </row>
    <row r="97" spans="1:9" ht="15.75" customHeight="1">
      <c r="A97" s="200" t="s">
        <v>9</v>
      </c>
      <c r="B97" s="200"/>
      <c r="C97" s="200"/>
      <c r="D97" s="200"/>
      <c r="E97" s="200"/>
      <c r="F97" s="200"/>
      <c r="G97" s="200"/>
      <c r="H97" s="200"/>
      <c r="I97" s="200"/>
    </row>
    <row r="98" spans="1:9" ht="15.75">
      <c r="A98" s="4"/>
    </row>
    <row r="99" spans="1:9" ht="15.75" customHeight="1">
      <c r="B99" s="125" t="s">
        <v>10</v>
      </c>
      <c r="C99" s="201" t="s">
        <v>163</v>
      </c>
      <c r="D99" s="201"/>
      <c r="E99" s="201"/>
      <c r="F99" s="99"/>
      <c r="I99" s="122"/>
    </row>
    <row r="100" spans="1:9">
      <c r="A100" s="123"/>
      <c r="C100" s="202" t="s">
        <v>11</v>
      </c>
      <c r="D100" s="202"/>
      <c r="E100" s="202"/>
      <c r="F100" s="37"/>
      <c r="I100" s="124" t="s">
        <v>12</v>
      </c>
    </row>
    <row r="101" spans="1:9" ht="15.75">
      <c r="A101" s="38"/>
      <c r="C101" s="14"/>
      <c r="D101" s="14"/>
      <c r="G101" s="14"/>
      <c r="H101" s="14"/>
    </row>
    <row r="102" spans="1:9" ht="15.75">
      <c r="B102" s="125" t="s">
        <v>13</v>
      </c>
      <c r="C102" s="203"/>
      <c r="D102" s="203"/>
      <c r="E102" s="203"/>
      <c r="F102" s="100"/>
      <c r="I102" s="122"/>
    </row>
    <row r="103" spans="1:9">
      <c r="A103" s="123"/>
      <c r="C103" s="204" t="s">
        <v>11</v>
      </c>
      <c r="D103" s="204"/>
      <c r="E103" s="204"/>
      <c r="F103" s="123"/>
      <c r="I103" s="124" t="s">
        <v>12</v>
      </c>
    </row>
    <row r="104" spans="1:9" ht="15.75">
      <c r="A104" s="4" t="s">
        <v>14</v>
      </c>
    </row>
    <row r="105" spans="1:9">
      <c r="A105" s="205" t="s">
        <v>15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45" customHeight="1">
      <c r="A106" s="196" t="s">
        <v>16</v>
      </c>
      <c r="B106" s="196"/>
      <c r="C106" s="196"/>
      <c r="D106" s="196"/>
      <c r="E106" s="196"/>
      <c r="F106" s="196"/>
      <c r="G106" s="196"/>
      <c r="H106" s="196"/>
      <c r="I106" s="196"/>
    </row>
    <row r="107" spans="1:9" ht="30" customHeight="1">
      <c r="A107" s="196" t="s">
        <v>17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30" customHeight="1">
      <c r="A108" s="196" t="s">
        <v>22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" customHeight="1">
      <c r="A109" s="196" t="s">
        <v>21</v>
      </c>
      <c r="B109" s="196"/>
      <c r="C109" s="196"/>
      <c r="D109" s="196"/>
      <c r="E109" s="196"/>
      <c r="F109" s="196"/>
      <c r="G109" s="196"/>
      <c r="H109" s="196"/>
      <c r="I109" s="19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3:E103"/>
    <mergeCell ref="A83:I83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9:I79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B30" sqref="B30:I3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200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271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43708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168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169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187</v>
      </c>
      <c r="C30" s="104" t="s">
        <v>155</v>
      </c>
      <c r="D30" s="103" t="s">
        <v>245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188</v>
      </c>
      <c r="C31" s="104" t="s">
        <v>155</v>
      </c>
      <c r="D31" s="103" t="s">
        <v>244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3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3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176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3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4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150</v>
      </c>
      <c r="C37" s="104" t="s">
        <v>32</v>
      </c>
      <c r="D37" s="103" t="s">
        <v>151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4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152</v>
      </c>
      <c r="C38" s="104" t="s">
        <v>153</v>
      </c>
      <c r="D38" s="103" t="s">
        <v>87</v>
      </c>
      <c r="E38" s="105"/>
      <c r="F38" s="106">
        <v>39</v>
      </c>
      <c r="G38" s="106">
        <v>226.84</v>
      </c>
      <c r="H38" s="107">
        <f t="shared" si="4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154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4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118</v>
      </c>
      <c r="C40" s="104" t="s">
        <v>155</v>
      </c>
      <c r="D40" s="103" t="s">
        <v>156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4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157</v>
      </c>
      <c r="C41" s="104" t="s">
        <v>155</v>
      </c>
      <c r="D41" s="103" t="s">
        <v>158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4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4"/>
        <v>0.89367300000000005</v>
      </c>
      <c r="I42" s="19">
        <f>F42/6*G42</f>
        <v>148.94550000000001</v>
      </c>
      <c r="J42" s="36"/>
    </row>
    <row r="43" spans="1:14" ht="15.75" customHeight="1">
      <c r="A43" s="211" t="s">
        <v>160</v>
      </c>
      <c r="B43" s="212"/>
      <c r="C43" s="212"/>
      <c r="D43" s="212"/>
      <c r="E43" s="212"/>
      <c r="F43" s="212"/>
      <c r="G43" s="212"/>
      <c r="H43" s="212"/>
      <c r="I43" s="213"/>
      <c r="J43" s="36"/>
    </row>
    <row r="44" spans="1:14" ht="15.75" hidden="1" customHeight="1">
      <c r="A44" s="64">
        <v>18</v>
      </c>
      <c r="B44" s="103" t="s">
        <v>177</v>
      </c>
      <c r="C44" s="104" t="s">
        <v>155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5">SUM(F44*G44/1000)</f>
        <v>2.2622265960000001</v>
      </c>
      <c r="I44" s="19">
        <f t="shared" ref="I44:I46" si="6">F44/2*G44</f>
        <v>1131.113298</v>
      </c>
      <c r="J44" s="36"/>
    </row>
    <row r="45" spans="1:14" ht="15.75" hidden="1" customHeight="1">
      <c r="A45" s="64">
        <v>19</v>
      </c>
      <c r="B45" s="103" t="s">
        <v>40</v>
      </c>
      <c r="C45" s="104" t="s">
        <v>155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5"/>
        <v>3.2159742784000001</v>
      </c>
      <c r="I45" s="19">
        <f t="shared" si="6"/>
        <v>1607.9871392</v>
      </c>
      <c r="J45" s="36"/>
    </row>
    <row r="46" spans="1:14" ht="15.75" hidden="1" customHeight="1">
      <c r="A46" s="64">
        <v>20</v>
      </c>
      <c r="B46" s="103" t="s">
        <v>41</v>
      </c>
      <c r="C46" s="104" t="s">
        <v>155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5"/>
        <v>2.9431196201999996</v>
      </c>
      <c r="I46" s="19">
        <f t="shared" si="6"/>
        <v>1471.5598100999998</v>
      </c>
      <c r="J46" s="36"/>
    </row>
    <row r="47" spans="1:14" ht="15.75" hidden="1" customHeight="1">
      <c r="A47" s="64">
        <v>21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5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hidden="1" customHeight="1">
      <c r="A48" s="64">
        <v>22</v>
      </c>
      <c r="B48" s="103" t="s">
        <v>70</v>
      </c>
      <c r="C48" s="104" t="s">
        <v>155</v>
      </c>
      <c r="D48" s="103" t="s">
        <v>190</v>
      </c>
      <c r="E48" s="105">
        <v>2062.5</v>
      </c>
      <c r="F48" s="106">
        <f>SUM(E48*5/1000)</f>
        <v>10.3125</v>
      </c>
      <c r="G48" s="19">
        <v>1711.28</v>
      </c>
      <c r="H48" s="107">
        <f t="shared" si="5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hidden="1" customHeight="1">
      <c r="A49" s="64">
        <v>12</v>
      </c>
      <c r="B49" s="103" t="s">
        <v>144</v>
      </c>
      <c r="C49" s="104" t="s">
        <v>155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5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hidden="1" customHeight="1">
      <c r="A50" s="64">
        <v>13</v>
      </c>
      <c r="B50" s="103" t="s">
        <v>145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5"/>
        <v>0.92409600000000003</v>
      </c>
      <c r="I50" s="19">
        <f t="shared" ref="I50:I51" si="7">F50/2*G50</f>
        <v>462.048</v>
      </c>
      <c r="J50" s="36"/>
      <c r="L50" s="28"/>
      <c r="M50" s="29"/>
      <c r="N50" s="30"/>
    </row>
    <row r="51" spans="1:14" ht="15.75" hidden="1" customHeight="1">
      <c r="A51" s="64">
        <v>14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5"/>
        <v>0.1406626</v>
      </c>
      <c r="I51" s="19">
        <f t="shared" si="7"/>
        <v>70.331299999999999</v>
      </c>
      <c r="J51" s="36"/>
      <c r="L51" s="28"/>
      <c r="M51" s="29"/>
      <c r="N51" s="30"/>
    </row>
    <row r="52" spans="1:14" ht="15.75" customHeight="1">
      <c r="A52" s="64">
        <v>7</v>
      </c>
      <c r="B52" s="103" t="s">
        <v>48</v>
      </c>
      <c r="C52" s="104" t="s">
        <v>130</v>
      </c>
      <c r="D52" s="193">
        <v>43703</v>
      </c>
      <c r="E52" s="105">
        <v>72</v>
      </c>
      <c r="F52" s="106">
        <f>SUM(E52)*3</f>
        <v>216</v>
      </c>
      <c r="G52" s="19">
        <v>81.73</v>
      </c>
      <c r="H52" s="107">
        <f t="shared" si="5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11" t="s">
        <v>161</v>
      </c>
      <c r="B53" s="214"/>
      <c r="C53" s="214"/>
      <c r="D53" s="214"/>
      <c r="E53" s="214"/>
      <c r="F53" s="214"/>
      <c r="G53" s="214"/>
      <c r="H53" s="214"/>
      <c r="I53" s="21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178</v>
      </c>
      <c r="C55" s="104" t="s">
        <v>138</v>
      </c>
      <c r="D55" s="103" t="s">
        <v>179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186</v>
      </c>
      <c r="C56" s="104" t="s">
        <v>206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180</v>
      </c>
      <c r="C58" s="104" t="s">
        <v>138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8</v>
      </c>
      <c r="B59" s="113" t="s">
        <v>146</v>
      </c>
      <c r="C59" s="112" t="s">
        <v>27</v>
      </c>
      <c r="D59" s="113" t="s">
        <v>233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17</v>
      </c>
      <c r="B61" s="21" t="s">
        <v>54</v>
      </c>
      <c r="C61" s="23" t="s">
        <v>130</v>
      </c>
      <c r="D61" s="21" t="s">
        <v>87</v>
      </c>
      <c r="E61" s="26">
        <v>2</v>
      </c>
      <c r="F61" s="106">
        <f>E61</f>
        <v>2</v>
      </c>
      <c r="G61" s="19">
        <v>276.74</v>
      </c>
      <c r="H61" s="102">
        <f t="shared" ref="H61:H69" si="8">SUM(F61*G61/1000)</f>
        <v>0.55347999999999997</v>
      </c>
      <c r="I61" s="19">
        <v>0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8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181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8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182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8"/>
        <v>1.7693409899999997</v>
      </c>
      <c r="I64" s="19">
        <f t="shared" ref="I64:I67" si="9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8"/>
        <v>35.366961000000003</v>
      </c>
      <c r="I65" s="19">
        <f t="shared" si="9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183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8"/>
        <v>0.40806999999999999</v>
      </c>
      <c r="I66" s="19">
        <f t="shared" si="9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207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8"/>
        <v>0.38072200000000006</v>
      </c>
      <c r="I67" s="19">
        <f t="shared" si="9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8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9</v>
      </c>
      <c r="B69" s="21" t="s">
        <v>148</v>
      </c>
      <c r="C69" s="42" t="s">
        <v>149</v>
      </c>
      <c r="D69" s="21" t="s">
        <v>233</v>
      </c>
      <c r="E69" s="26">
        <v>2062.5</v>
      </c>
      <c r="F69" s="98">
        <f>E69*12</f>
        <v>24750</v>
      </c>
      <c r="G69" s="19">
        <v>2.16</v>
      </c>
      <c r="H69" s="102">
        <f t="shared" si="8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208</v>
      </c>
      <c r="C71" s="23" t="s">
        <v>209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0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210</v>
      </c>
      <c r="C72" s="23" t="s">
        <v>211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0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0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191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1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04"/>
      <c r="S76" s="204"/>
      <c r="T76" s="204"/>
      <c r="U76" s="204"/>
    </row>
    <row r="77" spans="1:22" ht="15.75" hidden="1" customHeight="1">
      <c r="A77" s="119"/>
      <c r="B77" s="121" t="s">
        <v>147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184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16" t="s">
        <v>162</v>
      </c>
      <c r="B79" s="217"/>
      <c r="C79" s="217"/>
      <c r="D79" s="217"/>
      <c r="E79" s="217"/>
      <c r="F79" s="217"/>
      <c r="G79" s="217"/>
      <c r="H79" s="217"/>
      <c r="I79" s="2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10</v>
      </c>
      <c r="B80" s="103" t="s">
        <v>185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11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112</v>
      </c>
      <c r="C82" s="64"/>
      <c r="D82" s="22"/>
      <c r="E82" s="22"/>
      <c r="F82" s="22"/>
      <c r="G82" s="26"/>
      <c r="H82" s="26"/>
      <c r="I82" s="49">
        <f>I81+I80+I69+I59+I52+I31+I30+I27+I18+I17+I16</f>
        <v>29149.095784666668</v>
      </c>
    </row>
    <row r="83" spans="1:9" ht="15.75" customHeight="1">
      <c r="A83" s="197" t="s">
        <v>75</v>
      </c>
      <c r="B83" s="198"/>
      <c r="C83" s="198"/>
      <c r="D83" s="198"/>
      <c r="E83" s="198"/>
      <c r="F83" s="198"/>
      <c r="G83" s="198"/>
      <c r="H83" s="198"/>
      <c r="I83" s="199"/>
    </row>
    <row r="84" spans="1:9" ht="15.75" customHeight="1">
      <c r="A84" s="150">
        <v>12</v>
      </c>
      <c r="B84" s="181" t="s">
        <v>240</v>
      </c>
      <c r="C84" s="182" t="s">
        <v>215</v>
      </c>
      <c r="D84" s="150"/>
      <c r="E84" s="150"/>
      <c r="F84" s="150"/>
      <c r="G84" s="183">
        <v>273</v>
      </c>
      <c r="H84" s="150"/>
      <c r="I84" s="150">
        <f>G84*0.5</f>
        <v>136.5</v>
      </c>
    </row>
    <row r="85" spans="1:9" ht="27.75" customHeight="1">
      <c r="A85" s="151">
        <v>13</v>
      </c>
      <c r="B85" s="181" t="s">
        <v>237</v>
      </c>
      <c r="C85" s="182" t="s">
        <v>215</v>
      </c>
      <c r="D85" s="151" t="s">
        <v>273</v>
      </c>
      <c r="E85" s="150"/>
      <c r="F85" s="150"/>
      <c r="G85" s="183">
        <v>1465</v>
      </c>
      <c r="H85" s="150"/>
      <c r="I85" s="172">
        <f>G85*5</f>
        <v>7325</v>
      </c>
    </row>
    <row r="86" spans="1:9" ht="15.75" customHeight="1">
      <c r="A86" s="150">
        <v>14</v>
      </c>
      <c r="B86" s="181" t="s">
        <v>272</v>
      </c>
      <c r="C86" s="182" t="s">
        <v>119</v>
      </c>
      <c r="D86" s="150" t="s">
        <v>274</v>
      </c>
      <c r="E86" s="150"/>
      <c r="F86" s="150"/>
      <c r="G86" s="183">
        <v>214.07</v>
      </c>
      <c r="H86" s="150"/>
      <c r="I86" s="150">
        <f>G86*4</f>
        <v>856.28</v>
      </c>
    </row>
    <row r="87" spans="1:9" ht="15.75" customHeight="1">
      <c r="A87" s="150">
        <v>15</v>
      </c>
      <c r="B87" s="181" t="s">
        <v>115</v>
      </c>
      <c r="C87" s="182" t="s">
        <v>130</v>
      </c>
      <c r="D87" s="150"/>
      <c r="E87" s="150"/>
      <c r="F87" s="150"/>
      <c r="G87" s="183">
        <v>207.55</v>
      </c>
      <c r="H87" s="150"/>
      <c r="I87" s="150">
        <f>G87*1</f>
        <v>207.55</v>
      </c>
    </row>
    <row r="88" spans="1:9" ht="15.75" hidden="1" customHeight="1">
      <c r="A88" s="150"/>
      <c r="B88" s="150"/>
      <c r="C88" s="150"/>
      <c r="D88" s="150"/>
      <c r="E88" s="150"/>
      <c r="F88" s="150"/>
      <c r="G88" s="150"/>
      <c r="H88" s="150"/>
      <c r="I88" s="150"/>
    </row>
    <row r="89" spans="1:9" ht="15.75" hidden="1" customHeight="1">
      <c r="A89" s="150"/>
      <c r="B89" s="150"/>
      <c r="C89" s="150"/>
      <c r="D89" s="150"/>
      <c r="E89" s="150"/>
      <c r="F89" s="150"/>
      <c r="G89" s="150"/>
      <c r="H89" s="150"/>
      <c r="I89" s="150"/>
    </row>
    <row r="90" spans="1:9" ht="15.75" customHeight="1">
      <c r="A90" s="42"/>
      <c r="B90" s="69" t="s">
        <v>60</v>
      </c>
      <c r="C90" s="65"/>
      <c r="D90" s="95"/>
      <c r="E90" s="65">
        <v>1</v>
      </c>
      <c r="F90" s="65"/>
      <c r="G90" s="65"/>
      <c r="H90" s="65"/>
      <c r="I90" s="49">
        <f>SUM(I84:I89)</f>
        <v>8525.33</v>
      </c>
    </row>
    <row r="91" spans="1:9" ht="15.75" customHeight="1">
      <c r="A91" s="42"/>
      <c r="B91" s="75" t="s">
        <v>107</v>
      </c>
      <c r="C91" s="22"/>
      <c r="D91" s="22"/>
      <c r="E91" s="66"/>
      <c r="F91" s="66"/>
      <c r="G91" s="67"/>
      <c r="H91" s="67"/>
      <c r="I91" s="25">
        <v>0</v>
      </c>
    </row>
    <row r="92" spans="1:9" ht="15.75" customHeight="1">
      <c r="A92" s="79"/>
      <c r="B92" s="70" t="s">
        <v>212</v>
      </c>
      <c r="C92" s="53"/>
      <c r="D92" s="53"/>
      <c r="E92" s="53"/>
      <c r="F92" s="53"/>
      <c r="G92" s="53"/>
      <c r="H92" s="53"/>
      <c r="I92" s="68">
        <f>I82+I90</f>
        <v>37674.425784666666</v>
      </c>
    </row>
    <row r="93" spans="1:9" ht="15.75">
      <c r="A93" s="206" t="s">
        <v>275</v>
      </c>
      <c r="B93" s="206"/>
      <c r="C93" s="206"/>
      <c r="D93" s="206"/>
      <c r="E93" s="206"/>
      <c r="F93" s="206"/>
      <c r="G93" s="206"/>
      <c r="H93" s="206"/>
      <c r="I93" s="206"/>
    </row>
    <row r="94" spans="1:9" ht="15.75" customHeight="1">
      <c r="A94" s="97"/>
      <c r="B94" s="207" t="s">
        <v>276</v>
      </c>
      <c r="C94" s="207"/>
      <c r="D94" s="207"/>
      <c r="E94" s="207"/>
      <c r="F94" s="207"/>
      <c r="G94" s="207"/>
      <c r="H94" s="101"/>
      <c r="I94" s="3"/>
    </row>
    <row r="95" spans="1:9">
      <c r="A95" s="123"/>
      <c r="B95" s="202" t="s">
        <v>6</v>
      </c>
      <c r="C95" s="202"/>
      <c r="D95" s="202"/>
      <c r="E95" s="202"/>
      <c r="F95" s="202"/>
      <c r="G95" s="202"/>
      <c r="H95" s="37"/>
      <c r="I95" s="5"/>
    </row>
    <row r="96" spans="1:9" ht="15.75" customHeight="1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5.75">
      <c r="A97" s="208" t="s">
        <v>7</v>
      </c>
      <c r="B97" s="208"/>
      <c r="C97" s="208"/>
      <c r="D97" s="208"/>
      <c r="E97" s="208"/>
      <c r="F97" s="208"/>
      <c r="G97" s="208"/>
      <c r="H97" s="208"/>
      <c r="I97" s="208"/>
    </row>
    <row r="98" spans="1:9" ht="16.5" customHeight="1">
      <c r="A98" s="208" t="s">
        <v>8</v>
      </c>
      <c r="B98" s="208"/>
      <c r="C98" s="208"/>
      <c r="D98" s="208"/>
      <c r="E98" s="208"/>
      <c r="F98" s="208"/>
      <c r="G98" s="208"/>
      <c r="H98" s="208"/>
      <c r="I98" s="208"/>
    </row>
    <row r="99" spans="1:9" ht="16.5" customHeight="1">
      <c r="A99" s="209" t="s">
        <v>78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 customHeight="1">
      <c r="A100" s="13"/>
    </row>
    <row r="101" spans="1:9" ht="15.75" customHeight="1">
      <c r="A101" s="200" t="s">
        <v>9</v>
      </c>
      <c r="B101" s="200"/>
      <c r="C101" s="200"/>
      <c r="D101" s="200"/>
      <c r="E101" s="200"/>
      <c r="F101" s="200"/>
      <c r="G101" s="200"/>
      <c r="H101" s="200"/>
      <c r="I101" s="200"/>
    </row>
    <row r="102" spans="1:9" ht="15.75">
      <c r="A102" s="4"/>
    </row>
    <row r="103" spans="1:9" ht="15.75" customHeight="1">
      <c r="B103" s="125" t="s">
        <v>10</v>
      </c>
      <c r="C103" s="201" t="s">
        <v>163</v>
      </c>
      <c r="D103" s="201"/>
      <c r="E103" s="201"/>
      <c r="F103" s="99"/>
      <c r="I103" s="122"/>
    </row>
    <row r="104" spans="1:9">
      <c r="A104" s="123"/>
      <c r="C104" s="202" t="s">
        <v>11</v>
      </c>
      <c r="D104" s="202"/>
      <c r="E104" s="202"/>
      <c r="F104" s="37"/>
      <c r="I104" s="124" t="s">
        <v>12</v>
      </c>
    </row>
    <row r="105" spans="1:9" ht="15.75">
      <c r="A105" s="38"/>
      <c r="C105" s="14"/>
      <c r="D105" s="14"/>
      <c r="G105" s="14"/>
      <c r="H105" s="14"/>
    </row>
    <row r="106" spans="1:9" ht="15.75">
      <c r="B106" s="125" t="s">
        <v>13</v>
      </c>
      <c r="C106" s="203"/>
      <c r="D106" s="203"/>
      <c r="E106" s="203"/>
      <c r="F106" s="100"/>
      <c r="I106" s="122"/>
    </row>
    <row r="107" spans="1:9">
      <c r="A107" s="123"/>
      <c r="C107" s="204" t="s">
        <v>11</v>
      </c>
      <c r="D107" s="204"/>
      <c r="E107" s="204"/>
      <c r="F107" s="123"/>
      <c r="I107" s="124" t="s">
        <v>12</v>
      </c>
    </row>
    <row r="108" spans="1:9" ht="15.75">
      <c r="A108" s="4" t="s">
        <v>14</v>
      </c>
    </row>
    <row r="109" spans="1:9">
      <c r="A109" s="205" t="s">
        <v>15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45" customHeight="1">
      <c r="A110" s="196" t="s">
        <v>16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30" customHeight="1">
      <c r="A111" s="196" t="s">
        <v>17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30" customHeight="1">
      <c r="A112" s="196" t="s">
        <v>22</v>
      </c>
      <c r="B112" s="196"/>
      <c r="C112" s="196"/>
      <c r="D112" s="196"/>
      <c r="E112" s="196"/>
      <c r="F112" s="196"/>
      <c r="G112" s="196"/>
      <c r="H112" s="196"/>
      <c r="I112" s="196"/>
    </row>
    <row r="113" spans="1:9" ht="15" customHeight="1">
      <c r="A113" s="196" t="s">
        <v>21</v>
      </c>
      <c r="B113" s="196"/>
      <c r="C113" s="196"/>
      <c r="D113" s="196"/>
      <c r="E113" s="196"/>
      <c r="F113" s="196"/>
      <c r="G113" s="196"/>
      <c r="H113" s="196"/>
      <c r="I113" s="19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7:E107"/>
    <mergeCell ref="A83:I83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79:I79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J94" sqref="J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219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19" t="s">
        <v>201</v>
      </c>
      <c r="B3" s="219"/>
      <c r="C3" s="219"/>
      <c r="D3" s="219"/>
      <c r="E3" s="219"/>
      <c r="F3" s="219"/>
      <c r="G3" s="219"/>
      <c r="H3" s="219"/>
      <c r="I3" s="219"/>
      <c r="J3" s="3"/>
      <c r="K3" s="3"/>
      <c r="L3" s="3"/>
    </row>
    <row r="4" spans="1:13" ht="31.5" customHeight="1">
      <c r="A4" s="220" t="s">
        <v>202</v>
      </c>
      <c r="B4" s="220"/>
      <c r="C4" s="220"/>
      <c r="D4" s="220"/>
      <c r="E4" s="220"/>
      <c r="F4" s="220"/>
      <c r="G4" s="220"/>
      <c r="H4" s="220"/>
      <c r="I4" s="220"/>
    </row>
    <row r="5" spans="1:13" ht="15.75">
      <c r="A5" s="219" t="s">
        <v>277</v>
      </c>
      <c r="B5" s="221"/>
      <c r="C5" s="221"/>
      <c r="D5" s="221"/>
      <c r="E5" s="221"/>
      <c r="F5" s="221"/>
      <c r="G5" s="221"/>
      <c r="H5" s="221"/>
      <c r="I5" s="221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43738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2" t="s">
        <v>220</v>
      </c>
      <c r="B8" s="222"/>
      <c r="C8" s="222"/>
      <c r="D8" s="222"/>
      <c r="E8" s="222"/>
      <c r="F8" s="222"/>
      <c r="G8" s="222"/>
      <c r="H8" s="222"/>
      <c r="I8" s="22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23" t="s">
        <v>203</v>
      </c>
      <c r="B10" s="223"/>
      <c r="C10" s="223"/>
      <c r="D10" s="223"/>
      <c r="E10" s="223"/>
      <c r="F10" s="223"/>
      <c r="G10" s="223"/>
      <c r="H10" s="223"/>
      <c r="I10" s="223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159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24" t="s">
        <v>73</v>
      </c>
      <c r="B14" s="224"/>
      <c r="C14" s="224"/>
      <c r="D14" s="224"/>
      <c r="E14" s="224"/>
      <c r="F14" s="224"/>
      <c r="G14" s="224"/>
      <c r="H14" s="224"/>
      <c r="I14" s="224"/>
      <c r="J14" s="10"/>
      <c r="K14" s="10"/>
      <c r="L14" s="10"/>
      <c r="M14" s="10"/>
    </row>
    <row r="15" spans="1:13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244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245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246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165</v>
      </c>
      <c r="C19" s="104" t="s">
        <v>166</v>
      </c>
      <c r="D19" s="103" t="s">
        <v>167</v>
      </c>
      <c r="E19" s="105">
        <v>32.4</v>
      </c>
      <c r="F19" s="106">
        <f>SUM(E19/10)</f>
        <v>3.2399999999999998</v>
      </c>
      <c r="G19" s="106">
        <v>211.74</v>
      </c>
      <c r="H19" s="107">
        <f t="shared" ref="H19:H27" si="1">SUM(F19*G19/1000)</f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customHeight="1">
      <c r="A20" s="42">
        <v>4</v>
      </c>
      <c r="B20" s="103" t="s">
        <v>168</v>
      </c>
      <c r="C20" s="104" t="s">
        <v>138</v>
      </c>
      <c r="D20" s="103" t="s">
        <v>233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f t="shared" ref="I20:I21" si="2">F20/2*G20</f>
        <v>28.467600000000001</v>
      </c>
      <c r="J20" s="35"/>
      <c r="K20" s="10"/>
      <c r="L20" s="10"/>
      <c r="M20" s="10"/>
    </row>
    <row r="21" spans="1:13" ht="15.75" customHeight="1">
      <c r="A21" s="42">
        <v>5</v>
      </c>
      <c r="B21" s="103" t="s">
        <v>169</v>
      </c>
      <c r="C21" s="104" t="s">
        <v>138</v>
      </c>
      <c r="D21" s="103" t="s">
        <v>233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f t="shared" si="2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170</v>
      </c>
      <c r="C22" s="104" t="s">
        <v>62</v>
      </c>
      <c r="D22" s="103" t="s">
        <v>167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171</v>
      </c>
      <c r="C23" s="104" t="s">
        <v>62</v>
      </c>
      <c r="D23" s="103" t="s">
        <v>167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f t="shared" ref="I23:I26" si="3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172</v>
      </c>
      <c r="C24" s="104" t="s">
        <v>62</v>
      </c>
      <c r="D24" s="103" t="s">
        <v>173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f t="shared" si="3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174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f t="shared" si="3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175</v>
      </c>
      <c r="C26" s="104" t="s">
        <v>62</v>
      </c>
      <c r="D26" s="103" t="s">
        <v>167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f t="shared" si="3"/>
        <v>93.319200000000009</v>
      </c>
      <c r="J26" s="35"/>
      <c r="K26" s="10"/>
      <c r="L26" s="10"/>
      <c r="M26" s="10"/>
    </row>
    <row r="27" spans="1:13" ht="15.75" customHeight="1">
      <c r="A27" s="42">
        <v>6</v>
      </c>
      <c r="B27" s="189" t="s">
        <v>243</v>
      </c>
      <c r="C27" s="190" t="s">
        <v>27</v>
      </c>
      <c r="D27" s="189" t="s">
        <v>253</v>
      </c>
      <c r="E27" s="191">
        <v>3.47</v>
      </c>
      <c r="F27" s="192">
        <f>E27*258</f>
        <v>895.2600000000001</v>
      </c>
      <c r="G27" s="192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0" t="s">
        <v>120</v>
      </c>
      <c r="B28" s="210"/>
      <c r="C28" s="210"/>
      <c r="D28" s="210"/>
      <c r="E28" s="210"/>
      <c r="F28" s="210"/>
      <c r="G28" s="210"/>
      <c r="H28" s="210"/>
      <c r="I28" s="210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8</v>
      </c>
      <c r="B30" s="51" t="s">
        <v>187</v>
      </c>
      <c r="C30" s="104" t="s">
        <v>155</v>
      </c>
      <c r="D30" s="103" t="s">
        <v>245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4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8</v>
      </c>
      <c r="B31" s="51" t="s">
        <v>188</v>
      </c>
      <c r="C31" s="104" t="s">
        <v>155</v>
      </c>
      <c r="D31" s="103" t="s">
        <v>244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4"/>
        <v>1.4609340719999999</v>
      </c>
      <c r="I31" s="19">
        <f t="shared" ref="I31" si="5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155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6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6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176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6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7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150</v>
      </c>
      <c r="C37" s="104" t="s">
        <v>32</v>
      </c>
      <c r="D37" s="103" t="s">
        <v>151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7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152</v>
      </c>
      <c r="C38" s="104" t="s">
        <v>153</v>
      </c>
      <c r="D38" s="103" t="s">
        <v>87</v>
      </c>
      <c r="E38" s="105"/>
      <c r="F38" s="106">
        <v>39</v>
      </c>
      <c r="G38" s="106">
        <v>226.84</v>
      </c>
      <c r="H38" s="107">
        <f t="shared" si="7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154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7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118</v>
      </c>
      <c r="C40" s="104" t="s">
        <v>155</v>
      </c>
      <c r="D40" s="103" t="s">
        <v>156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7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157</v>
      </c>
      <c r="C41" s="104" t="s">
        <v>155</v>
      </c>
      <c r="D41" s="103" t="s">
        <v>158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7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7"/>
        <v>0.89367300000000005</v>
      </c>
      <c r="I42" s="19">
        <f>F42/6*G42</f>
        <v>148.94550000000001</v>
      </c>
      <c r="J42" s="36"/>
    </row>
    <row r="43" spans="1:14" ht="15.75" customHeight="1">
      <c r="A43" s="211" t="s">
        <v>160</v>
      </c>
      <c r="B43" s="212"/>
      <c r="C43" s="212"/>
      <c r="D43" s="212"/>
      <c r="E43" s="212"/>
      <c r="F43" s="212"/>
      <c r="G43" s="212"/>
      <c r="H43" s="212"/>
      <c r="I43" s="213"/>
      <c r="J43" s="36"/>
    </row>
    <row r="44" spans="1:14" ht="15.75" customHeight="1">
      <c r="A44" s="64">
        <v>9</v>
      </c>
      <c r="B44" s="103" t="s">
        <v>177</v>
      </c>
      <c r="C44" s="104" t="s">
        <v>155</v>
      </c>
      <c r="D44" s="103" t="s">
        <v>233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8">SUM(F44*G44/1000)</f>
        <v>2.2622265960000001</v>
      </c>
      <c r="I44" s="19">
        <f t="shared" ref="I44:I46" si="9">F44/2*G44</f>
        <v>1131.113298</v>
      </c>
      <c r="J44" s="36"/>
    </row>
    <row r="45" spans="1:14" ht="15.75" customHeight="1">
      <c r="A45" s="64">
        <v>10</v>
      </c>
      <c r="B45" s="103" t="s">
        <v>40</v>
      </c>
      <c r="C45" s="104" t="s">
        <v>155</v>
      </c>
      <c r="D45" s="103" t="s">
        <v>233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8"/>
        <v>3.2159742784000001</v>
      </c>
      <c r="I45" s="19">
        <f t="shared" si="9"/>
        <v>1607.9871392</v>
      </c>
      <c r="J45" s="36"/>
    </row>
    <row r="46" spans="1:14" ht="15.75" customHeight="1">
      <c r="A46" s="64">
        <v>11</v>
      </c>
      <c r="B46" s="103" t="s">
        <v>41</v>
      </c>
      <c r="C46" s="104" t="s">
        <v>155</v>
      </c>
      <c r="D46" s="103" t="s">
        <v>233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8"/>
        <v>2.9431196201999996</v>
      </c>
      <c r="I46" s="19">
        <f t="shared" si="9"/>
        <v>1471.5598100999998</v>
      </c>
      <c r="J46" s="36"/>
    </row>
    <row r="47" spans="1:14" ht="15.75" customHeight="1">
      <c r="A47" s="64">
        <v>12</v>
      </c>
      <c r="B47" s="103" t="s">
        <v>37</v>
      </c>
      <c r="C47" s="104" t="s">
        <v>38</v>
      </c>
      <c r="D47" s="103" t="s">
        <v>233</v>
      </c>
      <c r="E47" s="105">
        <v>65.03</v>
      </c>
      <c r="F47" s="106">
        <f>SUM(E47*2/100)</f>
        <v>1.3006</v>
      </c>
      <c r="G47" s="19">
        <v>90.61</v>
      </c>
      <c r="H47" s="107">
        <f t="shared" si="8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customHeight="1">
      <c r="A48" s="64">
        <v>13</v>
      </c>
      <c r="B48" s="103" t="s">
        <v>70</v>
      </c>
      <c r="C48" s="104" t="s">
        <v>155</v>
      </c>
      <c r="D48" s="103" t="s">
        <v>233</v>
      </c>
      <c r="E48" s="105">
        <v>2062.5</v>
      </c>
      <c r="F48" s="106">
        <f>SUM(E48*5/1000)</f>
        <v>10.3125</v>
      </c>
      <c r="G48" s="19">
        <v>1711.28</v>
      </c>
      <c r="H48" s="107">
        <f t="shared" si="8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customHeight="1">
      <c r="A49" s="64">
        <v>14</v>
      </c>
      <c r="B49" s="103" t="s">
        <v>144</v>
      </c>
      <c r="C49" s="104" t="s">
        <v>155</v>
      </c>
      <c r="D49" s="103" t="s">
        <v>233</v>
      </c>
      <c r="E49" s="105">
        <v>2062.5</v>
      </c>
      <c r="F49" s="106">
        <f>SUM(E49*2/1000)</f>
        <v>4.125</v>
      </c>
      <c r="G49" s="19">
        <v>1510.06</v>
      </c>
      <c r="H49" s="107">
        <f t="shared" si="8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customHeight="1">
      <c r="A50" s="64">
        <v>15</v>
      </c>
      <c r="B50" s="103" t="s">
        <v>145</v>
      </c>
      <c r="C50" s="104" t="s">
        <v>44</v>
      </c>
      <c r="D50" s="103" t="s">
        <v>233</v>
      </c>
      <c r="E50" s="105">
        <v>12</v>
      </c>
      <c r="F50" s="106">
        <f>SUM(E50*2/100)</f>
        <v>0.24</v>
      </c>
      <c r="G50" s="19">
        <v>3850.4</v>
      </c>
      <c r="H50" s="107">
        <f t="shared" si="8"/>
        <v>0.92409600000000003</v>
      </c>
      <c r="I50" s="19">
        <f t="shared" ref="I50:I51" si="10">F50/2*G50</f>
        <v>462.048</v>
      </c>
      <c r="J50" s="36"/>
      <c r="L50" s="28"/>
      <c r="M50" s="29"/>
      <c r="N50" s="30"/>
    </row>
    <row r="51" spans="1:14" ht="15.75" customHeight="1">
      <c r="A51" s="64">
        <v>16</v>
      </c>
      <c r="B51" s="103" t="s">
        <v>45</v>
      </c>
      <c r="C51" s="104" t="s">
        <v>46</v>
      </c>
      <c r="D51" s="103" t="s">
        <v>233</v>
      </c>
      <c r="E51" s="105">
        <v>1</v>
      </c>
      <c r="F51" s="106">
        <v>0.02</v>
      </c>
      <c r="G51" s="19">
        <v>7033.13</v>
      </c>
      <c r="H51" s="107">
        <f t="shared" si="8"/>
        <v>0.1406626</v>
      </c>
      <c r="I51" s="19">
        <f t="shared" si="10"/>
        <v>70.331299999999999</v>
      </c>
      <c r="J51" s="36"/>
      <c r="L51" s="28"/>
      <c r="M51" s="29"/>
      <c r="N51" s="30"/>
    </row>
    <row r="52" spans="1:14" ht="15.75" hidden="1" customHeight="1">
      <c r="A52" s="64">
        <v>16</v>
      </c>
      <c r="B52" s="103" t="s">
        <v>48</v>
      </c>
      <c r="C52" s="104" t="s">
        <v>130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8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11" t="s">
        <v>161</v>
      </c>
      <c r="B53" s="214"/>
      <c r="C53" s="214"/>
      <c r="D53" s="214"/>
      <c r="E53" s="214"/>
      <c r="F53" s="214"/>
      <c r="G53" s="214"/>
      <c r="H53" s="214"/>
      <c r="I53" s="215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178</v>
      </c>
      <c r="C55" s="104" t="s">
        <v>138</v>
      </c>
      <c r="D55" s="103" t="s">
        <v>179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186</v>
      </c>
      <c r="C56" s="104" t="s">
        <v>206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180</v>
      </c>
      <c r="C58" s="104" t="s">
        <v>138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17</v>
      </c>
      <c r="B59" s="113" t="s">
        <v>146</v>
      </c>
      <c r="C59" s="112" t="s">
        <v>27</v>
      </c>
      <c r="D59" s="113" t="s">
        <v>233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customHeight="1">
      <c r="A61" s="64">
        <v>18</v>
      </c>
      <c r="B61" s="21" t="s">
        <v>54</v>
      </c>
      <c r="C61" s="23" t="s">
        <v>130</v>
      </c>
      <c r="D61" s="21" t="s">
        <v>278</v>
      </c>
      <c r="E61" s="26">
        <v>2</v>
      </c>
      <c r="F61" s="106">
        <f>E61</f>
        <v>2</v>
      </c>
      <c r="G61" s="19">
        <v>276.74</v>
      </c>
      <c r="H61" s="102">
        <f t="shared" ref="H61:H69" si="11">SUM(F61*G61/1000)</f>
        <v>0.55347999999999997</v>
      </c>
      <c r="I61" s="19">
        <f>G61*9</f>
        <v>2490.66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130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11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181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11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182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11"/>
        <v>1.7693409899999997</v>
      </c>
      <c r="I64" s="19">
        <f t="shared" ref="I64:I67" si="12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11"/>
        <v>35.366961000000003</v>
      </c>
      <c r="I65" s="19">
        <f t="shared" si="12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183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11"/>
        <v>0.40806999999999999</v>
      </c>
      <c r="I66" s="19">
        <f t="shared" si="12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207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11"/>
        <v>0.38072200000000006</v>
      </c>
      <c r="I67" s="19">
        <f t="shared" si="12"/>
        <v>380.72200000000004</v>
      </c>
      <c r="J67" s="36"/>
      <c r="L67" s="28"/>
      <c r="M67" s="29"/>
      <c r="N67" s="30"/>
    </row>
    <row r="68" spans="1:22" ht="15.75" customHeight="1">
      <c r="A68" s="42">
        <v>19</v>
      </c>
      <c r="B68" s="21" t="s">
        <v>71</v>
      </c>
      <c r="C68" s="23" t="s">
        <v>72</v>
      </c>
      <c r="D68" s="21" t="s">
        <v>232</v>
      </c>
      <c r="E68" s="26">
        <v>3</v>
      </c>
      <c r="F68" s="106">
        <v>3</v>
      </c>
      <c r="G68" s="19">
        <v>62.07</v>
      </c>
      <c r="H68" s="102">
        <f t="shared" si="11"/>
        <v>0.18621000000000001</v>
      </c>
      <c r="I68" s="19">
        <f>F68*G68</f>
        <v>186.21</v>
      </c>
      <c r="J68" s="36"/>
      <c r="L68" s="28"/>
      <c r="M68" s="29"/>
      <c r="N68" s="30"/>
    </row>
    <row r="69" spans="1:22" ht="15.75" customHeight="1">
      <c r="A69" s="42">
        <v>20</v>
      </c>
      <c r="B69" s="21" t="s">
        <v>148</v>
      </c>
      <c r="C69" s="42" t="s">
        <v>149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11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208</v>
      </c>
      <c r="C71" s="23" t="s">
        <v>209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3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210</v>
      </c>
      <c r="C72" s="23" t="s">
        <v>211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3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3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191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4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04"/>
      <c r="S76" s="204"/>
      <c r="T76" s="204"/>
      <c r="U76" s="204"/>
    </row>
    <row r="77" spans="1:22" ht="15.75" hidden="1" customHeight="1">
      <c r="A77" s="119"/>
      <c r="B77" s="121" t="s">
        <v>147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184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16" t="s">
        <v>162</v>
      </c>
      <c r="B79" s="217"/>
      <c r="C79" s="217"/>
      <c r="D79" s="217"/>
      <c r="E79" s="217"/>
      <c r="F79" s="217"/>
      <c r="G79" s="217"/>
      <c r="H79" s="217"/>
      <c r="I79" s="218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21</v>
      </c>
      <c r="B80" s="103" t="s">
        <v>185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22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112</v>
      </c>
      <c r="C82" s="64"/>
      <c r="D82" s="22"/>
      <c r="E82" s="22"/>
      <c r="F82" s="22"/>
      <c r="G82" s="26"/>
      <c r="H82" s="26"/>
      <c r="I82" s="49">
        <f>I81+I80+I69+I68+I61+I59+I51+I50+I49+I48+I47+I46+I45+I44+I31+I30+I27+I21+I20+I18+I17+I16</f>
        <v>37442.957500966666</v>
      </c>
    </row>
    <row r="83" spans="1:9" ht="15.75" customHeight="1">
      <c r="A83" s="197" t="s">
        <v>75</v>
      </c>
      <c r="B83" s="198"/>
      <c r="C83" s="198"/>
      <c r="D83" s="198"/>
      <c r="E83" s="198"/>
      <c r="F83" s="198"/>
      <c r="G83" s="198"/>
      <c r="H83" s="198"/>
      <c r="I83" s="199"/>
    </row>
    <row r="84" spans="1:9" ht="20.25" customHeight="1">
      <c r="A84" s="135">
        <v>23</v>
      </c>
      <c r="B84" s="194" t="s">
        <v>279</v>
      </c>
      <c r="C84" s="182" t="s">
        <v>130</v>
      </c>
      <c r="D84" s="23"/>
      <c r="E84" s="19"/>
      <c r="F84" s="19">
        <v>2</v>
      </c>
      <c r="G84" s="183">
        <v>207.32</v>
      </c>
      <c r="H84" s="102">
        <f t="shared" ref="H84" si="15">G84*F84/1000</f>
        <v>0.41464000000000001</v>
      </c>
      <c r="I84" s="136">
        <f>G84*1</f>
        <v>207.32</v>
      </c>
    </row>
    <row r="85" spans="1:9" ht="45" customHeight="1">
      <c r="A85" s="155">
        <v>24</v>
      </c>
      <c r="B85" s="181" t="s">
        <v>281</v>
      </c>
      <c r="C85" s="182" t="s">
        <v>280</v>
      </c>
      <c r="D85" s="156"/>
      <c r="E85" s="157"/>
      <c r="F85" s="157"/>
      <c r="G85" s="183">
        <v>2609.04</v>
      </c>
      <c r="H85" s="158"/>
      <c r="I85" s="159">
        <f>G85*0.72</f>
        <v>1878.5087999999998</v>
      </c>
    </row>
    <row r="86" spans="1:9" ht="15.75" hidden="1" customHeight="1">
      <c r="A86" s="155"/>
      <c r="B86" s="152"/>
      <c r="C86" s="153"/>
      <c r="D86" s="156"/>
      <c r="E86" s="157"/>
      <c r="F86" s="157"/>
      <c r="G86" s="157"/>
      <c r="H86" s="158"/>
      <c r="I86" s="159"/>
    </row>
    <row r="87" spans="1:9" ht="15.75" hidden="1" customHeight="1">
      <c r="A87" s="155"/>
      <c r="B87" s="152"/>
      <c r="C87" s="153"/>
      <c r="D87" s="156"/>
      <c r="E87" s="157"/>
      <c r="F87" s="157"/>
      <c r="G87" s="157"/>
      <c r="H87" s="158"/>
      <c r="I87" s="159"/>
    </row>
    <row r="88" spans="1:9" ht="15.75" customHeight="1">
      <c r="A88" s="178">
        <v>25</v>
      </c>
      <c r="B88" s="181" t="s">
        <v>240</v>
      </c>
      <c r="C88" s="182" t="s">
        <v>215</v>
      </c>
      <c r="D88" s="186"/>
      <c r="E88" s="187"/>
      <c r="F88" s="187"/>
      <c r="G88" s="184">
        <v>273</v>
      </c>
      <c r="H88" s="188"/>
      <c r="I88" s="195">
        <f>G88*2</f>
        <v>546</v>
      </c>
    </row>
    <row r="89" spans="1:9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SUM(I84:I88)</f>
        <v>2631.8287999999998</v>
      </c>
    </row>
    <row r="90" spans="1:9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9" ht="15.75" customHeight="1">
      <c r="A91" s="79"/>
      <c r="B91" s="70" t="s">
        <v>212</v>
      </c>
      <c r="C91" s="53"/>
      <c r="D91" s="53"/>
      <c r="E91" s="53"/>
      <c r="F91" s="53"/>
      <c r="G91" s="53"/>
      <c r="H91" s="53"/>
      <c r="I91" s="68">
        <f>I82+I89</f>
        <v>40074.786300966669</v>
      </c>
    </row>
    <row r="92" spans="1:9" ht="15.75">
      <c r="A92" s="206" t="s">
        <v>282</v>
      </c>
      <c r="B92" s="206"/>
      <c r="C92" s="206"/>
      <c r="D92" s="206"/>
      <c r="E92" s="206"/>
      <c r="F92" s="206"/>
      <c r="G92" s="206"/>
      <c r="H92" s="206"/>
      <c r="I92" s="206"/>
    </row>
    <row r="93" spans="1:9" ht="15.75" customHeight="1">
      <c r="A93" s="97"/>
      <c r="B93" s="207" t="s">
        <v>283</v>
      </c>
      <c r="C93" s="207"/>
      <c r="D93" s="207"/>
      <c r="E93" s="207"/>
      <c r="F93" s="207"/>
      <c r="G93" s="207"/>
      <c r="H93" s="101"/>
      <c r="I93" s="3"/>
    </row>
    <row r="94" spans="1:9">
      <c r="A94" s="123"/>
      <c r="B94" s="202" t="s">
        <v>6</v>
      </c>
      <c r="C94" s="202"/>
      <c r="D94" s="202"/>
      <c r="E94" s="202"/>
      <c r="F94" s="202"/>
      <c r="G94" s="202"/>
      <c r="H94" s="37"/>
      <c r="I94" s="5"/>
    </row>
    <row r="95" spans="1:9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15.75">
      <c r="A96" s="208" t="s">
        <v>7</v>
      </c>
      <c r="B96" s="208"/>
      <c r="C96" s="208"/>
      <c r="D96" s="208"/>
      <c r="E96" s="208"/>
      <c r="F96" s="208"/>
      <c r="G96" s="208"/>
      <c r="H96" s="208"/>
      <c r="I96" s="208"/>
    </row>
    <row r="97" spans="1:9" ht="16.5" customHeight="1">
      <c r="A97" s="208" t="s">
        <v>8</v>
      </c>
      <c r="B97" s="208"/>
      <c r="C97" s="208"/>
      <c r="D97" s="208"/>
      <c r="E97" s="208"/>
      <c r="F97" s="208"/>
      <c r="G97" s="208"/>
      <c r="H97" s="208"/>
      <c r="I97" s="208"/>
    </row>
    <row r="98" spans="1:9" ht="16.5" customHeight="1">
      <c r="A98" s="209" t="s">
        <v>78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 customHeight="1">
      <c r="A99" s="13"/>
    </row>
    <row r="100" spans="1:9" ht="15.75" customHeight="1">
      <c r="A100" s="200" t="s">
        <v>9</v>
      </c>
      <c r="B100" s="200"/>
      <c r="C100" s="200"/>
      <c r="D100" s="200"/>
      <c r="E100" s="200"/>
      <c r="F100" s="200"/>
      <c r="G100" s="200"/>
      <c r="H100" s="200"/>
      <c r="I100" s="200"/>
    </row>
    <row r="101" spans="1:9" ht="15.75">
      <c r="A101" s="4"/>
    </row>
    <row r="102" spans="1:9" ht="15.75" customHeight="1">
      <c r="B102" s="125" t="s">
        <v>10</v>
      </c>
      <c r="C102" s="201" t="s">
        <v>163</v>
      </c>
      <c r="D102" s="201"/>
      <c r="E102" s="201"/>
      <c r="F102" s="99"/>
      <c r="I102" s="122"/>
    </row>
    <row r="103" spans="1:9">
      <c r="A103" s="123"/>
      <c r="C103" s="202" t="s">
        <v>11</v>
      </c>
      <c r="D103" s="202"/>
      <c r="E103" s="202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203"/>
      <c r="D105" s="203"/>
      <c r="E105" s="203"/>
      <c r="F105" s="100"/>
      <c r="I105" s="122"/>
    </row>
    <row r="106" spans="1:9">
      <c r="A106" s="123"/>
      <c r="C106" s="204" t="s">
        <v>11</v>
      </c>
      <c r="D106" s="204"/>
      <c r="E106" s="204"/>
      <c r="F106" s="123"/>
      <c r="I106" s="124" t="s">
        <v>12</v>
      </c>
    </row>
    <row r="107" spans="1:9" ht="15.75">
      <c r="A107" s="4" t="s">
        <v>14</v>
      </c>
    </row>
    <row r="108" spans="1:9">
      <c r="A108" s="205" t="s">
        <v>15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45" customHeight="1">
      <c r="A109" s="196" t="s">
        <v>16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30" customHeight="1">
      <c r="A110" s="196" t="s">
        <v>17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30" customHeight="1">
      <c r="A111" s="196" t="s">
        <v>22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15" customHeight="1">
      <c r="A112" s="196" t="s">
        <v>21</v>
      </c>
      <c r="B112" s="196"/>
      <c r="C112" s="196"/>
      <c r="D112" s="196"/>
      <c r="E112" s="196"/>
      <c r="F112" s="196"/>
      <c r="G112" s="196"/>
      <c r="H112" s="196"/>
      <c r="I112" s="196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6:E106"/>
    <mergeCell ref="A83:I83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9:I79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юбьмрмить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  <vt:lpstr>юбьмрмить!Область_печати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2020-02-18T05:26:16Z</cp:lastPrinted>
  <dcterms:created xsi:type="dcterms:W3CDTF">2016-03-25T08:33:47Z</dcterms:created>
  <dcterms:modified xsi:type="dcterms:W3CDTF">2020-02-18T05:27:27Z</dcterms:modified>
</cp:coreProperties>
</file>