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585" yWindow="-30" windowWidth="15555" windowHeight="8145"/>
  </bookViews>
  <sheets>
    <sheet name="01.16" sheetId="18" r:id="rId1"/>
    <sheet name="02.16" sheetId="19" r:id="rId2"/>
    <sheet name="03.16" sheetId="20" r:id="rId3"/>
    <sheet name="04.16" sheetId="21" r:id="rId4"/>
    <sheet name="05.16" sheetId="22" r:id="rId5"/>
    <sheet name="06.16" sheetId="23" r:id="rId6"/>
    <sheet name="07.16" sheetId="24" r:id="rId7"/>
    <sheet name="08.16" sheetId="25" r:id="rId8"/>
    <sheet name="09.16" sheetId="26" r:id="rId9"/>
    <sheet name="10.16" sheetId="27" r:id="rId10"/>
    <sheet name="11.16" sheetId="14" r:id="rId11"/>
    <sheet name="12.16" sheetId="8" r:id="rId12"/>
    <sheet name="Лист2" sheetId="17" r:id="rId13"/>
  </sheets>
  <definedNames>
    <definedName name="_xlnm._FilterDatabase" localSheetId="0" hidden="1">'01.16'!$I$14:$I$98</definedName>
    <definedName name="_xlnm._FilterDatabase" localSheetId="1" hidden="1">'02.16'!$I$14:$I$87</definedName>
    <definedName name="_xlnm._FilterDatabase" localSheetId="2" hidden="1">'03.16'!$I$14:$I$89</definedName>
    <definedName name="_xlnm._FilterDatabase" localSheetId="3" hidden="1">'04.16'!$I$14:$I$91</definedName>
    <definedName name="_xlnm._FilterDatabase" localSheetId="4" hidden="1">'05.16'!$I$14:$I$98</definedName>
    <definedName name="_xlnm._FilterDatabase" localSheetId="5" hidden="1">'06.16'!$I$14:$I$89</definedName>
    <definedName name="_xlnm._FilterDatabase" localSheetId="6" hidden="1">'07.16'!$I$14:$I$87</definedName>
    <definedName name="_xlnm._FilterDatabase" localSheetId="7" hidden="1">'08.16'!$I$14:$I$89</definedName>
    <definedName name="_xlnm._FilterDatabase" localSheetId="8" hidden="1">'09.16'!$I$14:$I$88</definedName>
    <definedName name="_xlnm._FilterDatabase" localSheetId="9" hidden="1">'10.16'!$G$14:$G$91</definedName>
    <definedName name="_xlnm._FilterDatabase" localSheetId="10" hidden="1">'11.16'!$G$13:$G$67</definedName>
    <definedName name="_xlnm._FilterDatabase" localSheetId="11" hidden="1">'12.16'!$G$14:$G$87</definedName>
    <definedName name="_xlnm.Print_Titles" localSheetId="10">'11.16'!$13:$14</definedName>
    <definedName name="_xlnm.Print_Area" localSheetId="1">'02.16'!$A$1:$I$107</definedName>
    <definedName name="_xlnm.Print_Area" localSheetId="3">'04.16'!$A$1:$I$111</definedName>
    <definedName name="_xlnm.Print_Area" localSheetId="4">'05.16'!$A$1:$I$118</definedName>
    <definedName name="_xlnm.Print_Area" localSheetId="5">'06.16'!$A$1:$I$109</definedName>
    <definedName name="_xlnm.Print_Area" localSheetId="6">'07.16'!$A$1:$I$107</definedName>
    <definedName name="_xlnm.Print_Area" localSheetId="7">'08.16'!$A$1:$I$109</definedName>
    <definedName name="_xlnm.Print_Area" localSheetId="8">'09.16'!$A$1:$I$108</definedName>
    <definedName name="_xlnm.Print_Area" localSheetId="9">'10.16'!$A$1:$G$111</definedName>
    <definedName name="_xlnm.Print_Area" localSheetId="10">'11.16'!$A$1:$G$90</definedName>
    <definedName name="_xlnm.Print_Area" localSheetId="11">'12.16'!$A$1:$G$107</definedName>
  </definedNames>
  <calcPr calcId="124519"/>
</workbook>
</file>

<file path=xl/calcChain.xml><?xml version="1.0" encoding="utf-8"?>
<calcChain xmlns="http://schemas.openxmlformats.org/spreadsheetml/2006/main">
  <c r="G87" i="27"/>
  <c r="G79"/>
  <c r="G89" l="1"/>
  <c r="E77"/>
  <c r="E69"/>
  <c r="E68"/>
  <c r="E65"/>
  <c r="E57"/>
  <c r="E55"/>
  <c r="E52"/>
  <c r="E47"/>
  <c r="E46"/>
  <c r="E45"/>
  <c r="E44"/>
  <c r="E43"/>
  <c r="E42"/>
  <c r="E38" s="1"/>
  <c r="E41"/>
  <c r="E37" s="1"/>
  <c r="E40"/>
  <c r="E34" s="1"/>
  <c r="E36"/>
  <c r="E35"/>
  <c r="E33"/>
  <c r="E25"/>
  <c r="I83" i="26"/>
  <c r="I82"/>
  <c r="I84" s="1"/>
  <c r="I68"/>
  <c r="I52"/>
  <c r="F83"/>
  <c r="H83" s="1"/>
  <c r="F82"/>
  <c r="H82" s="1"/>
  <c r="H84"/>
  <c r="E79"/>
  <c r="F79" s="1"/>
  <c r="I79" s="1"/>
  <c r="F78"/>
  <c r="I78" s="1"/>
  <c r="I76"/>
  <c r="H76"/>
  <c r="H74"/>
  <c r="H72"/>
  <c r="H71"/>
  <c r="H70"/>
  <c r="H68"/>
  <c r="F67"/>
  <c r="I67" s="1"/>
  <c r="F66"/>
  <c r="I66" s="1"/>
  <c r="F65"/>
  <c r="I65" s="1"/>
  <c r="F64"/>
  <c r="I64" s="1"/>
  <c r="F63"/>
  <c r="I63" s="1"/>
  <c r="H62"/>
  <c r="I61"/>
  <c r="H61"/>
  <c r="H59"/>
  <c r="F57"/>
  <c r="I57" s="1"/>
  <c r="I54"/>
  <c r="F54"/>
  <c r="H54" s="1"/>
  <c r="I53"/>
  <c r="F53"/>
  <c r="H53" s="1"/>
  <c r="H52"/>
  <c r="F51"/>
  <c r="H51" s="1"/>
  <c r="F50"/>
  <c r="H50" s="1"/>
  <c r="F49"/>
  <c r="I49" s="1"/>
  <c r="F48"/>
  <c r="I48" s="1"/>
  <c r="F47"/>
  <c r="I47" s="1"/>
  <c r="F46"/>
  <c r="I46" s="1"/>
  <c r="F45"/>
  <c r="I45" s="1"/>
  <c r="F44"/>
  <c r="I44" s="1"/>
  <c r="I42"/>
  <c r="H42"/>
  <c r="F41"/>
  <c r="H41" s="1"/>
  <c r="F40"/>
  <c r="I40" s="1"/>
  <c r="F39"/>
  <c r="I39" s="1"/>
  <c r="H38"/>
  <c r="F37"/>
  <c r="I37" s="1"/>
  <c r="F36"/>
  <c r="I36" s="1"/>
  <c r="I35"/>
  <c r="H35"/>
  <c r="H33"/>
  <c r="H32"/>
  <c r="H31"/>
  <c r="F31"/>
  <c r="I31" s="1"/>
  <c r="F30"/>
  <c r="I30" s="1"/>
  <c r="F29"/>
  <c r="I29" s="1"/>
  <c r="F28"/>
  <c r="I28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F18"/>
  <c r="I18" s="1"/>
  <c r="E17"/>
  <c r="F17" s="1"/>
  <c r="F16"/>
  <c r="I16" s="1"/>
  <c r="F15"/>
  <c r="H15" s="1"/>
  <c r="I84" i="25"/>
  <c r="I83"/>
  <c r="I82"/>
  <c r="I85" s="1"/>
  <c r="F84"/>
  <c r="H84" s="1"/>
  <c r="F83"/>
  <c r="H83" s="1"/>
  <c r="H82"/>
  <c r="H85"/>
  <c r="E79"/>
  <c r="F79" s="1"/>
  <c r="F78"/>
  <c r="I78" s="1"/>
  <c r="I76"/>
  <c r="H76"/>
  <c r="H74"/>
  <c r="H72"/>
  <c r="H71"/>
  <c r="H70"/>
  <c r="H68"/>
  <c r="F67"/>
  <c r="I67" s="1"/>
  <c r="F66"/>
  <c r="H66" s="1"/>
  <c r="F65"/>
  <c r="I65" s="1"/>
  <c r="F64"/>
  <c r="H64" s="1"/>
  <c r="F63"/>
  <c r="I63" s="1"/>
  <c r="H62"/>
  <c r="I61"/>
  <c r="H61"/>
  <c r="H59"/>
  <c r="F57"/>
  <c r="H57" s="1"/>
  <c r="I54"/>
  <c r="F54"/>
  <c r="H54" s="1"/>
  <c r="I53"/>
  <c r="F53"/>
  <c r="H53" s="1"/>
  <c r="H52"/>
  <c r="F51"/>
  <c r="H51" s="1"/>
  <c r="F50"/>
  <c r="H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H38"/>
  <c r="H37"/>
  <c r="F37"/>
  <c r="I37" s="1"/>
  <c r="F36"/>
  <c r="I36" s="1"/>
  <c r="I35"/>
  <c r="H35"/>
  <c r="H33"/>
  <c r="H32"/>
  <c r="H31"/>
  <c r="F31"/>
  <c r="I31" s="1"/>
  <c r="F30"/>
  <c r="I30" s="1"/>
  <c r="F29"/>
  <c r="H29" s="1"/>
  <c r="F28"/>
  <c r="I28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F18"/>
  <c r="H18" s="1"/>
  <c r="E17"/>
  <c r="F17" s="1"/>
  <c r="F16"/>
  <c r="I16" s="1"/>
  <c r="F15"/>
  <c r="H15" s="1"/>
  <c r="I82" i="24"/>
  <c r="I83" s="1"/>
  <c r="F82"/>
  <c r="H82" s="1"/>
  <c r="H83"/>
  <c r="E79"/>
  <c r="F79" s="1"/>
  <c r="F78"/>
  <c r="I78" s="1"/>
  <c r="I76"/>
  <c r="H76"/>
  <c r="H74"/>
  <c r="H72"/>
  <c r="H71"/>
  <c r="H70"/>
  <c r="H68"/>
  <c r="F67"/>
  <c r="I67" s="1"/>
  <c r="F66"/>
  <c r="H66" s="1"/>
  <c r="F65"/>
  <c r="I65" s="1"/>
  <c r="F64"/>
  <c r="H64" s="1"/>
  <c r="F63"/>
  <c r="I63" s="1"/>
  <c r="H62"/>
  <c r="I61"/>
  <c r="H61"/>
  <c r="H59"/>
  <c r="F57"/>
  <c r="H57" s="1"/>
  <c r="I54"/>
  <c r="F54"/>
  <c r="H54" s="1"/>
  <c r="I53"/>
  <c r="F53"/>
  <c r="H53" s="1"/>
  <c r="H52"/>
  <c r="F51"/>
  <c r="H51" s="1"/>
  <c r="F50"/>
  <c r="H50" s="1"/>
  <c r="F49"/>
  <c r="I49" s="1"/>
  <c r="F48"/>
  <c r="I48" s="1"/>
  <c r="F47"/>
  <c r="I47" s="1"/>
  <c r="F46"/>
  <c r="I46" s="1"/>
  <c r="F45"/>
  <c r="I45" s="1"/>
  <c r="F44"/>
  <c r="I44" s="1"/>
  <c r="I42"/>
  <c r="H42"/>
  <c r="F41"/>
  <c r="I41" s="1"/>
  <c r="F40"/>
  <c r="I40" s="1"/>
  <c r="F39"/>
  <c r="I39" s="1"/>
  <c r="H38"/>
  <c r="F37"/>
  <c r="I37" s="1"/>
  <c r="F36"/>
  <c r="I36" s="1"/>
  <c r="I35"/>
  <c r="H35"/>
  <c r="H33"/>
  <c r="H32"/>
  <c r="H31"/>
  <c r="F31"/>
  <c r="I31" s="1"/>
  <c r="F30"/>
  <c r="I30" s="1"/>
  <c r="F29"/>
  <c r="I29" s="1"/>
  <c r="F28"/>
  <c r="I28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F18"/>
  <c r="I18" s="1"/>
  <c r="E17"/>
  <c r="F17" s="1"/>
  <c r="I17" s="1"/>
  <c r="F16"/>
  <c r="I16" s="1"/>
  <c r="F15"/>
  <c r="I15" s="1"/>
  <c r="I84" i="23"/>
  <c r="I83"/>
  <c r="I82"/>
  <c r="I85"/>
  <c r="H84"/>
  <c r="H83"/>
  <c r="H82"/>
  <c r="H85"/>
  <c r="E79"/>
  <c r="F79" s="1"/>
  <c r="I79" s="1"/>
  <c r="F78"/>
  <c r="I78" s="1"/>
  <c r="I76"/>
  <c r="H76"/>
  <c r="H74"/>
  <c r="H72"/>
  <c r="H71"/>
  <c r="H70"/>
  <c r="H68"/>
  <c r="F67"/>
  <c r="I67" s="1"/>
  <c r="F66"/>
  <c r="I66" s="1"/>
  <c r="F65"/>
  <c r="I65" s="1"/>
  <c r="F64"/>
  <c r="I64" s="1"/>
  <c r="F63"/>
  <c r="I63" s="1"/>
  <c r="H62"/>
  <c r="I61"/>
  <c r="H61"/>
  <c r="H59"/>
  <c r="F57"/>
  <c r="I57" s="1"/>
  <c r="I54"/>
  <c r="F54"/>
  <c r="H54" s="1"/>
  <c r="I53"/>
  <c r="F53"/>
  <c r="H53" s="1"/>
  <c r="H52"/>
  <c r="F51"/>
  <c r="H51" s="1"/>
  <c r="F50"/>
  <c r="H50" s="1"/>
  <c r="F49"/>
  <c r="I49" s="1"/>
  <c r="F48"/>
  <c r="I48" s="1"/>
  <c r="F47"/>
  <c r="I47" s="1"/>
  <c r="F46"/>
  <c r="I46" s="1"/>
  <c r="F45"/>
  <c r="I45" s="1"/>
  <c r="F44"/>
  <c r="I44" s="1"/>
  <c r="I42"/>
  <c r="H42"/>
  <c r="F41"/>
  <c r="I41" s="1"/>
  <c r="F40"/>
  <c r="I40" s="1"/>
  <c r="F39"/>
  <c r="I39" s="1"/>
  <c r="H38"/>
  <c r="F37"/>
  <c r="I37" s="1"/>
  <c r="F36"/>
  <c r="I36" s="1"/>
  <c r="I35"/>
  <c r="H35"/>
  <c r="H33"/>
  <c r="H32"/>
  <c r="H31"/>
  <c r="F31"/>
  <c r="I31" s="1"/>
  <c r="F30"/>
  <c r="I30" s="1"/>
  <c r="F29"/>
  <c r="I29" s="1"/>
  <c r="F28"/>
  <c r="I28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F18"/>
  <c r="I18" s="1"/>
  <c r="E17"/>
  <c r="F17" s="1"/>
  <c r="I17" s="1"/>
  <c r="F16"/>
  <c r="I16" s="1"/>
  <c r="F15"/>
  <c r="I15" s="1"/>
  <c r="I80" s="1"/>
  <c r="H18" i="24" l="1"/>
  <c r="H37" i="26"/>
  <c r="H45"/>
  <c r="H26"/>
  <c r="H39"/>
  <c r="H47"/>
  <c r="H57"/>
  <c r="H29"/>
  <c r="H64"/>
  <c r="I50"/>
  <c r="I51"/>
  <c r="H66"/>
  <c r="H49"/>
  <c r="H18"/>
  <c r="H22"/>
  <c r="H20"/>
  <c r="H24"/>
  <c r="I17"/>
  <c r="H17"/>
  <c r="I15"/>
  <c r="H16"/>
  <c r="H19"/>
  <c r="H21"/>
  <c r="H23"/>
  <c r="H25"/>
  <c r="H28"/>
  <c r="H30"/>
  <c r="H36"/>
  <c r="H40"/>
  <c r="I41"/>
  <c r="H44"/>
  <c r="H46"/>
  <c r="H48"/>
  <c r="H63"/>
  <c r="H65"/>
  <c r="H67"/>
  <c r="H78"/>
  <c r="H79"/>
  <c r="H80" s="1"/>
  <c r="H81" s="1"/>
  <c r="H16" i="25"/>
  <c r="I79"/>
  <c r="H79"/>
  <c r="H80" s="1"/>
  <c r="H81" s="1"/>
  <c r="I17"/>
  <c r="H17"/>
  <c r="I15"/>
  <c r="I18"/>
  <c r="H19"/>
  <c r="I20"/>
  <c r="H21"/>
  <c r="I22"/>
  <c r="H23"/>
  <c r="I24"/>
  <c r="H25"/>
  <c r="I26"/>
  <c r="H28"/>
  <c r="I29"/>
  <c r="H30"/>
  <c r="H36"/>
  <c r="I39"/>
  <c r="H40"/>
  <c r="I41"/>
  <c r="H44"/>
  <c r="I45"/>
  <c r="H46"/>
  <c r="I47"/>
  <c r="H48"/>
  <c r="I49"/>
  <c r="I57"/>
  <c r="H63"/>
  <c r="I64"/>
  <c r="H65"/>
  <c r="I66"/>
  <c r="H67"/>
  <c r="H78"/>
  <c r="H15" i="24"/>
  <c r="H26"/>
  <c r="H39"/>
  <c r="H29"/>
  <c r="H37"/>
  <c r="H41"/>
  <c r="H45"/>
  <c r="H49"/>
  <c r="H47"/>
  <c r="H22"/>
  <c r="H20"/>
  <c r="H24"/>
  <c r="I79"/>
  <c r="I80" s="1"/>
  <c r="H79"/>
  <c r="H80" s="1"/>
  <c r="H81" s="1"/>
  <c r="H16"/>
  <c r="H17"/>
  <c r="H19"/>
  <c r="H21"/>
  <c r="H23"/>
  <c r="H25"/>
  <c r="H28"/>
  <c r="H30"/>
  <c r="H36"/>
  <c r="H40"/>
  <c r="H44"/>
  <c r="H46"/>
  <c r="H48"/>
  <c r="I57"/>
  <c r="H63"/>
  <c r="I64"/>
  <c r="H65"/>
  <c r="I66"/>
  <c r="H67"/>
  <c r="H78"/>
  <c r="H18" i="23"/>
  <c r="H29"/>
  <c r="H37"/>
  <c r="H41"/>
  <c r="H15"/>
  <c r="H26"/>
  <c r="H39"/>
  <c r="H64"/>
  <c r="H57"/>
  <c r="H66"/>
  <c r="H47"/>
  <c r="H45"/>
  <c r="H49"/>
  <c r="H20"/>
  <c r="H24"/>
  <c r="H22"/>
  <c r="I87"/>
  <c r="H16"/>
  <c r="H17"/>
  <c r="H19"/>
  <c r="H21"/>
  <c r="H23"/>
  <c r="H25"/>
  <c r="H28"/>
  <c r="H30"/>
  <c r="H36"/>
  <c r="H40"/>
  <c r="H44"/>
  <c r="H46"/>
  <c r="H48"/>
  <c r="H63"/>
  <c r="H65"/>
  <c r="H67"/>
  <c r="H78"/>
  <c r="H79"/>
  <c r="H80" s="1"/>
  <c r="H81" s="1"/>
  <c r="I80" i="26" l="1"/>
  <c r="I86" s="1"/>
  <c r="I80" i="25"/>
  <c r="I87" s="1"/>
  <c r="I85" i="24"/>
  <c r="I87" i="22" l="1"/>
  <c r="I94" s="1"/>
  <c r="I76"/>
  <c r="F93"/>
  <c r="H93" s="1"/>
  <c r="H92"/>
  <c r="H91"/>
  <c r="H90"/>
  <c r="H89"/>
  <c r="F88"/>
  <c r="H88" s="1"/>
  <c r="H87"/>
  <c r="H86"/>
  <c r="F86"/>
  <c r="H85"/>
  <c r="H84"/>
  <c r="H83"/>
  <c r="I82"/>
  <c r="H82"/>
  <c r="H94" s="1"/>
  <c r="E79"/>
  <c r="F79" s="1"/>
  <c r="F78"/>
  <c r="H78" s="1"/>
  <c r="H76"/>
  <c r="H74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I57" s="1"/>
  <c r="I54"/>
  <c r="F54"/>
  <c r="H54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F41"/>
  <c r="H41" s="1"/>
  <c r="F40"/>
  <c r="I40" s="1"/>
  <c r="F39"/>
  <c r="H39" s="1"/>
  <c r="H38"/>
  <c r="F37"/>
  <c r="H37" s="1"/>
  <c r="F36"/>
  <c r="I36" s="1"/>
  <c r="I35"/>
  <c r="H35"/>
  <c r="H33"/>
  <c r="H32"/>
  <c r="H31"/>
  <c r="F31"/>
  <c r="I31" s="1"/>
  <c r="H30"/>
  <c r="F30"/>
  <c r="I30" s="1"/>
  <c r="H29"/>
  <c r="F29"/>
  <c r="I29" s="1"/>
  <c r="H28"/>
  <c r="F28"/>
  <c r="I28" s="1"/>
  <c r="F26"/>
  <c r="H26" s="1"/>
  <c r="F25"/>
  <c r="I25" s="1"/>
  <c r="F24"/>
  <c r="H24" s="1"/>
  <c r="F23"/>
  <c r="H23" s="1"/>
  <c r="F22"/>
  <c r="H22" s="1"/>
  <c r="F21"/>
  <c r="H21" s="1"/>
  <c r="F20"/>
  <c r="H20" s="1"/>
  <c r="F19"/>
  <c r="H19" s="1"/>
  <c r="F18"/>
  <c r="H18" s="1"/>
  <c r="E17"/>
  <c r="F17" s="1"/>
  <c r="H17" s="1"/>
  <c r="F16"/>
  <c r="H16" s="1"/>
  <c r="H15"/>
  <c r="F15"/>
  <c r="I15" s="1"/>
  <c r="I86" i="21"/>
  <c r="I84"/>
  <c r="I85"/>
  <c r="I83"/>
  <c r="I82"/>
  <c r="I87" s="1"/>
  <c r="I38"/>
  <c r="H86"/>
  <c r="H85"/>
  <c r="F85"/>
  <c r="H84"/>
  <c r="F83"/>
  <c r="H83" s="1"/>
  <c r="H82"/>
  <c r="E79"/>
  <c r="F79" s="1"/>
  <c r="F78"/>
  <c r="I78" s="1"/>
  <c r="H76"/>
  <c r="H74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I57" s="1"/>
  <c r="I54"/>
  <c r="F54"/>
  <c r="H54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F41"/>
  <c r="H41" s="1"/>
  <c r="F40"/>
  <c r="I40" s="1"/>
  <c r="F39"/>
  <c r="H39" s="1"/>
  <c r="H38"/>
  <c r="F37"/>
  <c r="H37" s="1"/>
  <c r="F36"/>
  <c r="I36" s="1"/>
  <c r="I35"/>
  <c r="H35"/>
  <c r="H33"/>
  <c r="H32"/>
  <c r="H31"/>
  <c r="F31"/>
  <c r="F30"/>
  <c r="H30" s="1"/>
  <c r="F29"/>
  <c r="H29" s="1"/>
  <c r="F28"/>
  <c r="H28" s="1"/>
  <c r="F26"/>
  <c r="H26" s="1"/>
  <c r="F25"/>
  <c r="I25" s="1"/>
  <c r="F24"/>
  <c r="H24" s="1"/>
  <c r="F23"/>
  <c r="H23" s="1"/>
  <c r="F22"/>
  <c r="H22" s="1"/>
  <c r="F21"/>
  <c r="H21" s="1"/>
  <c r="F20"/>
  <c r="H20" s="1"/>
  <c r="F19"/>
  <c r="H19" s="1"/>
  <c r="F18"/>
  <c r="H18" s="1"/>
  <c r="E17"/>
  <c r="F17" s="1"/>
  <c r="F16"/>
  <c r="H16" s="1"/>
  <c r="F15"/>
  <c r="I15" s="1"/>
  <c r="I84" i="20"/>
  <c r="I83"/>
  <c r="I82"/>
  <c r="I85" s="1"/>
  <c r="I52"/>
  <c r="F84"/>
  <c r="H84" s="1"/>
  <c r="H83"/>
  <c r="H82"/>
  <c r="H85"/>
  <c r="E79"/>
  <c r="F79" s="1"/>
  <c r="F78"/>
  <c r="H78" s="1"/>
  <c r="H76"/>
  <c r="H74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I57" s="1"/>
  <c r="I54"/>
  <c r="F54"/>
  <c r="H54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F41"/>
  <c r="H41" s="1"/>
  <c r="F40"/>
  <c r="I40" s="1"/>
  <c r="F39"/>
  <c r="H39" s="1"/>
  <c r="H38"/>
  <c r="F37"/>
  <c r="H37" s="1"/>
  <c r="F36"/>
  <c r="I36" s="1"/>
  <c r="I35"/>
  <c r="H35"/>
  <c r="H33"/>
  <c r="H32"/>
  <c r="H31"/>
  <c r="F31"/>
  <c r="F30"/>
  <c r="H30" s="1"/>
  <c r="F29"/>
  <c r="H29" s="1"/>
  <c r="F28"/>
  <c r="H28" s="1"/>
  <c r="F26"/>
  <c r="H26" s="1"/>
  <c r="F25"/>
  <c r="I25" s="1"/>
  <c r="F24"/>
  <c r="H24" s="1"/>
  <c r="F23"/>
  <c r="H23" s="1"/>
  <c r="F22"/>
  <c r="H22" s="1"/>
  <c r="F21"/>
  <c r="H21" s="1"/>
  <c r="F20"/>
  <c r="H20" s="1"/>
  <c r="F19"/>
  <c r="H19" s="1"/>
  <c r="F18"/>
  <c r="H18" s="1"/>
  <c r="E17"/>
  <c r="F17" s="1"/>
  <c r="F16"/>
  <c r="H16" s="1"/>
  <c r="F15"/>
  <c r="I15" s="1"/>
  <c r="I82" i="19"/>
  <c r="I83" s="1"/>
  <c r="H82"/>
  <c r="H83"/>
  <c r="E79"/>
  <c r="F79" s="1"/>
  <c r="F78"/>
  <c r="H78" s="1"/>
  <c r="H76"/>
  <c r="H74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I57" s="1"/>
  <c r="I54"/>
  <c r="F54"/>
  <c r="H54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F41"/>
  <c r="H41" s="1"/>
  <c r="F40"/>
  <c r="I40" s="1"/>
  <c r="F39"/>
  <c r="H39" s="1"/>
  <c r="H38"/>
  <c r="F37"/>
  <c r="H37" s="1"/>
  <c r="F36"/>
  <c r="I36" s="1"/>
  <c r="I35"/>
  <c r="H35"/>
  <c r="H33"/>
  <c r="H32"/>
  <c r="H31"/>
  <c r="F31"/>
  <c r="F30"/>
  <c r="H30" s="1"/>
  <c r="F29"/>
  <c r="H29" s="1"/>
  <c r="F28"/>
  <c r="H28" s="1"/>
  <c r="F26"/>
  <c r="H26" s="1"/>
  <c r="F25"/>
  <c r="I25" s="1"/>
  <c r="F24"/>
  <c r="H24" s="1"/>
  <c r="F23"/>
  <c r="H23" s="1"/>
  <c r="F22"/>
  <c r="H22" s="1"/>
  <c r="F21"/>
  <c r="H21" s="1"/>
  <c r="F20"/>
  <c r="H20" s="1"/>
  <c r="F19"/>
  <c r="H19" s="1"/>
  <c r="F18"/>
  <c r="H18" s="1"/>
  <c r="E17"/>
  <c r="F17" s="1"/>
  <c r="F16"/>
  <c r="H16" s="1"/>
  <c r="F15"/>
  <c r="I15" s="1"/>
  <c r="F93" i="18"/>
  <c r="H93" s="1"/>
  <c r="H92"/>
  <c r="H91"/>
  <c r="H90"/>
  <c r="H89"/>
  <c r="F88"/>
  <c r="H88" s="1"/>
  <c r="H87"/>
  <c r="F86"/>
  <c r="H86" s="1"/>
  <c r="H85"/>
  <c r="H84"/>
  <c r="H83"/>
  <c r="I82"/>
  <c r="I94" s="1"/>
  <c r="H82"/>
  <c r="E79"/>
  <c r="F78"/>
  <c r="H76"/>
  <c r="H74"/>
  <c r="H72"/>
  <c r="H71"/>
  <c r="H70"/>
  <c r="H68"/>
  <c r="F67"/>
  <c r="F66"/>
  <c r="H66" s="1"/>
  <c r="F65"/>
  <c r="F64"/>
  <c r="H64" s="1"/>
  <c r="F63"/>
  <c r="H62"/>
  <c r="I61"/>
  <c r="H61"/>
  <c r="H59"/>
  <c r="F57"/>
  <c r="H57" s="1"/>
  <c r="I54"/>
  <c r="H54"/>
  <c r="F54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I42"/>
  <c r="H42"/>
  <c r="F41"/>
  <c r="H41" s="1"/>
  <c r="F40"/>
  <c r="H40" s="1"/>
  <c r="F39"/>
  <c r="H39" s="1"/>
  <c r="H38"/>
  <c r="F37"/>
  <c r="H37" s="1"/>
  <c r="F36"/>
  <c r="H36" s="1"/>
  <c r="I35"/>
  <c r="H35"/>
  <c r="F26"/>
  <c r="H33"/>
  <c r="H32"/>
  <c r="F25"/>
  <c r="H25" s="1"/>
  <c r="H31"/>
  <c r="F31"/>
  <c r="F30"/>
  <c r="H30" s="1"/>
  <c r="F29"/>
  <c r="F28"/>
  <c r="H28" s="1"/>
  <c r="F24"/>
  <c r="H24" s="1"/>
  <c r="F23"/>
  <c r="F22"/>
  <c r="H22" s="1"/>
  <c r="F21"/>
  <c r="F20"/>
  <c r="H20" s="1"/>
  <c r="F19"/>
  <c r="F18"/>
  <c r="H18" s="1"/>
  <c r="E17"/>
  <c r="F17" s="1"/>
  <c r="F16"/>
  <c r="F15"/>
  <c r="H15" s="1"/>
  <c r="I23" i="22" l="1"/>
  <c r="I21"/>
  <c r="I19"/>
  <c r="I44"/>
  <c r="I47"/>
  <c r="I45"/>
  <c r="I67"/>
  <c r="I65"/>
  <c r="I24"/>
  <c r="I22"/>
  <c r="I20"/>
  <c r="I18"/>
  <c r="I48"/>
  <c r="I46"/>
  <c r="I63"/>
  <c r="I66"/>
  <c r="I64"/>
  <c r="H36"/>
  <c r="H25"/>
  <c r="H79"/>
  <c r="H80" s="1"/>
  <c r="H81" s="1"/>
  <c r="I79"/>
  <c r="I16"/>
  <c r="I80" s="1"/>
  <c r="I96" s="1"/>
  <c r="I17"/>
  <c r="I26"/>
  <c r="I37"/>
  <c r="I39"/>
  <c r="H40"/>
  <c r="I41"/>
  <c r="H49"/>
  <c r="H57"/>
  <c r="I78"/>
  <c r="H78" i="21"/>
  <c r="H17"/>
  <c r="I17"/>
  <c r="H87"/>
  <c r="H79"/>
  <c r="H80" s="1"/>
  <c r="H81" s="1"/>
  <c r="I79"/>
  <c r="H15"/>
  <c r="I16"/>
  <c r="H25"/>
  <c r="I26"/>
  <c r="H36"/>
  <c r="I37"/>
  <c r="I39"/>
  <c r="H40"/>
  <c r="I41"/>
  <c r="H49"/>
  <c r="H57"/>
  <c r="H25" i="20"/>
  <c r="I50"/>
  <c r="I51"/>
  <c r="H17"/>
  <c r="I17"/>
  <c r="H79"/>
  <c r="H80" s="1"/>
  <c r="H81" s="1"/>
  <c r="I79"/>
  <c r="H15"/>
  <c r="I16"/>
  <c r="I26"/>
  <c r="H36"/>
  <c r="I37"/>
  <c r="I39"/>
  <c r="H40"/>
  <c r="I41"/>
  <c r="H49"/>
  <c r="H57"/>
  <c r="I78"/>
  <c r="H15" i="19"/>
  <c r="H79"/>
  <c r="H80" s="1"/>
  <c r="H81" s="1"/>
  <c r="I79"/>
  <c r="H17"/>
  <c r="I17"/>
  <c r="I16"/>
  <c r="H25"/>
  <c r="I26"/>
  <c r="H36"/>
  <c r="I37"/>
  <c r="I39"/>
  <c r="H40"/>
  <c r="I41"/>
  <c r="H49"/>
  <c r="H57"/>
  <c r="I78"/>
  <c r="H94" i="18"/>
  <c r="I15"/>
  <c r="H16"/>
  <c r="H17"/>
  <c r="H19"/>
  <c r="H21"/>
  <c r="H23"/>
  <c r="H29"/>
  <c r="I25"/>
  <c r="H26"/>
  <c r="I36"/>
  <c r="I37"/>
  <c r="I39"/>
  <c r="I40"/>
  <c r="I41"/>
  <c r="I49"/>
  <c r="I57"/>
  <c r="H63"/>
  <c r="H65"/>
  <c r="H67"/>
  <c r="H78"/>
  <c r="F79"/>
  <c r="I16"/>
  <c r="I17"/>
  <c r="I26"/>
  <c r="I78"/>
  <c r="I80" i="21" l="1"/>
  <c r="I89" s="1"/>
  <c r="I80" i="20"/>
  <c r="I87" s="1"/>
  <c r="I80" i="19"/>
  <c r="I85" s="1"/>
  <c r="H79" i="18"/>
  <c r="H80" s="1"/>
  <c r="I79"/>
  <c r="I80" s="1"/>
  <c r="I96" s="1"/>
  <c r="H81" l="1"/>
  <c r="G83" i="8" l="1"/>
  <c r="G66" i="14"/>
  <c r="G75" i="8" l="1"/>
  <c r="E73" l="1"/>
  <c r="E65"/>
  <c r="E64"/>
  <c r="E61"/>
  <c r="E53"/>
  <c r="E51"/>
  <c r="E48"/>
  <c r="E43"/>
  <c r="E36" s="1"/>
  <c r="E30" s="1"/>
  <c r="E42"/>
  <c r="E41"/>
  <c r="E40"/>
  <c r="E38"/>
  <c r="E34" s="1"/>
  <c r="E37"/>
  <c r="E39"/>
  <c r="E31" s="1"/>
  <c r="E33"/>
  <c r="E32"/>
  <c r="E29"/>
  <c r="E25"/>
  <c r="G57" i="14"/>
  <c r="G68" s="1"/>
  <c r="G85" i="8" l="1"/>
  <c r="E19" i="14"/>
  <c r="G52" l="1"/>
  <c r="G40"/>
  <c r="G39"/>
  <c r="G37"/>
  <c r="G36"/>
  <c r="E36"/>
  <c r="E37"/>
  <c r="E38"/>
  <c r="G35"/>
  <c r="G34"/>
  <c r="G33"/>
  <c r="E23" l="1"/>
  <c r="E25"/>
  <c r="E31"/>
  <c r="E32"/>
  <c r="E33"/>
  <c r="E34"/>
  <c r="E35"/>
  <c r="E43"/>
  <c r="E46"/>
  <c r="E48"/>
  <c r="E49"/>
  <c r="E50"/>
  <c r="E51"/>
  <c r="E53"/>
  <c r="E55"/>
  <c r="G31" l="1"/>
  <c r="G32"/>
  <c r="E30" l="1"/>
  <c r="J55"/>
  <c r="E24" l="1"/>
  <c r="G30" l="1"/>
  <c r="G38"/>
  <c r="G53"/>
  <c r="E27"/>
  <c r="E26" l="1"/>
  <c r="E28"/>
  <c r="G46" l="1"/>
  <c r="H55" l="1"/>
  <c r="H56" s="1"/>
</calcChain>
</file>

<file path=xl/sharedStrings.xml><?xml version="1.0" encoding="utf-8"?>
<sst xmlns="http://schemas.openxmlformats.org/spreadsheetml/2006/main" count="2488" uniqueCount="276">
  <si>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</si>
  <si>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</si>
  <si>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</si>
  <si>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</si>
  <si>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</si>
  <si>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</si>
  <si>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</si>
  <si>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</si>
  <si>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</si>
  <si>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</si>
  <si>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</si>
  <si>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</si>
  <si>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</si>
  <si>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</si>
  <si>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</si>
  <si>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</si>
  <si>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</si>
  <si>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</si>
  <si>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</si>
  <si>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</si>
  <si>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</si>
  <si>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</si>
  <si>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t xml:space="preserve">Приказ Министерства строительства и жилищно - коммунального хозяйства Российской Федерации от 26 октября 2015г. № 761/пр. 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</si>
  <si>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</si>
  <si>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</si>
  <si>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</si>
  <si>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</si>
  <si>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</si>
  <si>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</si>
  <si>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по необходим-ти</t>
  </si>
  <si>
    <t>Механизированная уборка дворовой территории</t>
  </si>
  <si>
    <t xml:space="preserve">Стоимость песка </t>
  </si>
  <si>
    <t>Уборка газонов сильной загрязненности</t>
  </si>
  <si>
    <t>1000 м2</t>
  </si>
  <si>
    <t>1 раз в месяц</t>
  </si>
  <si>
    <t>шт.</t>
  </si>
  <si>
    <t>м/час</t>
  </si>
  <si>
    <t>м3</t>
  </si>
  <si>
    <t>Осмотр шиферной  кровли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</si>
  <si>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</si>
  <si>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</si>
  <si>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</si>
  <si>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</si>
  <si>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</si>
  <si>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электрообору- дования на чердаках, подвалах и техэтажах</t>
  </si>
  <si>
    <t>Осмотр электросетей,арматуры и электооборудо- вания на лестничных клетках</t>
  </si>
  <si>
    <t>100 лест.</t>
  </si>
  <si>
    <t>Осмотр вводных электрических щитков</t>
  </si>
  <si>
    <t>100 шт.</t>
  </si>
  <si>
    <t>Проверка  дымоходов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</si>
  <si>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</si>
  <si>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</si>
  <si>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</si>
  <si>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</si>
  <si>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</si>
  <si>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</si>
  <si>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</si>
  <si>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</si>
  <si>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</si>
  <si>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</si>
  <si>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</si>
  <si>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</si>
  <si>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Визуальная проверка окраски и креплений наруж- ного (фасадного ) газопровода</t>
  </si>
  <si>
    <t>Итого текущий ремонт</t>
  </si>
  <si>
    <t>Итого годовые затраты</t>
  </si>
  <si>
    <t>100 м2</t>
  </si>
  <si>
    <t>1 раз в год</t>
  </si>
  <si>
    <t>1000 м3</t>
  </si>
  <si>
    <t>Техническое обслуживание  наружных газопроводов</t>
  </si>
  <si>
    <t>10 м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</si>
  <si>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</si>
  <si>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</si>
  <si>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</si>
  <si>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</si>
  <si>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</si>
  <si>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Работы по текущему ремонту и по заявкам</t>
  </si>
  <si>
    <t>весенне-осенний осмотр, 2 раза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</si>
  <si>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</si>
  <si>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</si>
  <si>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</si>
  <si>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</si>
  <si>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</si>
  <si>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</si>
  <si>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</si>
  <si>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</si>
  <si>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</si>
  <si>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</si>
  <si>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</si>
  <si>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</si>
  <si>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</si>
  <si>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</si>
  <si>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</si>
  <si>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 xml:space="preserve"> - прочистка каналов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</si>
  <si>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</si>
  <si>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</si>
  <si>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</si>
  <si>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</si>
  <si>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2 раза в месяц</t>
  </si>
  <si>
    <t>Ремонт групповых щитков на лестничной клетке без ремонта автоматов</t>
  </si>
  <si>
    <t>Итого:</t>
  </si>
  <si>
    <t>за период с 01.02.2016 г. по 29.02.2016 г.</t>
  </si>
  <si>
    <t>1 м</t>
  </si>
  <si>
    <t>за период с 01.03.2016 г. по 31.03.2016 г.</t>
  </si>
  <si>
    <t>за период с 01.04.2016 г. по 30.04.2016 г.</t>
  </si>
  <si>
    <t>Подключение и отключение сварочного аппарата</t>
  </si>
  <si>
    <t>за период с 01.05.2016 г. по 31.05.2016 г.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</si>
  <si>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</si>
  <si>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</si>
  <si>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дверных приборов (замки навесные)</t>
  </si>
  <si>
    <t>3 раза в месяц</t>
  </si>
  <si>
    <t xml:space="preserve">ежедневно </t>
  </si>
  <si>
    <t xml:space="preserve">II. Уборка земельного участка </t>
  </si>
  <si>
    <t>26 раз в месяц</t>
  </si>
  <si>
    <t>ООО «Жилсервис»</t>
  </si>
  <si>
    <t xml:space="preserve">приемки оказанных услуг и выполненных работ по содержанию и текущему ремонту
общего имущества в многоквартирном доме № 1 по  ул. Космонавтов  пгт. Ярега
</t>
  </si>
  <si>
    <t>за период с 01.11.2016 г. по 30.11.2016 г.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</si>
  <si>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Космонавтов, д. 1</t>
    </r>
  </si>
  <si>
    <t>Влажное подметание лестничных клеток 1 этажа</t>
  </si>
  <si>
    <t>Влажное подметание лестничных клеток 2-4 этажа</t>
  </si>
  <si>
    <t>Мытье лестничных  площадок и маршей 1-4 этаж.</t>
  </si>
  <si>
    <t>13 раз в месяц</t>
  </si>
  <si>
    <t>8 - 9 раз в месяц</t>
  </si>
  <si>
    <t>III. Плановые осмотры  и мелкий ремонт</t>
  </si>
  <si>
    <t>III. Содержание общего имущества</t>
  </si>
  <si>
    <t>Работа автовышки</t>
  </si>
  <si>
    <t>ТО внутренних сетей водопровода и канализации</t>
  </si>
  <si>
    <t>Замена ламп ДРЛ</t>
  </si>
  <si>
    <t xml:space="preserve"> IV. Прочие услуги</t>
  </si>
  <si>
    <t>Подметание снега - с входных площадок, контейнерных площадок</t>
  </si>
  <si>
    <t>Пескопосыпка территории: входн. площадки</t>
  </si>
  <si>
    <t xml:space="preserve">Очистка края кровли  от слежавшегося снега со сбрасы- ванием сосулек (10% от S кровли, козырьки над подъездами) </t>
  </si>
  <si>
    <t>Смена арматуры - вентилей и клапанов обратных муфтовых диаметром до 20 мм</t>
  </si>
  <si>
    <t>Смена трубопроводов на полипропиленовые трубы PN20 диаметром 20мм</t>
  </si>
  <si>
    <t>генеральный директор Куканов Ю.Л.</t>
  </si>
  <si>
    <t>4 раза в месяц</t>
  </si>
  <si>
    <t>Аварийно - диспетчерское обслуживание</t>
  </si>
  <si>
    <t>Прочистка засоров ГВС, XВC</t>
  </si>
  <si>
    <t>3м</t>
  </si>
  <si>
    <t>Смена трубопроводов на полипропиленовые трубы PN20 диаметром 25мм</t>
  </si>
  <si>
    <t xml:space="preserve">Смена сосков у трубопроводов диаметром до 20 мм </t>
  </si>
  <si>
    <t>1 шт</t>
  </si>
  <si>
    <t>руб./м2 в месяц</t>
  </si>
  <si>
    <t xml:space="preserve">приемки оказанных услуг и выполненных работ по содержанию и текущему ремонту
общего имущества в многоквартирном доме №1 по ул.Космонавтов пгт.Ярега
</t>
  </si>
  <si>
    <t>за период с 01.12.2016 г. по 31.12.2016 г.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</si>
  <si>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д.1</t>
    </r>
  </si>
  <si>
    <t>100м2</t>
  </si>
  <si>
    <t>156 раз в год</t>
  </si>
  <si>
    <t>104 раза в год</t>
  </si>
  <si>
    <t xml:space="preserve">24 раза в год 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</si>
  <si>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</si>
  <si>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</si>
  <si>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</si>
  <si>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</si>
  <si>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</si>
  <si>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</si>
  <si>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</si>
  <si>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</si>
  <si>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</si>
  <si>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Подметание снега с входных площадок, контейнерных площадок</t>
  </si>
  <si>
    <t>шт</t>
  </si>
  <si>
    <t>100м3</t>
  </si>
  <si>
    <t>1000м3</t>
  </si>
  <si>
    <t>Вода для промывки СО</t>
  </si>
  <si>
    <t>Сброс воды после промывки СО в канализацию</t>
  </si>
  <si>
    <t>руб/м2 в мес</t>
  </si>
  <si>
    <t>Техническое обслуживание наружных газопроводов</t>
  </si>
  <si>
    <t>ТО внутридомового газ.оборудования</t>
  </si>
  <si>
    <t>Смена светодиодных светильников в.о.</t>
  </si>
  <si>
    <t>1 шт.</t>
  </si>
  <si>
    <t>Стоимость светодиодного светильника</t>
  </si>
  <si>
    <t>руб.</t>
  </si>
  <si>
    <t>Прочистка каналов</t>
  </si>
  <si>
    <t>Внеплановый осмотр электросетей, армазуры и электрооборудования на лестничных клетках</t>
  </si>
  <si>
    <t>Внеплановый осмотр вводных электрических щитков</t>
  </si>
  <si>
    <t>100шт</t>
  </si>
  <si>
    <t>АКТ №12</t>
  </si>
  <si>
    <t>2. Всего за период с 01.12.2016 г. по 31.12.2016 г. выполнено работ (оказано услуг) на общую сумму: 56133,06 руб.</t>
  </si>
  <si>
    <t>(пятьдесят шесть тысяч сто тридцать три рубля 06 копеек )</t>
  </si>
  <si>
    <t>2. Всего за период с  01.11.2016 г. по 30.11.2016 г. выполнено работ (оказано услуг) на общую сумму: 65936,61 руб.</t>
  </si>
  <si>
    <t>шестьдесят пять тысяч девятьсот тридцать шесть рублей 61 копейка )</t>
  </si>
  <si>
    <t>3 раза в неделю 156 раз в год</t>
  </si>
  <si>
    <t>2 раза в неделю 104 раза в год</t>
  </si>
  <si>
    <t>ежедневно 365 раз</t>
  </si>
  <si>
    <t xml:space="preserve"> </t>
  </si>
  <si>
    <t xml:space="preserve"> - Уборка газонов</t>
  </si>
  <si>
    <t>1000м2</t>
  </si>
  <si>
    <t>2 раза в неделю 52 раза в сезон</t>
  </si>
  <si>
    <t xml:space="preserve"> - Подметание территории с усовершенствованным покрытием асф.: крыльца, контейнерн пл., проезд, тротуар</t>
  </si>
  <si>
    <t>3 раза в неделю 78 раз за сезон</t>
  </si>
  <si>
    <t xml:space="preserve"> - Уборка контейнерной площадки (16 кв.м.)</t>
  </si>
  <si>
    <t>Вывоз смета,травы,ветвей и т.п.- м/ч</t>
  </si>
  <si>
    <t>Сдвигание снега в дни снегопада (проезд)</t>
  </si>
  <si>
    <t>12 раз за сезон</t>
  </si>
  <si>
    <t>Сдвигание снега в дни снегопада (крыльца, тротуары)</t>
  </si>
  <si>
    <t>30 раз за сезон</t>
  </si>
  <si>
    <t>Вывоз снега с придомовой территории</t>
  </si>
  <si>
    <t>1м3</t>
  </si>
  <si>
    <t>155 раз за сезон</t>
  </si>
  <si>
    <t>24 раза за сезон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</si>
  <si>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</si>
  <si>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</si>
  <si>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</si>
  <si>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</si>
  <si>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Проверка дымоходов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</si>
  <si>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</si>
  <si>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</si>
  <si>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Очистка  от мусора</t>
  </si>
  <si>
    <t>Аварийно-диспетчерское обслуживание</t>
  </si>
  <si>
    <t>маш/час</t>
  </si>
  <si>
    <t xml:space="preserve">Смена сгонов у трубопроводов диаметром до 20 мм </t>
  </si>
  <si>
    <t>1 сгон</t>
  </si>
  <si>
    <t>Устройство хомута диаметром до 50 мм</t>
  </si>
  <si>
    <t>Ремонт силового предохранительного шкафа (без стоимости материалов)</t>
  </si>
  <si>
    <t>Смена трубопроводов на полипропиленовые трубы PN25 диаметром 20мм</t>
  </si>
  <si>
    <t>Проверка вентканалов (кв.36)</t>
  </si>
  <si>
    <t>Ремонт входной площадки (IV под.)</t>
  </si>
  <si>
    <t>итого по текущему ремонту</t>
  </si>
  <si>
    <t xml:space="preserve">2 раза в месяц 24 раза в год </t>
  </si>
  <si>
    <t>II. Летняя уборка</t>
  </si>
  <si>
    <t>1 раз в месяц (5 раз в год)</t>
  </si>
  <si>
    <t>II. Зимняя уборка</t>
  </si>
  <si>
    <t xml:space="preserve"> III. Плановые осмотры</t>
  </si>
  <si>
    <t>IV. Содержание общего имущества</t>
  </si>
  <si>
    <t>2. Всего за период с 01.01.2016 г. по 31.01.2016 г. выполнено работ (оказано услуг) на общую сумму: 59372,88 руб.</t>
  </si>
  <si>
    <t>АКТ №1</t>
  </si>
  <si>
    <t>АКТ №2</t>
  </si>
  <si>
    <t>2. Всего за период с 01.02.2016 г. по 29.02.2016 г. выполнено работ (оказано услуг) на общую сумму: 40630,39 руб.</t>
  </si>
  <si>
    <t xml:space="preserve"> V. Прочие услуги</t>
  </si>
  <si>
    <t>АКТ №3</t>
  </si>
  <si>
    <t>2. Всего за период с 01.03.2016 г. по 31.03.2016 г. выполнено работ (оказано услуг) на общую сумму: 42950,11 руб.</t>
  </si>
  <si>
    <t>(сорок две тысячи девятьсот пятьдесят рублей 11 копеек)</t>
  </si>
  <si>
    <t>(сорок тысяч шестьсот тридцать рублей 39 копеек)</t>
  </si>
  <si>
    <t>АКТ №4</t>
  </si>
  <si>
    <t>2. Всего за период с 01.04.2016 г. по 30.04.2016 г. выполнено работ (оказано услуг) на общую сумму: 69372,93 руб.</t>
  </si>
  <si>
    <t>(шестьдесят девять тысяч триста семьдесят два рубля 93 копейки)</t>
  </si>
  <si>
    <t>АКТ №5</t>
  </si>
  <si>
    <t>2. Всего за период с 01.05.2016 г. по 31.05.2016 г. выполнено работ (оказано услуг) на общую сумму: 131870,99 руб.</t>
  </si>
  <si>
    <t>(сто тридцать одна тысяча восемьсот семьдесят рублей 99 копеек)</t>
  </si>
  <si>
    <t>АКТ №6</t>
  </si>
  <si>
    <t>за период с 01.06.2016 г. по 30.06.2016 г.</t>
  </si>
  <si>
    <t xml:space="preserve"> III. Прочие услуги</t>
  </si>
  <si>
    <t>2. Всего за период с 01.06.2016 г. по 30.06.2016 г. выполнено работ (оказано услуг) на общую сумму: 32870,35 руб.</t>
  </si>
  <si>
    <t>(тридцать две тысячи восемьсот семьдесят рублей 35 копеек)</t>
  </si>
  <si>
    <t>АКТ №7</t>
  </si>
  <si>
    <t>за период с 01.07.2016 г. по 31.07.2016 г.</t>
  </si>
  <si>
    <t>III. Прочие услуги</t>
  </si>
  <si>
    <t>2. Всего за период с 01.07.2016 г. по 31.07.2016 г. выполнено работ (оказано услуг) на общую сумму: 38345,16 руб.</t>
  </si>
  <si>
    <t>(тридцать восемь тысяч триста сорок пять рублей 16 копеек)</t>
  </si>
  <si>
    <t>АКТ №8</t>
  </si>
  <si>
    <t>за период с 01.08.2016 г. по 31.08.2016 г.</t>
  </si>
  <si>
    <t>2. Всего за период с 01.08.2016 г. по 31.08.2016 г. выполнено работ (оказано услуг) на общую сумму: 50685,03 руб.</t>
  </si>
  <si>
    <t>(пятьдесят тысяч шестьсот восемьдесят пять рублей 03 копейки)</t>
  </si>
  <si>
    <t>IV. Прочие услуги</t>
  </si>
  <si>
    <t>III. Плановые осмотры</t>
  </si>
  <si>
    <t>АКТ №9</t>
  </si>
  <si>
    <t>за период с 01.09.2016 г. по 30.09.2016 г.</t>
  </si>
  <si>
    <t>2. Всего за период с 01.09.2016 г. по 30.09.2016 г. выполнено работ (оказано услуг) на общую сумму: 41696,71 руб.</t>
  </si>
  <si>
    <t>(сорок одна тысяча шестьсот девяносто шесть рублей 71 копейка)</t>
  </si>
  <si>
    <t>АКТ №10</t>
  </si>
  <si>
    <t>за период с 01.10.2016 г. по 31.10.2016 г.</t>
  </si>
  <si>
    <t>Летняя уборка</t>
  </si>
  <si>
    <t xml:space="preserve"> - Уборка газонов, грунта</t>
  </si>
  <si>
    <t>52 раза в сезон</t>
  </si>
  <si>
    <t>78 раз за сезон</t>
  </si>
  <si>
    <t>Водоотлив из подвала электрическими (механическими) насосами (100 м3 воды)</t>
  </si>
  <si>
    <t>10 м3</t>
  </si>
  <si>
    <t>Устройство подстилающих слоев щебеночных</t>
  </si>
  <si>
    <t>Дезинфекция подвала</t>
  </si>
  <si>
    <t>1 м3</t>
  </si>
  <si>
    <t>2. Всего за период с 01.10.2016 г. по 31.10.2016 г. выполнено работ (оказано услуг) на общую сумму: 52848,22 руб.</t>
  </si>
  <si>
    <t>АКТ №11</t>
  </si>
  <si>
    <t>(пятьдесят девять тысяч триста семьдесят два рубля 88 копеек)</t>
  </si>
  <si>
    <t>(пятьдесят две тысячи восемьсот сорок восемь рублей 22 копейки)</t>
  </si>
  <si>
    <r>
      <t xml:space="preserve">    Собственники   помещений   в многоквартирном доме, расположенном по адресу: пгт.Ярега, ул.Космонавтов, д.1,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09.09.2016г.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</si>
  <si>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    Собственники   помещений   в многоквартирном доме, расположенном по адресу: пгт. Ярега, ул. Космонавтов, д 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09.09.2016г.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</si>
  <si>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    Собственники   помещений   в многоквартирном доме, расположенном по адресу: пгт.Ярега, ул.Космонавтов, д.1,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30.07.2012г.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</si>
</sst>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0000"/>
    <numFmt numFmtId="166" formatCode="0.0000000"/>
  </numFmts>
  <fonts count="3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u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9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0" fillId="0" borderId="0" xfId="0" applyFill="1"/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horizontal="right" wrapText="1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1" fillId="0" borderId="0" xfId="0" applyFont="1"/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/>
    </xf>
    <xf numFmtId="4" fontId="13" fillId="0" borderId="3" xfId="0" applyNumberFormat="1" applyFont="1" applyFill="1" applyBorder="1" applyAlignment="1">
      <alignment horizont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/>
    </xf>
    <xf numFmtId="0" fontId="2" fillId="0" borderId="3" xfId="0" applyFont="1" applyBorder="1"/>
    <xf numFmtId="2" fontId="0" fillId="0" borderId="0" xfId="0" applyNumberFormat="1"/>
    <xf numFmtId="4" fontId="0" fillId="0" borderId="0" xfId="0" applyNumberFormat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8" fillId="0" borderId="0" xfId="0" applyFont="1"/>
    <xf numFmtId="4" fontId="0" fillId="0" borderId="0" xfId="0" applyNumberFormat="1" applyFill="1"/>
    <xf numFmtId="165" fontId="0" fillId="0" borderId="0" xfId="0" applyNumberFormat="1" applyFill="1"/>
    <xf numFmtId="0" fontId="5" fillId="0" borderId="5" xfId="0" applyFont="1" applyFill="1" applyBorder="1" applyAlignment="1">
      <alignment horizontal="center" vertical="center" wrapText="1"/>
    </xf>
    <xf numFmtId="166" fontId="0" fillId="0" borderId="0" xfId="0" applyNumberFormat="1" applyFill="1"/>
    <xf numFmtId="0" fontId="13" fillId="0" borderId="3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top"/>
    </xf>
    <xf numFmtId="0" fontId="18" fillId="0" borderId="0" xfId="0" applyFont="1" applyAlignment="1"/>
    <xf numFmtId="14" fontId="1" fillId="0" borderId="0" xfId="0" applyNumberFormat="1" applyFont="1" applyAlignment="1">
      <alignment wrapText="1"/>
    </xf>
    <xf numFmtId="4" fontId="16" fillId="0" borderId="3" xfId="0" applyNumberFormat="1" applyFont="1" applyFill="1" applyBorder="1" applyAlignment="1">
      <alignment horizontal="center" vertical="center" wrapText="1"/>
    </xf>
    <xf numFmtId="4" fontId="13" fillId="2" borderId="9" xfId="0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4" fontId="13" fillId="3" borderId="9" xfId="0" applyNumberFormat="1" applyFont="1" applyFill="1" applyBorder="1" applyAlignment="1">
      <alignment horizontal="center" vertical="center"/>
    </xf>
    <xf numFmtId="0" fontId="17" fillId="0" borderId="3" xfId="0" applyFont="1" applyBorder="1"/>
    <xf numFmtId="0" fontId="17" fillId="0" borderId="3" xfId="0" applyFont="1" applyFill="1" applyBorder="1"/>
    <xf numFmtId="4" fontId="13" fillId="2" borderId="3" xfId="0" applyNumberFormat="1" applyFont="1" applyFill="1" applyBorder="1" applyAlignment="1">
      <alignment horizontal="center" vertical="center"/>
    </xf>
    <xf numFmtId="4" fontId="13" fillId="3" borderId="3" xfId="0" applyNumberFormat="1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4" fontId="16" fillId="2" borderId="3" xfId="0" applyNumberFormat="1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wrapText="1"/>
    </xf>
    <xf numFmtId="1" fontId="13" fillId="0" borderId="3" xfId="0" applyNumberFormat="1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/>
    </xf>
    <xf numFmtId="4" fontId="16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wrapText="1"/>
    </xf>
    <xf numFmtId="0" fontId="16" fillId="0" borderId="3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8" fillId="0" borderId="3" xfId="0" applyFont="1" applyBorder="1"/>
    <xf numFmtId="4" fontId="2" fillId="0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20" fillId="0" borderId="3" xfId="0" applyFont="1" applyFill="1" applyBorder="1" applyAlignment="1">
      <alignment horizont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1" fillId="0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vertical="top" wrapText="1"/>
    </xf>
    <xf numFmtId="0" fontId="24" fillId="0" borderId="0" xfId="0" applyFont="1" applyAlignment="1">
      <alignment wrapText="1"/>
    </xf>
    <xf numFmtId="0" fontId="2" fillId="0" borderId="3" xfId="0" applyFont="1" applyFill="1" applyBorder="1" applyAlignment="1">
      <alignment horizontal="left" vertical="center"/>
    </xf>
    <xf numFmtId="0" fontId="22" fillId="0" borderId="3" xfId="0" applyFont="1" applyBorder="1"/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wrapText="1"/>
    </xf>
    <xf numFmtId="0" fontId="13" fillId="0" borderId="3" xfId="0" applyFont="1" applyBorder="1"/>
    <xf numFmtId="0" fontId="20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1" fillId="0" borderId="6" xfId="0" applyFont="1" applyBorder="1" applyAlignment="1">
      <alignment horizontal="center" vertical="center" wrapText="1"/>
    </xf>
    <xf numFmtId="0" fontId="22" fillId="0" borderId="3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wrapText="1"/>
    </xf>
    <xf numFmtId="0" fontId="16" fillId="0" borderId="3" xfId="0" applyFont="1" applyFill="1" applyBorder="1" applyAlignment="1">
      <alignment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26" fillId="0" borderId="0" xfId="0" applyFont="1" applyAlignment="1">
      <alignment horizontal="right" wrapText="1"/>
    </xf>
    <xf numFmtId="0" fontId="26" fillId="0" borderId="0" xfId="0" applyFont="1" applyBorder="1" applyAlignment="1">
      <alignment wrapText="1"/>
    </xf>
    <xf numFmtId="0" fontId="1" fillId="0" borderId="3" xfId="0" applyFont="1" applyFill="1" applyBorder="1" applyAlignment="1">
      <alignment horizontal="left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16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2" borderId="12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2" borderId="13" xfId="0" applyNumberFormat="1" applyFont="1" applyFill="1" applyBorder="1" applyAlignment="1" applyProtection="1">
      <alignment horizontal="left" vertical="center" wrapText="1"/>
    </xf>
    <xf numFmtId="0" fontId="13" fillId="2" borderId="1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16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4" fontId="27" fillId="0" borderId="8" xfId="0" applyNumberFormat="1" applyFont="1" applyFill="1" applyBorder="1" applyAlignment="1">
      <alignment horizontal="center" vertical="center"/>
    </xf>
    <xf numFmtId="4" fontId="27" fillId="0" borderId="0" xfId="0" applyNumberFormat="1" applyFont="1" applyFill="1" applyBorder="1" applyAlignment="1">
      <alignment horizontal="center" vertical="center"/>
    </xf>
    <xf numFmtId="4" fontId="28" fillId="0" borderId="8" xfId="0" applyNumberFormat="1" applyFont="1" applyFill="1" applyBorder="1" applyAlignment="1">
      <alignment horizontal="center" vertical="center"/>
    </xf>
    <xf numFmtId="4" fontId="28" fillId="0" borderId="0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/>
    </xf>
    <xf numFmtId="4" fontId="13" fillId="0" borderId="14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3" fillId="0" borderId="16" xfId="0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left" vertical="center" wrapText="1"/>
    </xf>
    <xf numFmtId="4" fontId="13" fillId="0" borderId="17" xfId="0" applyNumberFormat="1" applyFont="1" applyFill="1" applyBorder="1" applyAlignment="1">
      <alignment horizontal="center" vertical="center"/>
    </xf>
    <xf numFmtId="4" fontId="13" fillId="0" borderId="12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/>
    </xf>
    <xf numFmtId="4" fontId="23" fillId="0" borderId="9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4" fontId="13" fillId="0" borderId="19" xfId="0" applyNumberFormat="1" applyFont="1" applyFill="1" applyBorder="1" applyAlignment="1">
      <alignment horizontal="center" vertical="center"/>
    </xf>
    <xf numFmtId="4" fontId="13" fillId="0" borderId="20" xfId="0" applyNumberFormat="1" applyFont="1" applyFill="1" applyBorder="1" applyAlignment="1">
      <alignment horizontal="center" vertical="center"/>
    </xf>
    <xf numFmtId="4" fontId="13" fillId="0" borderId="10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/>
    </xf>
    <xf numFmtId="0" fontId="13" fillId="0" borderId="8" xfId="0" applyFont="1" applyFill="1" applyBorder="1"/>
    <xf numFmtId="4" fontId="13" fillId="0" borderId="0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center" vertical="center"/>
    </xf>
    <xf numFmtId="4" fontId="16" fillId="0" borderId="3" xfId="0" applyNumberFormat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left" vertical="center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13" fillId="0" borderId="13" xfId="0" applyNumberFormat="1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3" fillId="0" borderId="8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right" wrapText="1"/>
    </xf>
    <xf numFmtId="0" fontId="13" fillId="0" borderId="4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13" fillId="2" borderId="3" xfId="0" applyNumberFormat="1" applyFont="1" applyFill="1" applyBorder="1" applyAlignment="1" applyProtection="1">
      <alignment horizontal="left" vertical="center"/>
    </xf>
    <xf numFmtId="4" fontId="13" fillId="0" borderId="1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1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7" fillId="0" borderId="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30" fillId="0" borderId="0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left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8"/>
  <sheetViews>
    <sheetView tabSelected="1"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21" ht="15.75" customHeight="1">
      <c r="B1" s="57" t="s">
        <v>113</v>
      </c>
      <c r="I1" s="56"/>
    </row>
    <row r="2" spans="1:21" ht="15.75" customHeight="1">
      <c r="B2" s="46" t="s">
        <v>77</v>
      </c>
      <c r="J2" s="1"/>
      <c r="K2" s="1"/>
      <c r="L2" s="1"/>
      <c r="M2" s="1"/>
    </row>
    <row r="3" spans="1:21" ht="15.75" customHeight="1">
      <c r="A3" s="265" t="s">
        <v>224</v>
      </c>
      <c r="B3" s="265"/>
      <c r="C3" s="265"/>
      <c r="D3" s="265"/>
      <c r="E3" s="265"/>
      <c r="F3" s="265"/>
      <c r="G3" s="265"/>
      <c r="H3" s="265"/>
      <c r="I3" s="265"/>
      <c r="J3" s="2"/>
      <c r="K3" s="2"/>
      <c r="L3" s="2"/>
      <c r="M3" s="2"/>
    </row>
    <row r="4" spans="1:21" ht="33.75" customHeight="1">
      <c r="A4" s="266" t="s">
        <v>142</v>
      </c>
      <c r="B4" s="266"/>
      <c r="C4" s="266"/>
      <c r="D4" s="266"/>
      <c r="E4" s="266"/>
      <c r="F4" s="266"/>
      <c r="G4" s="266"/>
      <c r="H4" s="266"/>
      <c r="I4" s="266"/>
      <c r="J4" s="3"/>
      <c r="K4" s="3"/>
      <c r="L4" s="3"/>
      <c r="M4" s="3"/>
    </row>
    <row r="5" spans="1:21" ht="15.75" customHeight="1">
      <c r="A5" s="267" t="s">
        <v>96</v>
      </c>
      <c r="B5" s="268"/>
      <c r="C5" s="268"/>
      <c r="D5" s="268"/>
      <c r="E5" s="268"/>
      <c r="F5" s="268"/>
      <c r="G5" s="268"/>
      <c r="H5" s="268"/>
      <c r="I5" s="268"/>
      <c r="J5" s="4"/>
      <c r="K5" s="4"/>
      <c r="L5" s="4"/>
    </row>
    <row r="6" spans="1:21" ht="15.75" customHeight="1">
      <c r="A6" s="3"/>
      <c r="B6" s="181"/>
      <c r="C6" s="181"/>
      <c r="D6" s="181"/>
      <c r="E6" s="181"/>
      <c r="F6" s="181"/>
      <c r="G6" s="181"/>
      <c r="H6" s="181"/>
      <c r="I6" s="256">
        <v>42400</v>
      </c>
    </row>
    <row r="7" spans="1:21" ht="15.75">
      <c r="B7" s="182"/>
      <c r="C7" s="182"/>
      <c r="D7" s="182"/>
      <c r="E7" s="4"/>
      <c r="F7" s="4"/>
      <c r="G7" s="4"/>
      <c r="H7" s="4"/>
      <c r="J7" s="3"/>
      <c r="K7" s="3"/>
      <c r="L7" s="3"/>
      <c r="M7" s="3"/>
    </row>
    <row r="8" spans="1:21" ht="78.75" customHeight="1">
      <c r="A8" s="269" t="s">
        <v>275</v>
      </c>
      <c r="B8" s="269"/>
      <c r="C8" s="269"/>
      <c r="D8" s="269"/>
      <c r="E8" s="269"/>
      <c r="F8" s="269"/>
      <c r="G8" s="269"/>
      <c r="H8" s="269"/>
      <c r="I8" s="269"/>
      <c r="J8" s="3"/>
      <c r="K8" s="3"/>
      <c r="L8" s="3"/>
      <c r="M8" s="3"/>
    </row>
    <row r="9" spans="1:21" ht="15.75">
      <c r="A9" s="5"/>
      <c r="J9" s="4"/>
      <c r="K9" s="4"/>
      <c r="L9" s="4"/>
      <c r="M9" s="4"/>
    </row>
    <row r="10" spans="1:21" ht="47.25" customHeight="1">
      <c r="A10" s="270" t="s">
        <v>144</v>
      </c>
      <c r="B10" s="270"/>
      <c r="C10" s="270"/>
      <c r="D10" s="270"/>
      <c r="E10" s="270"/>
      <c r="F10" s="270"/>
      <c r="G10" s="270"/>
      <c r="H10" s="270"/>
      <c r="I10" s="270"/>
      <c r="J10" s="6"/>
      <c r="K10" s="6"/>
      <c r="L10" s="6"/>
      <c r="M10" s="6"/>
    </row>
    <row r="11" spans="1:21" ht="15.75" customHeight="1">
      <c r="A11" s="5"/>
      <c r="J11" s="3"/>
      <c r="K11" s="3"/>
      <c r="L11" s="3"/>
      <c r="M11" s="3"/>
    </row>
    <row r="12" spans="1:21" ht="51">
      <c r="A12" s="7" t="s">
        <v>0</v>
      </c>
      <c r="B12" s="7" t="s">
        <v>1</v>
      </c>
      <c r="C12" s="7" t="s">
        <v>2</v>
      </c>
      <c r="D12" s="7" t="s">
        <v>20</v>
      </c>
      <c r="E12" s="7" t="s">
        <v>21</v>
      </c>
      <c r="F12" s="7"/>
      <c r="G12" s="7" t="s">
        <v>25</v>
      </c>
      <c r="H12" s="7"/>
      <c r="I12" s="7" t="s">
        <v>3</v>
      </c>
      <c r="J12" s="4"/>
    </row>
    <row r="13" spans="1:21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21">
      <c r="A14" s="271" t="s">
        <v>4</v>
      </c>
      <c r="B14" s="272"/>
      <c r="C14" s="272"/>
      <c r="D14" s="272"/>
      <c r="E14" s="272"/>
      <c r="F14" s="272"/>
      <c r="G14" s="272"/>
      <c r="H14" s="272"/>
      <c r="I14" s="273"/>
      <c r="Q14" s="205"/>
      <c r="R14" s="205"/>
      <c r="S14" s="205"/>
      <c r="T14" s="205"/>
      <c r="U14" s="205"/>
    </row>
    <row r="15" spans="1:21" ht="30" customHeight="1">
      <c r="A15" s="210">
        <v>1</v>
      </c>
      <c r="B15" s="176" t="s">
        <v>117</v>
      </c>
      <c r="C15" s="211" t="s">
        <v>145</v>
      </c>
      <c r="D15" s="176" t="s">
        <v>180</v>
      </c>
      <c r="E15" s="212">
        <v>70.900000000000006</v>
      </c>
      <c r="F15" s="213">
        <f>SUM(E15*156/100)</f>
        <v>110.60400000000001</v>
      </c>
      <c r="G15" s="213">
        <v>175.38</v>
      </c>
      <c r="H15" s="214">
        <f t="shared" ref="H15:H24" si="0">SUM(F15*G15/1000)</f>
        <v>19.397729520000002</v>
      </c>
      <c r="I15" s="21">
        <f>F15/12*G15</f>
        <v>1616.4774600000001</v>
      </c>
      <c r="J15" s="200"/>
      <c r="K15" s="201"/>
      <c r="L15" s="201"/>
      <c r="M15" s="201"/>
      <c r="N15" s="201"/>
      <c r="O15" s="201"/>
      <c r="P15" s="201"/>
      <c r="Q15" s="201"/>
      <c r="R15" s="201"/>
      <c r="S15" s="201"/>
      <c r="T15" s="205"/>
      <c r="U15" s="205"/>
    </row>
    <row r="16" spans="1:21" ht="30" customHeight="1">
      <c r="A16" s="210">
        <v>2</v>
      </c>
      <c r="B16" s="176" t="s">
        <v>118</v>
      </c>
      <c r="C16" s="211" t="s">
        <v>145</v>
      </c>
      <c r="D16" s="176" t="s">
        <v>181</v>
      </c>
      <c r="E16" s="212">
        <v>212.7</v>
      </c>
      <c r="F16" s="213">
        <f>SUM(E16*104/100)</f>
        <v>221.208</v>
      </c>
      <c r="G16" s="213">
        <v>175.38</v>
      </c>
      <c r="H16" s="214">
        <f t="shared" si="0"/>
        <v>38.795459040000004</v>
      </c>
      <c r="I16" s="21">
        <f>F16/12*G16</f>
        <v>3232.9549200000001</v>
      </c>
      <c r="J16" s="200"/>
      <c r="K16" s="201"/>
      <c r="L16" s="201"/>
      <c r="M16" s="201"/>
      <c r="N16" s="201"/>
      <c r="O16" s="201"/>
      <c r="P16" s="201"/>
      <c r="Q16" s="201"/>
      <c r="R16" s="201"/>
      <c r="S16" s="201"/>
      <c r="T16" s="205"/>
      <c r="U16" s="205"/>
    </row>
    <row r="17" spans="1:21" ht="30" customHeight="1">
      <c r="A17" s="210">
        <v>3</v>
      </c>
      <c r="B17" s="176" t="s">
        <v>119</v>
      </c>
      <c r="C17" s="211" t="s">
        <v>145</v>
      </c>
      <c r="D17" s="176" t="s">
        <v>217</v>
      </c>
      <c r="E17" s="212">
        <f>SUM(E15+E16)</f>
        <v>283.60000000000002</v>
      </c>
      <c r="F17" s="213">
        <f>SUM(E17*24/100)</f>
        <v>68.064000000000007</v>
      </c>
      <c r="G17" s="213">
        <v>504.5</v>
      </c>
      <c r="H17" s="214">
        <f t="shared" si="0"/>
        <v>34.338287999999999</v>
      </c>
      <c r="I17" s="21">
        <f>F17/12*G17</f>
        <v>2861.5240000000003</v>
      </c>
      <c r="J17" s="200"/>
      <c r="K17" s="201"/>
      <c r="L17" s="201"/>
      <c r="M17" s="201"/>
      <c r="N17" s="201"/>
      <c r="O17" s="201"/>
      <c r="P17" s="201"/>
      <c r="Q17" s="201"/>
      <c r="R17" s="201"/>
      <c r="S17" s="201"/>
      <c r="T17" s="205"/>
      <c r="U17" s="205"/>
    </row>
    <row r="18" spans="1:21" hidden="1">
      <c r="A18" s="210"/>
      <c r="B18" s="176" t="s">
        <v>149</v>
      </c>
      <c r="C18" s="211" t="s">
        <v>150</v>
      </c>
      <c r="D18" s="176" t="s">
        <v>151</v>
      </c>
      <c r="E18" s="212">
        <v>40</v>
      </c>
      <c r="F18" s="213">
        <f>SUM(E18/10)</f>
        <v>4</v>
      </c>
      <c r="G18" s="213">
        <v>170.16</v>
      </c>
      <c r="H18" s="214">
        <f t="shared" si="0"/>
        <v>0.68064000000000002</v>
      </c>
      <c r="I18" s="21">
        <v>0</v>
      </c>
      <c r="J18" s="200"/>
      <c r="K18" s="201"/>
      <c r="L18" s="201"/>
      <c r="M18" s="201"/>
      <c r="N18" s="201"/>
      <c r="O18" s="201"/>
      <c r="P18" s="201"/>
      <c r="Q18" s="201"/>
      <c r="R18" s="201"/>
      <c r="S18" s="201"/>
      <c r="T18" s="205"/>
      <c r="U18" s="205"/>
    </row>
    <row r="19" spans="1:21" hidden="1">
      <c r="A19" s="210"/>
      <c r="B19" s="176" t="s">
        <v>152</v>
      </c>
      <c r="C19" s="211" t="s">
        <v>145</v>
      </c>
      <c r="D19" s="176" t="s">
        <v>66</v>
      </c>
      <c r="E19" s="212">
        <v>10.5</v>
      </c>
      <c r="F19" s="213">
        <f t="shared" ref="F19:F24" si="1">SUM(E19/100)</f>
        <v>0.105</v>
      </c>
      <c r="G19" s="213">
        <v>217.88</v>
      </c>
      <c r="H19" s="214">
        <f t="shared" si="0"/>
        <v>2.2877399999999999E-2</v>
      </c>
      <c r="I19" s="21">
        <v>0</v>
      </c>
      <c r="J19" s="200"/>
      <c r="K19" s="201"/>
      <c r="L19" s="201"/>
      <c r="M19" s="201"/>
      <c r="N19" s="201"/>
      <c r="O19" s="201"/>
      <c r="P19" s="201"/>
      <c r="Q19" s="201"/>
      <c r="R19" s="201"/>
      <c r="S19" s="201"/>
      <c r="T19" s="205"/>
      <c r="U19" s="205"/>
    </row>
    <row r="20" spans="1:21" hidden="1">
      <c r="A20" s="210"/>
      <c r="B20" s="176" t="s">
        <v>153</v>
      </c>
      <c r="C20" s="211" t="s">
        <v>145</v>
      </c>
      <c r="D20" s="176" t="s">
        <v>66</v>
      </c>
      <c r="E20" s="212">
        <v>2.7</v>
      </c>
      <c r="F20" s="213">
        <f t="shared" si="1"/>
        <v>2.7000000000000003E-2</v>
      </c>
      <c r="G20" s="213">
        <v>216.12</v>
      </c>
      <c r="H20" s="214">
        <f t="shared" si="0"/>
        <v>5.8352400000000002E-3</v>
      </c>
      <c r="I20" s="21">
        <v>0</v>
      </c>
      <c r="J20" s="200"/>
      <c r="K20" s="201"/>
      <c r="L20" s="201"/>
      <c r="M20" s="201"/>
      <c r="N20" s="201"/>
      <c r="O20" s="201"/>
      <c r="P20" s="201"/>
      <c r="Q20" s="201"/>
      <c r="R20" s="201"/>
      <c r="S20" s="201"/>
      <c r="T20" s="205"/>
      <c r="U20" s="205"/>
    </row>
    <row r="21" spans="1:21" hidden="1">
      <c r="A21" s="210"/>
      <c r="B21" s="176" t="s">
        <v>154</v>
      </c>
      <c r="C21" s="211" t="s">
        <v>65</v>
      </c>
      <c r="D21" s="176" t="s">
        <v>151</v>
      </c>
      <c r="E21" s="212">
        <v>357</v>
      </c>
      <c r="F21" s="213">
        <f t="shared" si="1"/>
        <v>3.57</v>
      </c>
      <c r="G21" s="213">
        <v>269.26</v>
      </c>
      <c r="H21" s="214">
        <f t="shared" si="0"/>
        <v>0.96125819999999984</v>
      </c>
      <c r="I21" s="21">
        <v>0</v>
      </c>
      <c r="J21" s="200"/>
      <c r="K21" s="201"/>
      <c r="L21" s="201"/>
      <c r="M21" s="201"/>
      <c r="N21" s="201"/>
      <c r="O21" s="201"/>
      <c r="P21" s="201"/>
      <c r="Q21" s="201"/>
      <c r="R21" s="201"/>
      <c r="S21" s="201"/>
      <c r="T21" s="205"/>
      <c r="U21" s="205"/>
    </row>
    <row r="22" spans="1:21" hidden="1">
      <c r="A22" s="210"/>
      <c r="B22" s="176" t="s">
        <v>155</v>
      </c>
      <c r="C22" s="211" t="s">
        <v>65</v>
      </c>
      <c r="D22" s="176" t="s">
        <v>151</v>
      </c>
      <c r="E22" s="216">
        <v>38.64</v>
      </c>
      <c r="F22" s="213">
        <f t="shared" si="1"/>
        <v>0.38640000000000002</v>
      </c>
      <c r="G22" s="213">
        <v>44.29</v>
      </c>
      <c r="H22" s="214">
        <f t="shared" si="0"/>
        <v>1.7113655999999998E-2</v>
      </c>
      <c r="I22" s="21">
        <v>0</v>
      </c>
      <c r="J22" s="200"/>
      <c r="K22" s="201"/>
      <c r="L22" s="201"/>
      <c r="M22" s="201"/>
      <c r="N22" s="201"/>
      <c r="O22" s="201"/>
      <c r="P22" s="201"/>
      <c r="Q22" s="201"/>
      <c r="R22" s="201"/>
      <c r="S22" s="201"/>
      <c r="T22" s="205"/>
      <c r="U22" s="205"/>
    </row>
    <row r="23" spans="1:21" hidden="1">
      <c r="A23" s="210"/>
      <c r="B23" s="176" t="s">
        <v>156</v>
      </c>
      <c r="C23" s="211" t="s">
        <v>65</v>
      </c>
      <c r="D23" s="217" t="s">
        <v>151</v>
      </c>
      <c r="E23" s="27">
        <v>15</v>
      </c>
      <c r="F23" s="218">
        <f t="shared" si="1"/>
        <v>0.15</v>
      </c>
      <c r="G23" s="213">
        <v>389.72</v>
      </c>
      <c r="H23" s="214">
        <f t="shared" si="0"/>
        <v>5.8457999999999996E-2</v>
      </c>
      <c r="I23" s="21">
        <v>0</v>
      </c>
      <c r="J23" s="200"/>
      <c r="K23" s="201"/>
      <c r="L23" s="201"/>
      <c r="M23" s="201"/>
      <c r="N23" s="201"/>
      <c r="O23" s="201"/>
      <c r="P23" s="201"/>
      <c r="Q23" s="201"/>
      <c r="R23" s="201"/>
      <c r="S23" s="201"/>
      <c r="T23" s="205"/>
      <c r="U23" s="205"/>
    </row>
    <row r="24" spans="1:21" hidden="1">
      <c r="A24" s="210"/>
      <c r="B24" s="176" t="s">
        <v>157</v>
      </c>
      <c r="C24" s="211" t="s">
        <v>65</v>
      </c>
      <c r="D24" s="176" t="s">
        <v>151</v>
      </c>
      <c r="E24" s="219">
        <v>6.38</v>
      </c>
      <c r="F24" s="213">
        <f t="shared" si="1"/>
        <v>6.3799999999999996E-2</v>
      </c>
      <c r="G24" s="213">
        <v>520.79999999999995</v>
      </c>
      <c r="H24" s="214">
        <f t="shared" si="0"/>
        <v>3.3227039999999992E-2</v>
      </c>
      <c r="I24" s="21">
        <v>0</v>
      </c>
      <c r="J24" s="200"/>
      <c r="K24" s="201"/>
      <c r="L24" s="201"/>
      <c r="M24" s="201"/>
      <c r="N24" s="201"/>
      <c r="O24" s="201"/>
      <c r="P24" s="201"/>
      <c r="Q24" s="201"/>
      <c r="R24" s="201"/>
      <c r="S24" s="201"/>
      <c r="T24" s="205"/>
      <c r="U24" s="205"/>
    </row>
    <row r="25" spans="1:21" ht="15" customHeight="1">
      <c r="A25" s="210">
        <v>4</v>
      </c>
      <c r="B25" s="176" t="s">
        <v>79</v>
      </c>
      <c r="C25" s="211" t="s">
        <v>37</v>
      </c>
      <c r="D25" s="176" t="s">
        <v>182</v>
      </c>
      <c r="E25" s="212">
        <v>0.1</v>
      </c>
      <c r="F25" s="213">
        <f>SUM(E25*365)</f>
        <v>36.5</v>
      </c>
      <c r="G25" s="213">
        <v>147.03</v>
      </c>
      <c r="H25" s="214">
        <f>SUM(F25*G25/1000)</f>
        <v>5.3665950000000002</v>
      </c>
      <c r="I25" s="21">
        <f>F25/12*G25</f>
        <v>447.21625</v>
      </c>
      <c r="J25" s="200"/>
      <c r="K25" s="201"/>
      <c r="L25" s="201"/>
      <c r="M25" s="201"/>
      <c r="N25" s="201"/>
      <c r="O25" s="201"/>
      <c r="P25" s="201"/>
      <c r="Q25" s="201"/>
      <c r="R25" s="201"/>
      <c r="S25" s="201"/>
      <c r="T25" s="205"/>
      <c r="U25" s="205"/>
    </row>
    <row r="26" spans="1:21" ht="15" customHeight="1">
      <c r="A26" s="210">
        <v>5</v>
      </c>
      <c r="B26" s="220" t="s">
        <v>26</v>
      </c>
      <c r="C26" s="211" t="s">
        <v>27</v>
      </c>
      <c r="D26" s="220" t="s">
        <v>183</v>
      </c>
      <c r="E26" s="212">
        <v>2549.5</v>
      </c>
      <c r="F26" s="213">
        <f>SUM(E26*12)</f>
        <v>30594</v>
      </c>
      <c r="G26" s="213">
        <v>4.95</v>
      </c>
      <c r="H26" s="214">
        <f>SUM(F26*G26/1000)</f>
        <v>151.44030000000001</v>
      </c>
      <c r="I26" s="21">
        <f>F26/12*G26</f>
        <v>12620.025</v>
      </c>
      <c r="J26" s="200"/>
      <c r="K26" s="201"/>
      <c r="L26" s="201"/>
      <c r="M26" s="201"/>
      <c r="N26" s="201"/>
      <c r="O26" s="201"/>
      <c r="P26" s="201"/>
      <c r="Q26" s="201"/>
      <c r="R26" s="201"/>
      <c r="S26" s="201"/>
      <c r="T26" s="205"/>
      <c r="U26" s="205"/>
    </row>
    <row r="27" spans="1:21" ht="15" hidden="1" customHeight="1">
      <c r="A27" s="274" t="s">
        <v>218</v>
      </c>
      <c r="B27" s="282"/>
      <c r="C27" s="282"/>
      <c r="D27" s="282"/>
      <c r="E27" s="282"/>
      <c r="F27" s="282"/>
      <c r="G27" s="282"/>
      <c r="H27" s="282"/>
      <c r="I27" s="283"/>
      <c r="J27" s="200"/>
      <c r="K27" s="201"/>
      <c r="L27" s="201"/>
      <c r="M27" s="201"/>
      <c r="N27" s="201"/>
      <c r="O27" s="201"/>
      <c r="P27" s="201"/>
      <c r="Q27" s="201"/>
      <c r="R27" s="201"/>
      <c r="S27" s="201"/>
      <c r="T27" s="205"/>
      <c r="U27" s="205"/>
    </row>
    <row r="28" spans="1:21" ht="30" hidden="1" customHeight="1">
      <c r="A28" s="210"/>
      <c r="B28" s="176" t="s">
        <v>184</v>
      </c>
      <c r="C28" s="211" t="s">
        <v>185</v>
      </c>
      <c r="D28" s="176" t="s">
        <v>186</v>
      </c>
      <c r="E28" s="213">
        <v>704.3</v>
      </c>
      <c r="F28" s="213">
        <f>SUM(E28*52/1000)</f>
        <v>36.623599999999996</v>
      </c>
      <c r="G28" s="213">
        <v>155.88999999999999</v>
      </c>
      <c r="H28" s="214">
        <f t="shared" ref="H28:H33" si="2">SUM(F28*G28/1000)</f>
        <v>5.7092530039999989</v>
      </c>
      <c r="I28" s="21">
        <v>0</v>
      </c>
      <c r="J28" s="200"/>
      <c r="K28" s="201"/>
      <c r="L28" s="201"/>
      <c r="M28" s="201"/>
      <c r="N28" s="201"/>
      <c r="O28" s="201"/>
      <c r="P28" s="201"/>
      <c r="Q28" s="201"/>
      <c r="R28" s="201"/>
      <c r="S28" s="201"/>
      <c r="T28" s="205"/>
      <c r="U28" s="205"/>
    </row>
    <row r="29" spans="1:21" ht="30" hidden="1" customHeight="1">
      <c r="A29" s="210"/>
      <c r="B29" s="176" t="s">
        <v>187</v>
      </c>
      <c r="C29" s="211" t="s">
        <v>185</v>
      </c>
      <c r="D29" s="176" t="s">
        <v>188</v>
      </c>
      <c r="E29" s="213">
        <v>70.430000000000007</v>
      </c>
      <c r="F29" s="213">
        <f>SUM(E29*78/1000)</f>
        <v>5.4935400000000012</v>
      </c>
      <c r="G29" s="213">
        <v>258.63</v>
      </c>
      <c r="H29" s="214">
        <f t="shared" si="2"/>
        <v>1.4207942502000004</v>
      </c>
      <c r="I29" s="21">
        <v>0</v>
      </c>
      <c r="J29" s="200"/>
      <c r="K29" s="201"/>
      <c r="L29" s="201"/>
      <c r="M29" s="201"/>
      <c r="N29" s="201"/>
      <c r="O29" s="201"/>
      <c r="P29" s="201"/>
      <c r="Q29" s="201"/>
      <c r="R29" s="201"/>
      <c r="S29" s="201"/>
      <c r="T29" s="205"/>
      <c r="U29" s="205"/>
    </row>
    <row r="30" spans="1:21" ht="15.75" hidden="1" customHeight="1">
      <c r="A30" s="210"/>
      <c r="B30" s="176" t="s">
        <v>32</v>
      </c>
      <c r="C30" s="211" t="s">
        <v>185</v>
      </c>
      <c r="D30" s="176" t="s">
        <v>66</v>
      </c>
      <c r="E30" s="213">
        <v>704.3</v>
      </c>
      <c r="F30" s="213">
        <f>SUM(E30/1000)</f>
        <v>0.70429999999999993</v>
      </c>
      <c r="G30" s="213">
        <v>3020.33</v>
      </c>
      <c r="H30" s="214">
        <f t="shared" si="2"/>
        <v>2.1272184189999996</v>
      </c>
      <c r="I30" s="21">
        <v>0</v>
      </c>
      <c r="J30" s="200"/>
      <c r="K30" s="201"/>
      <c r="L30" s="201"/>
      <c r="M30" s="201"/>
      <c r="N30" s="201"/>
      <c r="O30" s="201"/>
      <c r="P30" s="201"/>
      <c r="Q30" s="201"/>
      <c r="R30" s="201"/>
      <c r="S30" s="201"/>
      <c r="T30" s="205"/>
      <c r="U30" s="205"/>
    </row>
    <row r="31" spans="1:21" ht="15.75" hidden="1" customHeight="1">
      <c r="A31" s="210"/>
      <c r="B31" s="176" t="s">
        <v>189</v>
      </c>
      <c r="C31" s="211" t="s">
        <v>35</v>
      </c>
      <c r="D31" s="176" t="s">
        <v>78</v>
      </c>
      <c r="E31" s="221">
        <v>0.33333333333333331</v>
      </c>
      <c r="F31" s="213">
        <f>155/3</f>
        <v>51.666666666666664</v>
      </c>
      <c r="G31" s="213">
        <v>56.69</v>
      </c>
      <c r="H31" s="214">
        <f>SUM(G31*155/3/1000)</f>
        <v>2.9289833333333331</v>
      </c>
      <c r="I31" s="21">
        <v>0</v>
      </c>
      <c r="J31" s="200"/>
      <c r="K31" s="201"/>
      <c r="L31" s="201"/>
      <c r="M31" s="201"/>
      <c r="N31" s="201"/>
      <c r="O31" s="201"/>
      <c r="P31" s="201"/>
      <c r="Q31" s="201"/>
      <c r="R31" s="201"/>
      <c r="S31" s="201"/>
      <c r="T31" s="205"/>
      <c r="U31" s="205"/>
    </row>
    <row r="32" spans="1:21" ht="15" hidden="1" customHeight="1">
      <c r="A32" s="210"/>
      <c r="B32" s="176" t="s">
        <v>80</v>
      </c>
      <c r="C32" s="211" t="s">
        <v>37</v>
      </c>
      <c r="D32" s="176" t="s">
        <v>81</v>
      </c>
      <c r="E32" s="212"/>
      <c r="F32" s="213">
        <v>3</v>
      </c>
      <c r="G32" s="213">
        <v>191.32</v>
      </c>
      <c r="H32" s="214">
        <f t="shared" si="2"/>
        <v>0.57396000000000003</v>
      </c>
      <c r="I32" s="21">
        <v>0</v>
      </c>
      <c r="J32" s="200"/>
      <c r="K32" s="201"/>
      <c r="L32" s="201"/>
      <c r="M32" s="201"/>
      <c r="N32" s="201"/>
      <c r="O32" s="201"/>
      <c r="P32" s="201"/>
      <c r="Q32" s="201"/>
      <c r="R32" s="201"/>
      <c r="S32" s="201"/>
      <c r="T32" s="205"/>
      <c r="U32" s="205"/>
    </row>
    <row r="33" spans="1:21" ht="15" hidden="1" customHeight="1">
      <c r="A33" s="210"/>
      <c r="B33" s="176" t="s">
        <v>190</v>
      </c>
      <c r="C33" s="211" t="s">
        <v>36</v>
      </c>
      <c r="D33" s="176" t="s">
        <v>81</v>
      </c>
      <c r="E33" s="212"/>
      <c r="F33" s="213">
        <v>2</v>
      </c>
      <c r="G33" s="213">
        <v>1136.33</v>
      </c>
      <c r="H33" s="214">
        <f t="shared" si="2"/>
        <v>2.2726599999999997</v>
      </c>
      <c r="I33" s="21">
        <v>0</v>
      </c>
      <c r="J33" s="200"/>
      <c r="K33" s="201"/>
      <c r="L33" s="201"/>
      <c r="M33" s="201"/>
      <c r="N33" s="201"/>
      <c r="O33" s="201"/>
      <c r="P33" s="201"/>
      <c r="Q33" s="201"/>
      <c r="R33" s="201"/>
      <c r="S33" s="201"/>
      <c r="T33" s="205"/>
      <c r="U33" s="205"/>
    </row>
    <row r="34" spans="1:21" ht="15" customHeight="1">
      <c r="A34" s="274" t="s">
        <v>220</v>
      </c>
      <c r="B34" s="282"/>
      <c r="C34" s="282"/>
      <c r="D34" s="282"/>
      <c r="E34" s="282"/>
      <c r="F34" s="282"/>
      <c r="G34" s="282"/>
      <c r="H34" s="282"/>
      <c r="I34" s="283"/>
      <c r="J34" s="200"/>
      <c r="K34" s="201"/>
      <c r="L34" s="201"/>
      <c r="M34" s="201"/>
      <c r="N34" s="201"/>
      <c r="O34" s="201"/>
      <c r="P34" s="201"/>
      <c r="Q34" s="201"/>
      <c r="R34" s="201"/>
      <c r="S34" s="201"/>
      <c r="T34" s="205"/>
      <c r="U34" s="205"/>
    </row>
    <row r="35" spans="1:21" ht="15" customHeight="1">
      <c r="A35" s="210">
        <v>6</v>
      </c>
      <c r="B35" s="176" t="s">
        <v>30</v>
      </c>
      <c r="C35" s="211" t="s">
        <v>36</v>
      </c>
      <c r="D35" s="176"/>
      <c r="E35" s="212"/>
      <c r="F35" s="213">
        <v>8</v>
      </c>
      <c r="G35" s="213">
        <v>1527.22</v>
      </c>
      <c r="H35" s="214">
        <f t="shared" ref="H35:H42" si="3">SUM(F35*G35/1000)</f>
        <v>12.21776</v>
      </c>
      <c r="I35" s="21">
        <f>F35/6*G35</f>
        <v>2036.2933333333333</v>
      </c>
      <c r="J35" s="200"/>
      <c r="K35" s="201"/>
      <c r="L35" s="201"/>
      <c r="M35" s="201"/>
      <c r="N35" s="201"/>
      <c r="O35" s="201"/>
      <c r="P35" s="201"/>
      <c r="Q35" s="201"/>
      <c r="R35" s="201"/>
      <c r="S35" s="201"/>
      <c r="T35" s="205"/>
      <c r="U35" s="205"/>
    </row>
    <row r="36" spans="1:21" ht="15" customHeight="1">
      <c r="A36" s="210">
        <v>7</v>
      </c>
      <c r="B36" s="176" t="s">
        <v>191</v>
      </c>
      <c r="C36" s="211" t="s">
        <v>33</v>
      </c>
      <c r="D36" s="176" t="s">
        <v>192</v>
      </c>
      <c r="E36" s="212">
        <v>315</v>
      </c>
      <c r="F36" s="213">
        <f>E36*12/1000</f>
        <v>3.78</v>
      </c>
      <c r="G36" s="213">
        <v>2102.71</v>
      </c>
      <c r="H36" s="214">
        <f>G36*F36/1000</f>
        <v>7.9482437999999993</v>
      </c>
      <c r="I36" s="21">
        <f>F36/6*G36</f>
        <v>1324.7073</v>
      </c>
      <c r="J36" s="200"/>
      <c r="K36" s="201"/>
      <c r="L36" s="201"/>
      <c r="M36" s="201"/>
      <c r="N36" s="201"/>
      <c r="O36" s="201"/>
      <c r="P36" s="201"/>
      <c r="Q36" s="201"/>
      <c r="R36" s="201"/>
      <c r="S36" s="201"/>
      <c r="T36" s="205"/>
      <c r="U36" s="205"/>
    </row>
    <row r="37" spans="1:21" ht="15" customHeight="1">
      <c r="A37" s="210">
        <v>8</v>
      </c>
      <c r="B37" s="176" t="s">
        <v>193</v>
      </c>
      <c r="C37" s="211" t="s">
        <v>33</v>
      </c>
      <c r="D37" s="176" t="s">
        <v>194</v>
      </c>
      <c r="E37" s="212">
        <v>70.430000000000007</v>
      </c>
      <c r="F37" s="213">
        <f>E37*30/1000</f>
        <v>2.1129000000000002</v>
      </c>
      <c r="G37" s="213">
        <v>2102.71</v>
      </c>
      <c r="H37" s="214">
        <f>G37*F37/1000</f>
        <v>4.4428159590000007</v>
      </c>
      <c r="I37" s="21">
        <f>F37/6*G37</f>
        <v>740.46932650000008</v>
      </c>
      <c r="J37" s="200"/>
      <c r="K37" s="201"/>
      <c r="L37" s="201"/>
      <c r="M37" s="201"/>
      <c r="N37" s="201"/>
      <c r="O37" s="201"/>
      <c r="P37" s="201"/>
      <c r="Q37" s="201"/>
      <c r="R37" s="201"/>
      <c r="S37" s="201"/>
      <c r="T37" s="205"/>
      <c r="U37" s="205"/>
    </row>
    <row r="38" spans="1:21" ht="15" hidden="1" customHeight="1">
      <c r="A38" s="210">
        <v>9</v>
      </c>
      <c r="B38" s="176" t="s">
        <v>195</v>
      </c>
      <c r="C38" s="211" t="s">
        <v>196</v>
      </c>
      <c r="D38" s="176" t="s">
        <v>81</v>
      </c>
      <c r="E38" s="212"/>
      <c r="F38" s="213">
        <v>80</v>
      </c>
      <c r="G38" s="213">
        <v>213.2</v>
      </c>
      <c r="H38" s="214">
        <f>G38*F38/1000</f>
        <v>17.056000000000001</v>
      </c>
      <c r="I38" s="21">
        <v>0</v>
      </c>
      <c r="J38" s="200"/>
      <c r="K38" s="201"/>
      <c r="L38" s="201"/>
      <c r="M38" s="201"/>
      <c r="N38" s="201"/>
      <c r="O38" s="201"/>
      <c r="P38" s="201"/>
      <c r="Q38" s="201"/>
      <c r="R38" s="201"/>
      <c r="S38" s="201"/>
      <c r="T38" s="205"/>
      <c r="U38" s="205"/>
    </row>
    <row r="39" spans="1:21" ht="15" customHeight="1">
      <c r="A39" s="210">
        <v>9</v>
      </c>
      <c r="B39" s="176" t="s">
        <v>83</v>
      </c>
      <c r="C39" s="211" t="s">
        <v>33</v>
      </c>
      <c r="D39" s="176" t="s">
        <v>197</v>
      </c>
      <c r="E39" s="213">
        <v>70.430000000000007</v>
      </c>
      <c r="F39" s="213">
        <f>SUM(E39*155/1000)</f>
        <v>10.916650000000001</v>
      </c>
      <c r="G39" s="213">
        <v>350.75</v>
      </c>
      <c r="H39" s="214">
        <f t="shared" si="3"/>
        <v>3.8290149875000004</v>
      </c>
      <c r="I39" s="21">
        <f>F39/6*G39</f>
        <v>638.16916458333344</v>
      </c>
      <c r="J39" s="200"/>
      <c r="K39" s="201"/>
      <c r="L39" s="201"/>
      <c r="M39" s="201"/>
      <c r="N39" s="201"/>
      <c r="O39" s="201"/>
      <c r="P39" s="201"/>
      <c r="Q39" s="201"/>
      <c r="R39" s="201"/>
      <c r="S39" s="201"/>
      <c r="T39" s="205"/>
      <c r="U39" s="205"/>
    </row>
    <row r="40" spans="1:21" ht="45" customHeight="1">
      <c r="A40" s="210">
        <v>10</v>
      </c>
      <c r="B40" s="176" t="s">
        <v>106</v>
      </c>
      <c r="C40" s="211" t="s">
        <v>185</v>
      </c>
      <c r="D40" s="176" t="s">
        <v>198</v>
      </c>
      <c r="E40" s="213">
        <v>70.430000000000007</v>
      </c>
      <c r="F40" s="213">
        <f>SUM(E40*24/1000)</f>
        <v>1.6903200000000003</v>
      </c>
      <c r="G40" s="213">
        <v>5803.28</v>
      </c>
      <c r="H40" s="214">
        <f t="shared" si="3"/>
        <v>9.8094002496000012</v>
      </c>
      <c r="I40" s="21">
        <f>F40/6*G40</f>
        <v>1634.9000416000001</v>
      </c>
      <c r="J40" s="200"/>
      <c r="K40" s="201"/>
      <c r="L40" s="201"/>
      <c r="M40" s="201"/>
      <c r="N40" s="201"/>
      <c r="O40" s="201"/>
      <c r="P40" s="201"/>
      <c r="Q40" s="201"/>
      <c r="R40" s="201"/>
      <c r="S40" s="201"/>
      <c r="T40" s="205"/>
      <c r="U40" s="205"/>
    </row>
    <row r="41" spans="1:21" ht="15" customHeight="1">
      <c r="A41" s="210">
        <v>11</v>
      </c>
      <c r="B41" s="176" t="s">
        <v>199</v>
      </c>
      <c r="C41" s="211" t="s">
        <v>185</v>
      </c>
      <c r="D41" s="176" t="s">
        <v>84</v>
      </c>
      <c r="E41" s="213">
        <v>70.430000000000007</v>
      </c>
      <c r="F41" s="213">
        <f>SUM(E41*45/1000)</f>
        <v>3.1693500000000006</v>
      </c>
      <c r="G41" s="213">
        <v>428.7</v>
      </c>
      <c r="H41" s="214">
        <f t="shared" si="3"/>
        <v>1.3587003450000001</v>
      </c>
      <c r="I41" s="21">
        <f>F41/6*G41</f>
        <v>226.45005750000001</v>
      </c>
      <c r="J41" s="200"/>
      <c r="K41" s="201"/>
      <c r="L41" s="201"/>
      <c r="M41" s="201"/>
      <c r="N41" s="201"/>
      <c r="O41" s="201"/>
      <c r="P41" s="201"/>
      <c r="Q41" s="201"/>
      <c r="R41" s="201"/>
      <c r="S41" s="201"/>
      <c r="T41" s="205"/>
      <c r="U41" s="205"/>
    </row>
    <row r="42" spans="1:21" ht="15" customHeight="1">
      <c r="A42" s="210">
        <v>12</v>
      </c>
      <c r="B42" s="176" t="s">
        <v>85</v>
      </c>
      <c r="C42" s="211" t="s">
        <v>37</v>
      </c>
      <c r="D42" s="176"/>
      <c r="E42" s="212"/>
      <c r="F42" s="213">
        <v>0.8</v>
      </c>
      <c r="G42" s="213">
        <v>798</v>
      </c>
      <c r="H42" s="214">
        <f t="shared" si="3"/>
        <v>0.63840000000000008</v>
      </c>
      <c r="I42" s="21">
        <f>F42/6*G42</f>
        <v>106.39999999999999</v>
      </c>
      <c r="J42" s="200"/>
      <c r="K42" s="201"/>
      <c r="L42" s="201"/>
      <c r="M42" s="201"/>
      <c r="N42" s="201"/>
      <c r="O42" s="201"/>
      <c r="P42" s="201"/>
      <c r="Q42" s="201"/>
      <c r="R42" s="201"/>
      <c r="S42" s="201"/>
      <c r="T42" s="205"/>
      <c r="U42" s="205"/>
    </row>
    <row r="43" spans="1:21" ht="15" customHeight="1">
      <c r="A43" s="284" t="s">
        <v>221</v>
      </c>
      <c r="B43" s="285"/>
      <c r="C43" s="285"/>
      <c r="D43" s="285"/>
      <c r="E43" s="285"/>
      <c r="F43" s="285"/>
      <c r="G43" s="285"/>
      <c r="H43" s="285"/>
      <c r="I43" s="286"/>
      <c r="J43" s="200"/>
      <c r="K43" s="201"/>
      <c r="L43" s="201"/>
      <c r="M43" s="201"/>
      <c r="N43" s="201"/>
      <c r="O43" s="201"/>
      <c r="P43" s="201"/>
      <c r="Q43" s="201"/>
      <c r="R43" s="201"/>
      <c r="S43" s="201"/>
      <c r="T43" s="205"/>
      <c r="U43" s="205"/>
    </row>
    <row r="44" spans="1:21" ht="15" hidden="1" customHeight="1">
      <c r="A44" s="210"/>
      <c r="B44" s="176" t="s">
        <v>200</v>
      </c>
      <c r="C44" s="211" t="s">
        <v>185</v>
      </c>
      <c r="D44" s="176" t="s">
        <v>52</v>
      </c>
      <c r="E44" s="212">
        <v>1111.75</v>
      </c>
      <c r="F44" s="213">
        <f>SUM(E44*2/1000)</f>
        <v>2.2235</v>
      </c>
      <c r="G44" s="21">
        <v>809.74</v>
      </c>
      <c r="H44" s="214">
        <f t="shared" ref="H44:H54" si="4">SUM(F44*G44/1000)</f>
        <v>1.8004568900000002</v>
      </c>
      <c r="I44" s="21">
        <v>0</v>
      </c>
      <c r="J44" s="200"/>
      <c r="K44" s="201"/>
      <c r="L44" s="201"/>
      <c r="M44" s="201"/>
      <c r="N44" s="201"/>
      <c r="O44" s="201"/>
      <c r="P44" s="201"/>
      <c r="Q44" s="201"/>
      <c r="R44" s="201"/>
      <c r="S44" s="201"/>
      <c r="T44" s="205"/>
      <c r="U44" s="205"/>
    </row>
    <row r="45" spans="1:21" ht="15" hidden="1" customHeight="1">
      <c r="A45" s="210"/>
      <c r="B45" s="176" t="s">
        <v>41</v>
      </c>
      <c r="C45" s="211" t="s">
        <v>185</v>
      </c>
      <c r="D45" s="176" t="s">
        <v>52</v>
      </c>
      <c r="E45" s="212">
        <v>88</v>
      </c>
      <c r="F45" s="213">
        <f>E45*2/1000</f>
        <v>0.17599999999999999</v>
      </c>
      <c r="G45" s="21">
        <v>579.48</v>
      </c>
      <c r="H45" s="214">
        <f t="shared" si="4"/>
        <v>0.10198847999999999</v>
      </c>
      <c r="I45" s="21">
        <v>0</v>
      </c>
      <c r="J45" s="200"/>
      <c r="K45" s="201"/>
      <c r="L45" s="201"/>
      <c r="M45" s="201"/>
      <c r="N45" s="201"/>
      <c r="O45" s="201"/>
      <c r="P45" s="201"/>
      <c r="Q45" s="201"/>
      <c r="R45" s="201"/>
      <c r="S45" s="201"/>
      <c r="T45" s="205"/>
      <c r="U45" s="205"/>
    </row>
    <row r="46" spans="1:21" ht="15" hidden="1" customHeight="1">
      <c r="A46" s="210"/>
      <c r="B46" s="176" t="s">
        <v>42</v>
      </c>
      <c r="C46" s="211" t="s">
        <v>185</v>
      </c>
      <c r="D46" s="176" t="s">
        <v>52</v>
      </c>
      <c r="E46" s="212">
        <v>1250.6199999999999</v>
      </c>
      <c r="F46" s="213">
        <f>SUM(E46*2/1000)</f>
        <v>2.5012399999999997</v>
      </c>
      <c r="G46" s="21">
        <v>579.48</v>
      </c>
      <c r="H46" s="214">
        <f t="shared" si="4"/>
        <v>1.4494185551999998</v>
      </c>
      <c r="I46" s="21">
        <v>0</v>
      </c>
      <c r="J46" s="200"/>
      <c r="K46" s="201"/>
      <c r="L46" s="201"/>
      <c r="M46" s="201"/>
      <c r="N46" s="201"/>
      <c r="O46" s="201"/>
      <c r="P46" s="201"/>
      <c r="Q46" s="201"/>
      <c r="R46" s="201"/>
      <c r="S46" s="201"/>
      <c r="T46" s="205"/>
      <c r="U46" s="205"/>
    </row>
    <row r="47" spans="1:21" ht="15" hidden="1" customHeight="1">
      <c r="A47" s="210"/>
      <c r="B47" s="176" t="s">
        <v>43</v>
      </c>
      <c r="C47" s="211" t="s">
        <v>185</v>
      </c>
      <c r="D47" s="176" t="s">
        <v>52</v>
      </c>
      <c r="E47" s="212">
        <v>1295.68</v>
      </c>
      <c r="F47" s="213">
        <f>SUM(E47*2/1000)</f>
        <v>2.5913600000000003</v>
      </c>
      <c r="G47" s="21">
        <v>606.77</v>
      </c>
      <c r="H47" s="214">
        <f t="shared" si="4"/>
        <v>1.5723595072000001</v>
      </c>
      <c r="I47" s="21">
        <v>0</v>
      </c>
      <c r="J47" s="200"/>
      <c r="K47" s="201"/>
      <c r="L47" s="201"/>
      <c r="M47" s="201"/>
      <c r="N47" s="201"/>
      <c r="O47" s="201"/>
      <c r="P47" s="201"/>
      <c r="Q47" s="201"/>
      <c r="R47" s="201"/>
      <c r="S47" s="201"/>
      <c r="T47" s="205"/>
      <c r="U47" s="205"/>
    </row>
    <row r="48" spans="1:21" ht="15" hidden="1" customHeight="1">
      <c r="A48" s="210"/>
      <c r="B48" s="176" t="s">
        <v>39</v>
      </c>
      <c r="C48" s="211" t="s">
        <v>40</v>
      </c>
      <c r="D48" s="176" t="s">
        <v>52</v>
      </c>
      <c r="E48" s="212">
        <v>85.84</v>
      </c>
      <c r="F48" s="213">
        <f>E48*2/100</f>
        <v>1.7168000000000001</v>
      </c>
      <c r="G48" s="21">
        <v>72.81</v>
      </c>
      <c r="H48" s="214">
        <f>G48*F48/1000</f>
        <v>0.125000208</v>
      </c>
      <c r="I48" s="21">
        <v>0</v>
      </c>
      <c r="J48" s="200"/>
      <c r="K48" s="201"/>
      <c r="L48" s="201"/>
      <c r="M48" s="201"/>
      <c r="N48" s="201"/>
      <c r="O48" s="201"/>
      <c r="P48" s="201"/>
      <c r="Q48" s="201"/>
      <c r="R48" s="201"/>
      <c r="S48" s="201"/>
      <c r="T48" s="205"/>
      <c r="U48" s="205"/>
    </row>
    <row r="49" spans="1:21" ht="30" customHeight="1">
      <c r="A49" s="210">
        <v>13</v>
      </c>
      <c r="B49" s="176" t="s">
        <v>72</v>
      </c>
      <c r="C49" s="211" t="s">
        <v>185</v>
      </c>
      <c r="D49" s="176" t="s">
        <v>219</v>
      </c>
      <c r="E49" s="212">
        <v>897</v>
      </c>
      <c r="F49" s="213">
        <f>SUM(E49*5/1000)</f>
        <v>4.4850000000000003</v>
      </c>
      <c r="G49" s="21">
        <v>1213.55</v>
      </c>
      <c r="H49" s="214">
        <f t="shared" si="4"/>
        <v>5.4427717499999995</v>
      </c>
      <c r="I49" s="21">
        <f>F49/5*G49</f>
        <v>1088.5543499999999</v>
      </c>
      <c r="J49" s="200"/>
      <c r="K49" s="201"/>
      <c r="L49" s="201"/>
      <c r="M49" s="201"/>
      <c r="N49" s="201"/>
      <c r="O49" s="201"/>
      <c r="P49" s="201"/>
      <c r="Q49" s="201"/>
      <c r="R49" s="201"/>
      <c r="S49" s="201"/>
      <c r="T49" s="205"/>
      <c r="U49" s="205"/>
    </row>
    <row r="50" spans="1:21" ht="30" hidden="1" customHeight="1">
      <c r="A50" s="210"/>
      <c r="B50" s="176" t="s">
        <v>201</v>
      </c>
      <c r="C50" s="211" t="s">
        <v>185</v>
      </c>
      <c r="D50" s="176" t="s">
        <v>52</v>
      </c>
      <c r="E50" s="212">
        <v>897</v>
      </c>
      <c r="F50" s="213">
        <f>SUM(E50*2/1000)</f>
        <v>1.794</v>
      </c>
      <c r="G50" s="21">
        <v>1213.55</v>
      </c>
      <c r="H50" s="214">
        <f t="shared" si="4"/>
        <v>2.1771086999999998</v>
      </c>
      <c r="I50" s="21">
        <v>0</v>
      </c>
      <c r="J50" s="200"/>
      <c r="K50" s="201"/>
      <c r="L50" s="201"/>
      <c r="M50" s="201"/>
      <c r="N50" s="201"/>
      <c r="O50" s="201"/>
      <c r="P50" s="201"/>
      <c r="Q50" s="201"/>
      <c r="R50" s="201"/>
      <c r="S50" s="201"/>
      <c r="T50" s="205"/>
      <c r="U50" s="205"/>
    </row>
    <row r="51" spans="1:21" ht="30" hidden="1" customHeight="1">
      <c r="A51" s="210"/>
      <c r="B51" s="176" t="s">
        <v>202</v>
      </c>
      <c r="C51" s="211" t="s">
        <v>46</v>
      </c>
      <c r="D51" s="176" t="s">
        <v>52</v>
      </c>
      <c r="E51" s="212">
        <v>16</v>
      </c>
      <c r="F51" s="213">
        <f>SUM(E51*2/100)</f>
        <v>0.32</v>
      </c>
      <c r="G51" s="21">
        <v>2730.49</v>
      </c>
      <c r="H51" s="214">
        <f t="shared" si="4"/>
        <v>0.8737568</v>
      </c>
      <c r="I51" s="21">
        <v>0</v>
      </c>
      <c r="J51" s="200"/>
      <c r="K51" s="201"/>
      <c r="L51" s="201"/>
      <c r="M51" s="201"/>
      <c r="N51" s="201"/>
      <c r="O51" s="201"/>
      <c r="P51" s="201"/>
      <c r="Q51" s="201"/>
      <c r="R51" s="201"/>
      <c r="S51" s="201"/>
      <c r="T51" s="205"/>
      <c r="U51" s="205"/>
    </row>
    <row r="52" spans="1:21" ht="15.75" hidden="1" customHeight="1">
      <c r="A52" s="210"/>
      <c r="B52" s="176" t="s">
        <v>47</v>
      </c>
      <c r="C52" s="211" t="s">
        <v>48</v>
      </c>
      <c r="D52" s="176" t="s">
        <v>52</v>
      </c>
      <c r="E52" s="212">
        <v>1</v>
      </c>
      <c r="F52" s="213">
        <v>0.02</v>
      </c>
      <c r="G52" s="21">
        <v>5652.13</v>
      </c>
      <c r="H52" s="214">
        <f t="shared" si="4"/>
        <v>0.11304260000000001</v>
      </c>
      <c r="I52" s="21">
        <v>0</v>
      </c>
      <c r="J52" s="200"/>
      <c r="K52" s="201"/>
      <c r="L52" s="201"/>
      <c r="M52" s="201"/>
      <c r="N52" s="201"/>
      <c r="O52" s="201"/>
      <c r="P52" s="201"/>
      <c r="Q52" s="201"/>
      <c r="R52" s="201"/>
      <c r="S52" s="201"/>
      <c r="T52" s="205"/>
      <c r="U52" s="205"/>
    </row>
    <row r="53" spans="1:21" ht="15.75" customHeight="1">
      <c r="A53" s="210">
        <v>14</v>
      </c>
      <c r="B53" s="176" t="s">
        <v>203</v>
      </c>
      <c r="C53" s="211" t="s">
        <v>159</v>
      </c>
      <c r="D53" s="176" t="s">
        <v>86</v>
      </c>
      <c r="E53" s="212">
        <v>64</v>
      </c>
      <c r="F53" s="213">
        <f>E53*3</f>
        <v>192</v>
      </c>
      <c r="G53" s="21">
        <v>141.12</v>
      </c>
      <c r="H53" s="214">
        <f>F53*G53/1000</f>
        <v>27.095040000000001</v>
      </c>
      <c r="I53" s="21">
        <f>E53*G53</f>
        <v>9031.68</v>
      </c>
      <c r="J53" s="200"/>
      <c r="K53" s="201"/>
      <c r="L53" s="201"/>
      <c r="M53" s="201"/>
      <c r="N53" s="201"/>
      <c r="O53" s="201"/>
      <c r="P53" s="201"/>
      <c r="Q53" s="201"/>
      <c r="R53" s="201"/>
      <c r="S53" s="201"/>
      <c r="T53" s="205"/>
      <c r="U53" s="205"/>
    </row>
    <row r="54" spans="1:21" ht="15.75" customHeight="1">
      <c r="A54" s="210">
        <v>15</v>
      </c>
      <c r="B54" s="176" t="s">
        <v>51</v>
      </c>
      <c r="C54" s="211" t="s">
        <v>159</v>
      </c>
      <c r="D54" s="176" t="s">
        <v>86</v>
      </c>
      <c r="E54" s="212">
        <v>128</v>
      </c>
      <c r="F54" s="213">
        <f>SUM(E54)*3</f>
        <v>384</v>
      </c>
      <c r="G54" s="21">
        <v>65.67</v>
      </c>
      <c r="H54" s="214">
        <f t="shared" si="4"/>
        <v>25.217279999999999</v>
      </c>
      <c r="I54" s="21">
        <f>E54*G54</f>
        <v>8405.76</v>
      </c>
      <c r="J54" s="200"/>
      <c r="K54" s="201"/>
      <c r="L54" s="201"/>
      <c r="M54" s="201"/>
      <c r="N54" s="201"/>
      <c r="O54" s="201"/>
      <c r="P54" s="201"/>
      <c r="Q54" s="201"/>
      <c r="R54" s="201"/>
      <c r="S54" s="201"/>
      <c r="T54" s="205"/>
      <c r="U54" s="205"/>
    </row>
    <row r="55" spans="1:21" ht="15.75" customHeight="1">
      <c r="A55" s="274" t="s">
        <v>222</v>
      </c>
      <c r="B55" s="275"/>
      <c r="C55" s="275"/>
      <c r="D55" s="275"/>
      <c r="E55" s="275"/>
      <c r="F55" s="275"/>
      <c r="G55" s="275"/>
      <c r="H55" s="275"/>
      <c r="I55" s="276"/>
      <c r="J55" s="200"/>
      <c r="K55" s="201"/>
      <c r="L55" s="201"/>
      <c r="M55" s="201"/>
      <c r="N55" s="201"/>
      <c r="O55" s="201"/>
      <c r="P55" s="201"/>
      <c r="Q55" s="201"/>
      <c r="R55" s="201"/>
      <c r="S55" s="201"/>
      <c r="T55" s="205"/>
      <c r="U55" s="205"/>
    </row>
    <row r="56" spans="1:21" ht="15" customHeight="1">
      <c r="A56" s="210"/>
      <c r="B56" s="251" t="s">
        <v>53</v>
      </c>
      <c r="C56" s="250"/>
      <c r="D56" s="249"/>
      <c r="E56" s="212"/>
      <c r="F56" s="213"/>
      <c r="G56" s="213"/>
      <c r="H56" s="214"/>
      <c r="I56" s="21"/>
      <c r="J56" s="200"/>
      <c r="K56" s="201"/>
      <c r="L56" s="201"/>
      <c r="M56" s="201"/>
      <c r="N56" s="201"/>
      <c r="O56" s="201"/>
      <c r="P56" s="201"/>
      <c r="Q56" s="201"/>
      <c r="R56" s="201"/>
      <c r="S56" s="201"/>
      <c r="T56" s="205"/>
      <c r="U56" s="205"/>
    </row>
    <row r="57" spans="1:21" ht="30" customHeight="1">
      <c r="A57" s="210">
        <v>16</v>
      </c>
      <c r="B57" s="176" t="s">
        <v>204</v>
      </c>
      <c r="C57" s="211" t="s">
        <v>145</v>
      </c>
      <c r="D57" s="176" t="s">
        <v>205</v>
      </c>
      <c r="E57" s="212">
        <v>123.175</v>
      </c>
      <c r="F57" s="213">
        <f>SUM(E57*6/100)</f>
        <v>7.3904999999999994</v>
      </c>
      <c r="G57" s="21">
        <v>1547.28</v>
      </c>
      <c r="H57" s="214">
        <f>SUM(F57*G57/1000)</f>
        <v>11.43517284</v>
      </c>
      <c r="I57" s="21">
        <f>F57/6*G57</f>
        <v>1905.8621399999997</v>
      </c>
      <c r="J57" s="200"/>
      <c r="K57" s="201"/>
      <c r="L57" s="201"/>
      <c r="M57" s="201"/>
      <c r="N57" s="201"/>
      <c r="O57" s="201"/>
      <c r="P57" s="201"/>
      <c r="Q57" s="201"/>
      <c r="R57" s="201"/>
      <c r="S57" s="201"/>
      <c r="T57" s="205"/>
      <c r="U57" s="205"/>
    </row>
    <row r="58" spans="1:21" ht="15" hidden="1" customHeight="1">
      <c r="A58" s="223"/>
      <c r="B58" s="251" t="s">
        <v>54</v>
      </c>
      <c r="C58" s="250"/>
      <c r="D58" s="249"/>
      <c r="E58" s="226"/>
      <c r="F58" s="227"/>
      <c r="G58" s="21"/>
      <c r="H58" s="228"/>
      <c r="I58" s="21"/>
      <c r="J58" s="200"/>
      <c r="K58" s="201"/>
      <c r="L58" s="201"/>
      <c r="M58" s="201"/>
      <c r="N58" s="201"/>
      <c r="O58" s="201"/>
      <c r="P58" s="201"/>
      <c r="Q58" s="201"/>
      <c r="R58" s="201"/>
      <c r="S58" s="201"/>
      <c r="T58" s="205"/>
      <c r="U58" s="205"/>
    </row>
    <row r="59" spans="1:21" ht="15" hidden="1" customHeight="1">
      <c r="A59" s="223"/>
      <c r="B59" s="225" t="s">
        <v>206</v>
      </c>
      <c r="C59" s="224" t="s">
        <v>65</v>
      </c>
      <c r="D59" s="225" t="s">
        <v>66</v>
      </c>
      <c r="E59" s="226">
        <v>897</v>
      </c>
      <c r="F59" s="227">
        <v>8.9700000000000006</v>
      </c>
      <c r="G59" s="21">
        <v>793.61</v>
      </c>
      <c r="H59" s="228">
        <f>F59*G59/1000</f>
        <v>7.1186817000000007</v>
      </c>
      <c r="I59" s="21">
        <v>0</v>
      </c>
      <c r="J59" s="200"/>
      <c r="K59" s="201"/>
      <c r="L59" s="201"/>
      <c r="M59" s="201"/>
      <c r="N59" s="201"/>
      <c r="O59" s="201"/>
      <c r="P59" s="201"/>
      <c r="Q59" s="201"/>
      <c r="R59" s="201"/>
      <c r="S59" s="201"/>
      <c r="T59" s="205"/>
      <c r="U59" s="205"/>
    </row>
    <row r="60" spans="1:21" ht="15" customHeight="1">
      <c r="A60" s="223"/>
      <c r="B60" s="251" t="s">
        <v>56</v>
      </c>
      <c r="C60" s="250"/>
      <c r="D60" s="250"/>
      <c r="E60" s="226"/>
      <c r="F60" s="229"/>
      <c r="G60" s="229"/>
      <c r="H60" s="227" t="s">
        <v>183</v>
      </c>
      <c r="I60" s="21"/>
      <c r="J60" s="200"/>
      <c r="K60" s="201"/>
      <c r="L60" s="201"/>
      <c r="M60" s="201"/>
      <c r="N60" s="201"/>
      <c r="O60" s="201"/>
      <c r="P60" s="201"/>
      <c r="Q60" s="201"/>
      <c r="R60" s="201"/>
      <c r="S60" s="201"/>
      <c r="T60" s="205"/>
      <c r="U60" s="205"/>
    </row>
    <row r="61" spans="1:21" ht="15" customHeight="1">
      <c r="A61" s="25">
        <v>17</v>
      </c>
      <c r="B61" s="32" t="s">
        <v>57</v>
      </c>
      <c r="C61" s="33" t="s">
        <v>159</v>
      </c>
      <c r="D61" s="252" t="s">
        <v>81</v>
      </c>
      <c r="E61" s="27">
        <v>15</v>
      </c>
      <c r="F61" s="213">
        <v>15</v>
      </c>
      <c r="G61" s="21">
        <v>222.4</v>
      </c>
      <c r="H61" s="215">
        <f t="shared" ref="H61:H74" si="5">SUM(F61*G61/1000)</f>
        <v>3.3359999999999999</v>
      </c>
      <c r="I61" s="21">
        <f>G61*2</f>
        <v>444.8</v>
      </c>
      <c r="J61" s="200"/>
      <c r="K61" s="201"/>
      <c r="L61" s="201"/>
      <c r="M61" s="201"/>
      <c r="N61" s="201"/>
      <c r="O61" s="201"/>
      <c r="P61" s="201"/>
      <c r="Q61" s="201"/>
      <c r="R61" s="201"/>
      <c r="S61" s="201"/>
      <c r="T61" s="205"/>
      <c r="U61" s="205"/>
    </row>
    <row r="62" spans="1:21" ht="15" hidden="1" customHeight="1">
      <c r="A62" s="25"/>
      <c r="B62" s="23" t="s">
        <v>58</v>
      </c>
      <c r="C62" s="25" t="s">
        <v>159</v>
      </c>
      <c r="D62" s="176" t="s">
        <v>81</v>
      </c>
      <c r="E62" s="27">
        <v>5</v>
      </c>
      <c r="F62" s="213">
        <v>5</v>
      </c>
      <c r="G62" s="21">
        <v>76.25</v>
      </c>
      <c r="H62" s="215">
        <f t="shared" si="5"/>
        <v>0.38124999999999998</v>
      </c>
      <c r="I62" s="21">
        <v>0</v>
      </c>
      <c r="J62" s="200"/>
      <c r="K62" s="201"/>
      <c r="L62" s="201"/>
      <c r="M62" s="201"/>
      <c r="N62" s="201"/>
      <c r="O62" s="201"/>
      <c r="P62" s="201"/>
      <c r="Q62" s="201"/>
      <c r="R62" s="201"/>
      <c r="S62" s="201"/>
      <c r="T62" s="205"/>
      <c r="U62" s="205"/>
    </row>
    <row r="63" spans="1:21" ht="15" hidden="1" customHeight="1">
      <c r="A63" s="25"/>
      <c r="B63" s="23" t="s">
        <v>59</v>
      </c>
      <c r="C63" s="25" t="s">
        <v>160</v>
      </c>
      <c r="D63" s="23" t="s">
        <v>66</v>
      </c>
      <c r="E63" s="212">
        <v>10052</v>
      </c>
      <c r="F63" s="21">
        <f>SUM(E63/100)</f>
        <v>100.52</v>
      </c>
      <c r="G63" s="21">
        <v>212.15</v>
      </c>
      <c r="H63" s="215">
        <f t="shared" si="5"/>
        <v>21.325317999999999</v>
      </c>
      <c r="I63" s="21">
        <v>0</v>
      </c>
      <c r="J63" s="200"/>
      <c r="K63" s="201"/>
      <c r="L63" s="201"/>
      <c r="M63" s="201"/>
      <c r="N63" s="201"/>
      <c r="O63" s="201"/>
      <c r="P63" s="201"/>
      <c r="Q63" s="201"/>
      <c r="R63" s="201"/>
      <c r="S63" s="201"/>
      <c r="T63" s="205"/>
      <c r="U63" s="205"/>
    </row>
    <row r="64" spans="1:21" ht="15" hidden="1" customHeight="1">
      <c r="A64" s="25"/>
      <c r="B64" s="23" t="s">
        <v>60</v>
      </c>
      <c r="C64" s="25" t="s">
        <v>161</v>
      </c>
      <c r="D64" s="23"/>
      <c r="E64" s="212">
        <v>10052</v>
      </c>
      <c r="F64" s="21">
        <f>SUM(E64/1000)</f>
        <v>10.052</v>
      </c>
      <c r="G64" s="21">
        <v>165.21</v>
      </c>
      <c r="H64" s="215">
        <f t="shared" si="5"/>
        <v>1.66069092</v>
      </c>
      <c r="I64" s="21">
        <v>0</v>
      </c>
      <c r="J64" s="200"/>
      <c r="K64" s="201"/>
      <c r="L64" s="201"/>
      <c r="M64" s="201"/>
      <c r="N64" s="201"/>
      <c r="O64" s="201"/>
      <c r="P64" s="201"/>
      <c r="Q64" s="201"/>
      <c r="R64" s="201"/>
      <c r="S64" s="201"/>
      <c r="T64" s="205"/>
      <c r="U64" s="205"/>
    </row>
    <row r="65" spans="1:21" ht="15" hidden="1" customHeight="1">
      <c r="A65" s="25"/>
      <c r="B65" s="23" t="s">
        <v>61</v>
      </c>
      <c r="C65" s="25" t="s">
        <v>93</v>
      </c>
      <c r="D65" s="23" t="s">
        <v>66</v>
      </c>
      <c r="E65" s="212">
        <v>2200</v>
      </c>
      <c r="F65" s="21">
        <f>SUM(E65/100)</f>
        <v>22</v>
      </c>
      <c r="G65" s="21">
        <v>2074.63</v>
      </c>
      <c r="H65" s="215">
        <f t="shared" si="5"/>
        <v>45.641860000000001</v>
      </c>
      <c r="I65" s="21">
        <v>0</v>
      </c>
      <c r="J65" s="200"/>
      <c r="K65" s="201"/>
      <c r="L65" s="201"/>
      <c r="M65" s="201"/>
      <c r="N65" s="201"/>
      <c r="O65" s="201"/>
      <c r="P65" s="201"/>
      <c r="Q65" s="201"/>
      <c r="R65" s="201"/>
      <c r="S65" s="201"/>
      <c r="T65" s="205"/>
      <c r="U65" s="205"/>
    </row>
    <row r="66" spans="1:21" ht="15" hidden="1" customHeight="1">
      <c r="A66" s="25"/>
      <c r="B66" s="230" t="s">
        <v>162</v>
      </c>
      <c r="C66" s="25" t="s">
        <v>37</v>
      </c>
      <c r="D66" s="23"/>
      <c r="E66" s="212">
        <v>9.4</v>
      </c>
      <c r="F66" s="21">
        <f>SUM(E66)</f>
        <v>9.4</v>
      </c>
      <c r="G66" s="21">
        <v>42.67</v>
      </c>
      <c r="H66" s="215">
        <f t="shared" si="5"/>
        <v>0.40109800000000001</v>
      </c>
      <c r="I66" s="21">
        <v>0</v>
      </c>
      <c r="J66" s="200"/>
      <c r="K66" s="201"/>
      <c r="L66" s="201"/>
      <c r="M66" s="201"/>
      <c r="N66" s="201"/>
      <c r="O66" s="201"/>
      <c r="P66" s="201"/>
      <c r="Q66" s="201"/>
      <c r="R66" s="201"/>
      <c r="S66" s="201"/>
      <c r="T66" s="205"/>
      <c r="U66" s="205"/>
    </row>
    <row r="67" spans="1:21" ht="15" hidden="1" customHeight="1">
      <c r="A67" s="231"/>
      <c r="B67" s="230" t="s">
        <v>163</v>
      </c>
      <c r="C67" s="25" t="s">
        <v>37</v>
      </c>
      <c r="D67" s="23"/>
      <c r="E67" s="212">
        <v>9.4</v>
      </c>
      <c r="F67" s="21">
        <f>SUM(E67)</f>
        <v>9.4</v>
      </c>
      <c r="G67" s="21">
        <v>39.81</v>
      </c>
      <c r="H67" s="215">
        <f t="shared" si="5"/>
        <v>0.37421400000000005</v>
      </c>
      <c r="I67" s="21">
        <v>0</v>
      </c>
      <c r="J67" s="200"/>
      <c r="K67" s="201"/>
      <c r="L67" s="201"/>
      <c r="M67" s="201"/>
      <c r="N67" s="201"/>
      <c r="O67" s="201"/>
      <c r="P67" s="201"/>
      <c r="Q67" s="201"/>
      <c r="R67" s="201"/>
      <c r="S67" s="201"/>
      <c r="T67" s="205"/>
      <c r="U67" s="205"/>
    </row>
    <row r="68" spans="1:21" ht="15" hidden="1" customHeight="1">
      <c r="A68" s="25"/>
      <c r="B68" s="23" t="s">
        <v>73</v>
      </c>
      <c r="C68" s="25" t="s">
        <v>74</v>
      </c>
      <c r="D68" s="23" t="s">
        <v>66</v>
      </c>
      <c r="E68" s="27">
        <v>5</v>
      </c>
      <c r="F68" s="213">
        <v>5</v>
      </c>
      <c r="G68" s="21">
        <v>49.88</v>
      </c>
      <c r="H68" s="215">
        <f t="shared" si="5"/>
        <v>0.24940000000000001</v>
      </c>
      <c r="I68" s="21">
        <v>0</v>
      </c>
      <c r="J68" s="200"/>
      <c r="K68" s="201"/>
      <c r="L68" s="201"/>
      <c r="M68" s="201"/>
      <c r="N68" s="201"/>
      <c r="O68" s="201"/>
      <c r="P68" s="201"/>
      <c r="Q68" s="201"/>
      <c r="R68" s="201"/>
      <c r="S68" s="201"/>
      <c r="T68" s="205"/>
      <c r="U68" s="205"/>
    </row>
    <row r="69" spans="1:21" ht="15" hidden="1" customHeight="1">
      <c r="A69" s="231"/>
      <c r="B69" s="188" t="s">
        <v>87</v>
      </c>
      <c r="C69" s="253"/>
      <c r="D69" s="253"/>
      <c r="E69" s="27"/>
      <c r="F69" s="21"/>
      <c r="G69" s="21"/>
      <c r="H69" s="215" t="s">
        <v>183</v>
      </c>
      <c r="I69" s="21"/>
      <c r="J69" s="200"/>
      <c r="K69" s="201"/>
      <c r="L69" s="201"/>
      <c r="M69" s="201"/>
      <c r="N69" s="201"/>
      <c r="O69" s="201"/>
      <c r="P69" s="201"/>
      <c r="Q69" s="201"/>
      <c r="R69" s="201"/>
      <c r="S69" s="201"/>
      <c r="T69" s="205"/>
      <c r="U69" s="205"/>
    </row>
    <row r="70" spans="1:21" ht="15" hidden="1" customHeight="1">
      <c r="A70" s="25"/>
      <c r="B70" s="23" t="s">
        <v>88</v>
      </c>
      <c r="C70" s="25" t="s">
        <v>90</v>
      </c>
      <c r="D70" s="23"/>
      <c r="E70" s="27">
        <v>3</v>
      </c>
      <c r="F70" s="21">
        <v>0.3</v>
      </c>
      <c r="G70" s="21">
        <v>501.62</v>
      </c>
      <c r="H70" s="215">
        <f t="shared" si="5"/>
        <v>0.15048599999999998</v>
      </c>
      <c r="I70" s="21">
        <v>0</v>
      </c>
      <c r="J70" s="200"/>
      <c r="K70" s="201"/>
      <c r="L70" s="201"/>
      <c r="M70" s="201"/>
      <c r="N70" s="201"/>
      <c r="O70" s="201"/>
      <c r="P70" s="201"/>
      <c r="Q70" s="201"/>
      <c r="R70" s="201"/>
      <c r="S70" s="201"/>
      <c r="T70" s="205"/>
      <c r="U70" s="205"/>
    </row>
    <row r="71" spans="1:21" ht="15" hidden="1" customHeight="1">
      <c r="A71" s="25"/>
      <c r="B71" s="23" t="s">
        <v>89</v>
      </c>
      <c r="C71" s="25" t="s">
        <v>35</v>
      </c>
      <c r="D71" s="23"/>
      <c r="E71" s="27">
        <v>1</v>
      </c>
      <c r="F71" s="232">
        <v>1</v>
      </c>
      <c r="G71" s="21">
        <v>852.99</v>
      </c>
      <c r="H71" s="215">
        <f>F71*G71/1000</f>
        <v>0.85299000000000003</v>
      </c>
      <c r="I71" s="21">
        <v>0</v>
      </c>
      <c r="J71" s="200"/>
      <c r="K71" s="201"/>
      <c r="L71" s="201"/>
      <c r="M71" s="201"/>
      <c r="N71" s="201"/>
      <c r="O71" s="201"/>
      <c r="P71" s="201"/>
      <c r="Q71" s="201"/>
      <c r="R71" s="201"/>
      <c r="S71" s="201"/>
      <c r="T71" s="205"/>
      <c r="U71" s="205"/>
    </row>
    <row r="72" spans="1:21" ht="15" hidden="1" customHeight="1">
      <c r="A72" s="25"/>
      <c r="B72" s="23" t="s">
        <v>126</v>
      </c>
      <c r="C72" s="25" t="s">
        <v>35</v>
      </c>
      <c r="D72" s="23"/>
      <c r="E72" s="27">
        <v>1</v>
      </c>
      <c r="F72" s="21">
        <v>1</v>
      </c>
      <c r="G72" s="21">
        <v>358.51</v>
      </c>
      <c r="H72" s="215">
        <f>G72*F72/1000</f>
        <v>0.35851</v>
      </c>
      <c r="I72" s="21">
        <v>0</v>
      </c>
      <c r="J72" s="200"/>
      <c r="K72" s="201"/>
      <c r="L72" s="201"/>
      <c r="M72" s="201"/>
      <c r="N72" s="201"/>
      <c r="O72" s="201"/>
      <c r="P72" s="201"/>
      <c r="Q72" s="201"/>
      <c r="R72" s="201"/>
      <c r="S72" s="201"/>
      <c r="T72" s="205"/>
      <c r="U72" s="205"/>
    </row>
    <row r="73" spans="1:21" ht="15" hidden="1" customHeight="1">
      <c r="A73" s="231"/>
      <c r="B73" s="234" t="s">
        <v>91</v>
      </c>
      <c r="C73" s="253"/>
      <c r="D73" s="253"/>
      <c r="E73" s="27"/>
      <c r="F73" s="21"/>
      <c r="G73" s="21" t="s">
        <v>183</v>
      </c>
      <c r="H73" s="215" t="s">
        <v>183</v>
      </c>
      <c r="I73" s="21"/>
      <c r="J73" s="200"/>
      <c r="K73" s="201"/>
      <c r="L73" s="201"/>
      <c r="M73" s="201"/>
      <c r="N73" s="201"/>
      <c r="O73" s="201"/>
      <c r="P73" s="201"/>
      <c r="Q73" s="201"/>
      <c r="R73" s="201"/>
      <c r="S73" s="201"/>
      <c r="T73" s="205"/>
      <c r="U73" s="205"/>
    </row>
    <row r="74" spans="1:21" ht="15" hidden="1" customHeight="1">
      <c r="A74" s="25"/>
      <c r="B74" s="85" t="s">
        <v>92</v>
      </c>
      <c r="C74" s="25" t="s">
        <v>93</v>
      </c>
      <c r="D74" s="23"/>
      <c r="E74" s="27"/>
      <c r="F74" s="21">
        <v>1</v>
      </c>
      <c r="G74" s="21">
        <v>2579.44</v>
      </c>
      <c r="H74" s="215">
        <f t="shared" si="5"/>
        <v>2.57944</v>
      </c>
      <c r="I74" s="21">
        <v>0</v>
      </c>
      <c r="J74" s="200"/>
      <c r="K74" s="201"/>
      <c r="L74" s="201"/>
      <c r="M74" s="201"/>
      <c r="N74" s="201"/>
      <c r="O74" s="201"/>
      <c r="P74" s="201"/>
      <c r="Q74" s="201"/>
      <c r="R74" s="201"/>
      <c r="S74" s="201"/>
      <c r="T74" s="205"/>
      <c r="U74" s="205"/>
    </row>
    <row r="75" spans="1:21" ht="15" hidden="1" customHeight="1">
      <c r="A75" s="248"/>
      <c r="B75" s="188" t="s">
        <v>165</v>
      </c>
      <c r="C75" s="254"/>
      <c r="D75" s="254"/>
      <c r="E75" s="237"/>
      <c r="F75" s="21"/>
      <c r="G75" s="21"/>
      <c r="H75" s="215"/>
      <c r="I75" s="21"/>
      <c r="J75" s="200"/>
      <c r="K75" s="201"/>
      <c r="L75" s="201"/>
      <c r="M75" s="201"/>
      <c r="N75" s="201"/>
      <c r="O75" s="201"/>
      <c r="P75" s="201"/>
      <c r="Q75" s="201"/>
      <c r="R75" s="201"/>
      <c r="S75" s="201"/>
      <c r="T75" s="205"/>
      <c r="U75" s="205"/>
    </row>
    <row r="76" spans="1:21" ht="15" hidden="1" customHeight="1">
      <c r="A76" s="236"/>
      <c r="B76" s="252" t="s">
        <v>166</v>
      </c>
      <c r="C76" s="33"/>
      <c r="D76" s="32"/>
      <c r="E76" s="237"/>
      <c r="F76" s="21">
        <v>1</v>
      </c>
      <c r="G76" s="21">
        <v>20950</v>
      </c>
      <c r="H76" s="215">
        <f>G76*F76/1000</f>
        <v>20.95</v>
      </c>
      <c r="I76" s="21">
        <v>0</v>
      </c>
      <c r="J76" s="200"/>
      <c r="K76" s="201"/>
      <c r="L76" s="201"/>
      <c r="M76" s="201"/>
      <c r="N76" s="201"/>
      <c r="O76" s="201"/>
      <c r="P76" s="201"/>
      <c r="Q76" s="201"/>
      <c r="R76" s="201"/>
      <c r="S76" s="201"/>
      <c r="T76" s="205"/>
      <c r="U76" s="205"/>
    </row>
    <row r="77" spans="1:21" ht="15" customHeight="1">
      <c r="A77" s="274" t="s">
        <v>227</v>
      </c>
      <c r="B77" s="275"/>
      <c r="C77" s="275"/>
      <c r="D77" s="275"/>
      <c r="E77" s="275"/>
      <c r="F77" s="275"/>
      <c r="G77" s="275"/>
      <c r="H77" s="275"/>
      <c r="I77" s="276"/>
      <c r="J77" s="200"/>
      <c r="K77" s="201"/>
      <c r="L77" s="201"/>
      <c r="M77" s="201"/>
      <c r="N77" s="201"/>
      <c r="O77" s="201"/>
      <c r="P77" s="201"/>
      <c r="Q77" s="201"/>
      <c r="R77" s="201"/>
      <c r="S77" s="201"/>
      <c r="T77" s="205"/>
      <c r="U77" s="205"/>
    </row>
    <row r="78" spans="1:21" ht="15" customHeight="1">
      <c r="A78" s="25">
        <v>18</v>
      </c>
      <c r="B78" s="176" t="s">
        <v>207</v>
      </c>
      <c r="C78" s="25" t="s">
        <v>70</v>
      </c>
      <c r="D78" s="238"/>
      <c r="E78" s="21">
        <v>2549.5</v>
      </c>
      <c r="F78" s="21">
        <f>SUM(E78*12)</f>
        <v>30594</v>
      </c>
      <c r="G78" s="21">
        <v>2.1</v>
      </c>
      <c r="H78" s="215">
        <f>SUM(F78*G78/1000)</f>
        <v>64.247399999999999</v>
      </c>
      <c r="I78" s="21">
        <f>F78/12*G78</f>
        <v>5353.95</v>
      </c>
      <c r="J78" s="200"/>
      <c r="K78" s="201"/>
      <c r="L78" s="201"/>
      <c r="M78" s="201"/>
      <c r="N78" s="201"/>
      <c r="O78" s="201"/>
      <c r="P78" s="201"/>
      <c r="Q78" s="201"/>
      <c r="R78" s="201"/>
      <c r="S78" s="201"/>
      <c r="T78" s="205"/>
      <c r="U78" s="205"/>
    </row>
    <row r="79" spans="1:21" ht="30" customHeight="1">
      <c r="A79" s="255">
        <v>19</v>
      </c>
      <c r="B79" s="23" t="s">
        <v>94</v>
      </c>
      <c r="C79" s="25"/>
      <c r="D79" s="85"/>
      <c r="E79" s="212">
        <f>E78</f>
        <v>2549.5</v>
      </c>
      <c r="F79" s="21">
        <f>E79*12</f>
        <v>30594</v>
      </c>
      <c r="G79" s="21">
        <v>1.63</v>
      </c>
      <c r="H79" s="215">
        <f>F79*G79/1000</f>
        <v>49.868219999999994</v>
      </c>
      <c r="I79" s="21">
        <f>F79/12*G79</f>
        <v>4155.6849999999995</v>
      </c>
      <c r="J79" s="200"/>
      <c r="K79" s="201"/>
      <c r="L79" s="201"/>
      <c r="M79" s="201"/>
      <c r="N79" s="201"/>
      <c r="O79" s="201"/>
      <c r="P79" s="201"/>
      <c r="Q79" s="201"/>
      <c r="R79" s="201"/>
      <c r="S79" s="201"/>
      <c r="T79" s="205"/>
      <c r="U79" s="205"/>
    </row>
    <row r="80" spans="1:21" ht="15" customHeight="1">
      <c r="A80" s="239"/>
      <c r="B80" s="73" t="s">
        <v>99</v>
      </c>
      <c r="C80" s="234"/>
      <c r="D80" s="233"/>
      <c r="E80" s="235"/>
      <c r="F80" s="235"/>
      <c r="G80" s="235"/>
      <c r="H80" s="222">
        <f>H79</f>
        <v>49.868219999999994</v>
      </c>
      <c r="I80" s="235">
        <f>I15+I16+I17+I25+I26+I35+I36+I37+I39+I40+I41+I42+I49+I53+I54+I57+I61+I78+I79</f>
        <v>57871.87834351667</v>
      </c>
      <c r="J80" s="202"/>
      <c r="K80" s="203"/>
      <c r="L80" s="203"/>
      <c r="M80" s="203"/>
      <c r="N80" s="203"/>
      <c r="O80" s="203"/>
      <c r="P80" s="203"/>
      <c r="Q80" s="203"/>
      <c r="R80" s="203"/>
      <c r="S80" s="203"/>
      <c r="T80" s="205"/>
      <c r="U80" s="205"/>
    </row>
    <row r="81" spans="1:21" ht="15" customHeight="1">
      <c r="A81" s="239"/>
      <c r="B81" s="145" t="s">
        <v>75</v>
      </c>
      <c r="C81" s="25"/>
      <c r="D81" s="85"/>
      <c r="E81" s="21"/>
      <c r="F81" s="21"/>
      <c r="G81" s="21"/>
      <c r="H81" s="222" t="e">
        <f>SUM(H80+#REF!+#REF!+#REF!+#REF!+#REF!+#REF!)</f>
        <v>#REF!</v>
      </c>
      <c r="I81" s="21"/>
      <c r="J81" s="200"/>
      <c r="K81" s="201"/>
      <c r="L81" s="201"/>
      <c r="M81" s="201"/>
      <c r="N81" s="201"/>
      <c r="O81" s="201"/>
      <c r="P81" s="201"/>
      <c r="Q81" s="201"/>
      <c r="R81" s="201"/>
      <c r="S81" s="201"/>
      <c r="T81" s="205"/>
      <c r="U81" s="205"/>
    </row>
    <row r="82" spans="1:21" ht="15" customHeight="1">
      <c r="A82" s="240">
        <v>20</v>
      </c>
      <c r="B82" s="146" t="s">
        <v>124</v>
      </c>
      <c r="C82" s="240" t="s">
        <v>208</v>
      </c>
      <c r="D82" s="23"/>
      <c r="E82" s="27"/>
      <c r="F82" s="21">
        <v>1</v>
      </c>
      <c r="G82" s="21">
        <v>1501</v>
      </c>
      <c r="H82" s="215">
        <f t="shared" ref="H82:H88" si="6">G82*F82/1000</f>
        <v>1.5009999999999999</v>
      </c>
      <c r="I82" s="260">
        <f>G82</f>
        <v>1501</v>
      </c>
      <c r="J82" s="200"/>
      <c r="K82" s="201"/>
      <c r="L82" s="201"/>
      <c r="M82" s="201"/>
      <c r="N82" s="201"/>
      <c r="O82" s="201"/>
      <c r="P82" s="201"/>
      <c r="Q82" s="201"/>
      <c r="R82" s="201"/>
      <c r="S82" s="201"/>
      <c r="T82" s="205"/>
      <c r="U82" s="205"/>
    </row>
    <row r="83" spans="1:21" ht="15" hidden="1" customHeight="1">
      <c r="A83" s="240"/>
      <c r="B83" s="146" t="s">
        <v>209</v>
      </c>
      <c r="C83" s="240" t="s">
        <v>210</v>
      </c>
      <c r="D83" s="23"/>
      <c r="E83" s="27"/>
      <c r="F83" s="21">
        <v>1</v>
      </c>
      <c r="G83" s="21">
        <v>195.95</v>
      </c>
      <c r="H83" s="215">
        <f t="shared" si="6"/>
        <v>0.19594999999999999</v>
      </c>
      <c r="I83" s="260">
        <v>0</v>
      </c>
      <c r="J83" s="200"/>
      <c r="K83" s="201"/>
      <c r="L83" s="201"/>
      <c r="M83" s="201"/>
      <c r="N83" s="201"/>
      <c r="O83" s="201"/>
      <c r="P83" s="201"/>
      <c r="Q83" s="201"/>
      <c r="R83" s="201"/>
      <c r="S83" s="201"/>
      <c r="T83" s="205"/>
      <c r="U83" s="205"/>
    </row>
    <row r="84" spans="1:21" ht="15" hidden="1" customHeight="1">
      <c r="A84" s="240"/>
      <c r="B84" s="146" t="s">
        <v>211</v>
      </c>
      <c r="C84" s="240" t="s">
        <v>107</v>
      </c>
      <c r="D84" s="23"/>
      <c r="E84" s="27"/>
      <c r="F84" s="21">
        <v>3</v>
      </c>
      <c r="G84" s="21">
        <v>185.81</v>
      </c>
      <c r="H84" s="215">
        <f t="shared" si="6"/>
        <v>0.55743000000000009</v>
      </c>
      <c r="I84" s="260">
        <v>0</v>
      </c>
      <c r="J84" s="200"/>
      <c r="K84" s="201"/>
      <c r="L84" s="201"/>
      <c r="M84" s="201"/>
      <c r="N84" s="201"/>
      <c r="O84" s="201"/>
      <c r="P84" s="201"/>
      <c r="Q84" s="201"/>
      <c r="R84" s="201"/>
      <c r="S84" s="201"/>
      <c r="T84" s="205"/>
      <c r="U84" s="205"/>
    </row>
    <row r="85" spans="1:21" ht="15" hidden="1" customHeight="1">
      <c r="A85" s="241"/>
      <c r="B85" s="146" t="s">
        <v>212</v>
      </c>
      <c r="C85" s="240" t="s">
        <v>159</v>
      </c>
      <c r="D85" s="23"/>
      <c r="E85" s="27"/>
      <c r="F85" s="21">
        <v>1</v>
      </c>
      <c r="G85" s="21">
        <v>2179.33</v>
      </c>
      <c r="H85" s="215">
        <f t="shared" si="6"/>
        <v>2.1793299999999998</v>
      </c>
      <c r="I85" s="260">
        <v>0</v>
      </c>
      <c r="J85" s="200"/>
      <c r="K85" s="201"/>
      <c r="L85" s="201"/>
      <c r="M85" s="201"/>
      <c r="N85" s="201"/>
      <c r="O85" s="201"/>
      <c r="P85" s="201"/>
      <c r="Q85" s="201"/>
      <c r="R85" s="201"/>
      <c r="S85" s="201"/>
      <c r="T85" s="205"/>
      <c r="U85" s="205"/>
    </row>
    <row r="86" spans="1:21" ht="15" hidden="1" customHeight="1">
      <c r="A86" s="240"/>
      <c r="B86" s="146" t="s">
        <v>172</v>
      </c>
      <c r="C86" s="240" t="s">
        <v>46</v>
      </c>
      <c r="D86" s="23"/>
      <c r="E86" s="27"/>
      <c r="F86" s="21">
        <f>6/100</f>
        <v>0.06</v>
      </c>
      <c r="G86" s="21">
        <v>3397.65</v>
      </c>
      <c r="H86" s="215">
        <f t="shared" si="6"/>
        <v>0.20385900000000001</v>
      </c>
      <c r="I86" s="260">
        <v>0</v>
      </c>
      <c r="J86" s="200"/>
      <c r="K86" s="201"/>
      <c r="L86" s="201"/>
      <c r="M86" s="201"/>
      <c r="N86" s="201"/>
      <c r="O86" s="201"/>
      <c r="P86" s="201"/>
      <c r="Q86" s="201"/>
      <c r="R86" s="201"/>
      <c r="S86" s="201"/>
      <c r="T86" s="205"/>
      <c r="U86" s="205"/>
    </row>
    <row r="87" spans="1:21" ht="15" hidden="1" customHeight="1">
      <c r="A87" s="240"/>
      <c r="B87" s="146" t="s">
        <v>213</v>
      </c>
      <c r="C87" s="240" t="s">
        <v>101</v>
      </c>
      <c r="D87" s="23"/>
      <c r="E87" s="27"/>
      <c r="F87" s="21">
        <v>8</v>
      </c>
      <c r="G87" s="21">
        <v>1187</v>
      </c>
      <c r="H87" s="215">
        <f t="shared" si="6"/>
        <v>9.4960000000000004</v>
      </c>
      <c r="I87" s="260">
        <v>0</v>
      </c>
      <c r="J87" s="200"/>
      <c r="K87" s="201"/>
      <c r="L87" s="201"/>
      <c r="M87" s="201"/>
      <c r="N87" s="201"/>
      <c r="O87" s="201"/>
      <c r="P87" s="201"/>
      <c r="Q87" s="201"/>
      <c r="R87" s="201"/>
      <c r="S87" s="201"/>
      <c r="T87" s="205"/>
      <c r="U87" s="205"/>
    </row>
    <row r="88" spans="1:21" ht="15" hidden="1" customHeight="1">
      <c r="A88" s="240"/>
      <c r="B88" s="146" t="s">
        <v>173</v>
      </c>
      <c r="C88" s="240" t="s">
        <v>174</v>
      </c>
      <c r="D88" s="23"/>
      <c r="E88" s="27"/>
      <c r="F88" s="21">
        <f>1/100</f>
        <v>0.01</v>
      </c>
      <c r="G88" s="21">
        <v>7033.13</v>
      </c>
      <c r="H88" s="215">
        <f t="shared" si="6"/>
        <v>7.0331299999999999E-2</v>
      </c>
      <c r="I88" s="260">
        <v>0</v>
      </c>
      <c r="J88" s="200"/>
      <c r="K88" s="201"/>
      <c r="L88" s="201"/>
      <c r="M88" s="201"/>
      <c r="N88" s="201"/>
      <c r="O88" s="201"/>
      <c r="P88" s="201"/>
      <c r="Q88" s="201"/>
      <c r="R88" s="201"/>
      <c r="S88" s="201"/>
      <c r="T88" s="205"/>
      <c r="U88" s="205"/>
    </row>
    <row r="89" spans="1:21" ht="15" hidden="1" customHeight="1">
      <c r="A89" s="241"/>
      <c r="B89" s="146" t="s">
        <v>98</v>
      </c>
      <c r="C89" s="240" t="s">
        <v>159</v>
      </c>
      <c r="D89" s="23"/>
      <c r="E89" s="27"/>
      <c r="F89" s="21">
        <v>1</v>
      </c>
      <c r="G89" s="21">
        <v>79.09</v>
      </c>
      <c r="H89" s="215">
        <f>G89*F89/1000</f>
        <v>7.9090000000000008E-2</v>
      </c>
      <c r="I89" s="260">
        <v>0</v>
      </c>
      <c r="J89" s="200"/>
      <c r="K89" s="201"/>
      <c r="L89" s="201"/>
      <c r="M89" s="201"/>
      <c r="N89" s="201"/>
      <c r="O89" s="201"/>
      <c r="P89" s="201"/>
      <c r="Q89" s="201"/>
      <c r="R89" s="201"/>
      <c r="S89" s="201"/>
      <c r="T89" s="205"/>
      <c r="U89" s="205"/>
    </row>
    <row r="90" spans="1:21" ht="15" hidden="1" customHeight="1">
      <c r="A90" s="242"/>
      <c r="B90" s="243" t="s">
        <v>108</v>
      </c>
      <c r="C90" s="240" t="s">
        <v>159</v>
      </c>
      <c r="D90" s="23"/>
      <c r="E90" s="27"/>
      <c r="F90" s="21">
        <v>1</v>
      </c>
      <c r="G90" s="21">
        <v>179.96</v>
      </c>
      <c r="H90" s="215">
        <f>G90*F90/1000</f>
        <v>0.17996000000000001</v>
      </c>
      <c r="I90" s="260">
        <v>0</v>
      </c>
      <c r="J90" s="200"/>
      <c r="K90" s="201"/>
      <c r="L90" s="201"/>
      <c r="M90" s="201"/>
      <c r="N90" s="201"/>
      <c r="O90" s="201"/>
      <c r="P90" s="201"/>
      <c r="Q90" s="201"/>
      <c r="R90" s="201"/>
      <c r="S90" s="201"/>
      <c r="T90" s="205"/>
      <c r="U90" s="205"/>
    </row>
    <row r="91" spans="1:21" ht="15" hidden="1" customHeight="1">
      <c r="A91" s="210"/>
      <c r="B91" s="176" t="s">
        <v>214</v>
      </c>
      <c r="C91" s="211" t="s">
        <v>159</v>
      </c>
      <c r="D91" s="23"/>
      <c r="E91" s="27"/>
      <c r="F91" s="21">
        <v>1</v>
      </c>
      <c r="G91" s="21">
        <v>81.73</v>
      </c>
      <c r="H91" s="215">
        <f>G91*F91/1000</f>
        <v>8.1729999999999997E-2</v>
      </c>
      <c r="I91" s="260">
        <v>0</v>
      </c>
      <c r="J91" s="200"/>
      <c r="K91" s="201"/>
      <c r="L91" s="201"/>
      <c r="M91" s="201"/>
      <c r="N91" s="201"/>
      <c r="O91" s="201"/>
      <c r="P91" s="201"/>
      <c r="Q91" s="201"/>
      <c r="R91" s="201"/>
      <c r="S91" s="201"/>
      <c r="T91" s="205"/>
      <c r="U91" s="205"/>
    </row>
    <row r="92" spans="1:21" ht="15" hidden="1" customHeight="1">
      <c r="A92" s="242"/>
      <c r="B92" s="243" t="s">
        <v>215</v>
      </c>
      <c r="C92" s="240" t="s">
        <v>70</v>
      </c>
      <c r="D92" s="23"/>
      <c r="E92" s="27"/>
      <c r="F92" s="21">
        <v>1.5</v>
      </c>
      <c r="G92" s="21">
        <v>429.55</v>
      </c>
      <c r="H92" s="215">
        <f>G92*F92/1000</f>
        <v>0.64432500000000004</v>
      </c>
      <c r="I92" s="260">
        <v>0</v>
      </c>
      <c r="J92" s="200"/>
      <c r="K92" s="201"/>
      <c r="L92" s="201"/>
      <c r="M92" s="201"/>
      <c r="N92" s="201"/>
      <c r="O92" s="201"/>
      <c r="P92" s="201"/>
      <c r="Q92" s="201"/>
      <c r="R92" s="201"/>
      <c r="S92" s="201"/>
      <c r="T92" s="205"/>
      <c r="U92" s="205"/>
    </row>
    <row r="93" spans="1:21" ht="15" hidden="1" customHeight="1">
      <c r="A93" s="244"/>
      <c r="B93" s="245" t="s">
        <v>136</v>
      </c>
      <c r="C93" s="244" t="s">
        <v>137</v>
      </c>
      <c r="D93" s="23"/>
      <c r="E93" s="27"/>
      <c r="F93" s="21">
        <f>33/3</f>
        <v>11</v>
      </c>
      <c r="G93" s="21">
        <v>1063.47</v>
      </c>
      <c r="H93" s="215">
        <f>G93*F93/1000</f>
        <v>11.698169999999999</v>
      </c>
      <c r="I93" s="260">
        <v>0</v>
      </c>
      <c r="J93" s="200"/>
      <c r="K93" s="201"/>
      <c r="L93" s="201"/>
      <c r="M93" s="201"/>
      <c r="N93" s="201"/>
      <c r="O93" s="201"/>
      <c r="P93" s="201"/>
      <c r="Q93" s="201"/>
      <c r="R93" s="201"/>
      <c r="S93" s="201"/>
      <c r="T93" s="205"/>
      <c r="U93" s="205"/>
    </row>
    <row r="94" spans="1:21" ht="15" customHeight="1">
      <c r="A94" s="25"/>
      <c r="B94" s="247" t="s">
        <v>216</v>
      </c>
      <c r="C94" s="246"/>
      <c r="D94" s="246"/>
      <c r="E94" s="21"/>
      <c r="F94" s="21"/>
      <c r="G94" s="21"/>
      <c r="H94" s="222">
        <f>SUM(H82:H93)</f>
        <v>26.887175299999999</v>
      </c>
      <c r="I94" s="235">
        <f>I82</f>
        <v>1501</v>
      </c>
      <c r="J94" s="200"/>
      <c r="K94" s="201"/>
      <c r="L94" s="201"/>
      <c r="M94" s="201"/>
      <c r="N94" s="201"/>
      <c r="O94" s="201"/>
      <c r="P94" s="201"/>
      <c r="Q94" s="201"/>
      <c r="R94" s="201"/>
      <c r="S94" s="201"/>
      <c r="T94" s="205"/>
      <c r="U94" s="205"/>
    </row>
    <row r="95" spans="1:21" ht="15" customHeight="1">
      <c r="A95" s="51"/>
      <c r="B95" s="85" t="s">
        <v>95</v>
      </c>
      <c r="C95" s="24"/>
      <c r="D95" s="24"/>
      <c r="E95" s="77"/>
      <c r="F95" s="77"/>
      <c r="G95" s="78"/>
      <c r="H95" s="78"/>
      <c r="I95" s="26">
        <v>0</v>
      </c>
      <c r="J95" s="204"/>
      <c r="K95" s="205"/>
      <c r="L95" s="29"/>
      <c r="M95" s="30"/>
      <c r="N95" s="31"/>
      <c r="O95" s="205"/>
      <c r="P95" s="205"/>
      <c r="Q95" s="205"/>
      <c r="R95" s="205"/>
      <c r="S95" s="205"/>
      <c r="T95" s="205"/>
      <c r="U95" s="205"/>
    </row>
    <row r="96" spans="1:21" ht="15" customHeight="1">
      <c r="A96" s="51"/>
      <c r="B96" s="81" t="s">
        <v>64</v>
      </c>
      <c r="C96" s="24"/>
      <c r="D96" s="24"/>
      <c r="E96" s="77"/>
      <c r="F96" s="77"/>
      <c r="G96" s="78"/>
      <c r="H96" s="78"/>
      <c r="I96" s="79">
        <f>I80+I94</f>
        <v>59372.87834351667</v>
      </c>
      <c r="J96" s="204"/>
      <c r="K96" s="205"/>
      <c r="L96" s="29"/>
      <c r="M96" s="30"/>
      <c r="N96" s="31"/>
      <c r="O96" s="205"/>
      <c r="P96" s="205"/>
      <c r="Q96" s="205"/>
      <c r="R96" s="205"/>
      <c r="S96" s="205"/>
      <c r="T96" s="205"/>
      <c r="U96" s="205"/>
    </row>
    <row r="97" spans="1:22" ht="15.75">
      <c r="A97" s="263" t="s">
        <v>223</v>
      </c>
      <c r="B97" s="263"/>
      <c r="C97" s="263"/>
      <c r="D97" s="263"/>
      <c r="E97" s="263"/>
      <c r="F97" s="263"/>
      <c r="G97" s="263"/>
      <c r="H97" s="263"/>
      <c r="I97" s="263"/>
      <c r="J97" s="205"/>
      <c r="K97" s="205"/>
      <c r="L97" s="205"/>
      <c r="M97" s="205"/>
      <c r="N97" s="205"/>
      <c r="O97" s="205"/>
      <c r="P97" s="205"/>
      <c r="Q97" s="205"/>
      <c r="R97" s="205"/>
      <c r="S97" s="205"/>
      <c r="T97" s="205"/>
      <c r="U97" s="205"/>
    </row>
    <row r="98" spans="1:22" ht="15.75">
      <c r="A98" s="13"/>
      <c r="B98" s="264" t="s">
        <v>271</v>
      </c>
      <c r="C98" s="264"/>
      <c r="D98" s="264"/>
      <c r="E98" s="264"/>
      <c r="F98" s="264"/>
      <c r="G98" s="264"/>
      <c r="H98" s="186"/>
      <c r="I98" s="4"/>
      <c r="J98" s="205"/>
      <c r="K98" s="205"/>
      <c r="L98" s="205"/>
      <c r="M98" s="205"/>
      <c r="N98" s="205"/>
      <c r="O98" s="205"/>
      <c r="P98" s="205"/>
      <c r="Q98" s="205"/>
      <c r="R98" s="205"/>
      <c r="S98" s="205"/>
      <c r="T98" s="205"/>
      <c r="U98" s="205"/>
    </row>
    <row r="99" spans="1:22" ht="15.75">
      <c r="A99" s="187"/>
      <c r="B99" s="280" t="s">
        <v>7</v>
      </c>
      <c r="C99" s="280"/>
      <c r="D99" s="280"/>
      <c r="E99" s="280"/>
      <c r="F99" s="280"/>
      <c r="G99" s="280"/>
      <c r="H99" s="199"/>
      <c r="I99" s="123"/>
      <c r="J99" s="205"/>
      <c r="K99" s="205"/>
      <c r="L99" s="205"/>
      <c r="M99" s="205"/>
      <c r="N99" s="205"/>
      <c r="O99" s="205"/>
      <c r="P99" s="205"/>
      <c r="Q99" s="205"/>
      <c r="R99" s="205"/>
      <c r="S99" s="205"/>
      <c r="T99" s="205"/>
      <c r="U99" s="205"/>
    </row>
    <row r="100" spans="1:22" ht="15.75" customHeight="1">
      <c r="A100" s="124"/>
      <c r="B100" s="124"/>
      <c r="C100" s="124"/>
      <c r="D100" s="124"/>
      <c r="E100" s="124"/>
      <c r="F100" s="124"/>
      <c r="G100" s="124"/>
      <c r="H100" s="124"/>
      <c r="I100" s="124"/>
      <c r="J100" s="4"/>
      <c r="K100" s="4"/>
      <c r="L100" s="4"/>
      <c r="M100" s="4"/>
      <c r="N100" s="4"/>
      <c r="O100" s="4"/>
      <c r="P100" s="4"/>
      <c r="Q100" s="206"/>
      <c r="R100" s="206"/>
      <c r="S100" s="206"/>
      <c r="T100" s="206"/>
      <c r="U100" s="206"/>
      <c r="V100" s="12"/>
    </row>
    <row r="101" spans="1:22" ht="15.75" customHeight="1">
      <c r="A101" s="281" t="s">
        <v>8</v>
      </c>
      <c r="B101" s="281"/>
      <c r="C101" s="281"/>
      <c r="D101" s="281"/>
      <c r="E101" s="281"/>
      <c r="F101" s="281"/>
      <c r="G101" s="281"/>
      <c r="H101" s="281"/>
      <c r="I101" s="281"/>
      <c r="J101" s="43"/>
      <c r="K101" s="43"/>
      <c r="L101" s="4"/>
      <c r="M101" s="4"/>
      <c r="N101" s="4"/>
      <c r="O101" s="4"/>
      <c r="P101" s="4"/>
      <c r="Q101" s="206"/>
      <c r="R101" s="206"/>
      <c r="S101" s="206"/>
      <c r="T101" s="206"/>
      <c r="U101" s="206"/>
    </row>
    <row r="102" spans="1:22" ht="15.75">
      <c r="A102" s="281" t="s">
        <v>9</v>
      </c>
      <c r="B102" s="281"/>
      <c r="C102" s="281"/>
      <c r="D102" s="281"/>
      <c r="E102" s="281"/>
      <c r="F102" s="281"/>
      <c r="G102" s="281"/>
      <c r="H102" s="281"/>
      <c r="I102" s="281"/>
      <c r="J102" s="4"/>
      <c r="K102" s="4"/>
      <c r="L102" s="4"/>
      <c r="M102" s="4"/>
      <c r="N102" s="4"/>
      <c r="O102" s="4"/>
      <c r="P102" s="4"/>
      <c r="Q102" s="206"/>
      <c r="R102" s="205"/>
      <c r="S102" s="206"/>
      <c r="T102" s="206"/>
      <c r="U102" s="206"/>
    </row>
    <row r="103" spans="1:22" ht="15.75">
      <c r="A103" s="263" t="s">
        <v>10</v>
      </c>
      <c r="B103" s="263"/>
      <c r="C103" s="263"/>
      <c r="D103" s="263"/>
      <c r="E103" s="263"/>
      <c r="F103" s="263"/>
      <c r="G103" s="263"/>
      <c r="H103" s="263"/>
      <c r="I103" s="263"/>
      <c r="J103" s="6"/>
      <c r="K103" s="6"/>
      <c r="L103" s="6"/>
      <c r="M103" s="6"/>
      <c r="N103" s="6"/>
      <c r="O103" s="6"/>
      <c r="P103" s="6"/>
      <c r="Q103" s="207"/>
      <c r="R103" s="261"/>
      <c r="S103" s="261"/>
      <c r="T103" s="261"/>
      <c r="U103" s="261"/>
    </row>
    <row r="104" spans="1:22" ht="15.75">
      <c r="A104" s="15"/>
      <c r="B104" s="121"/>
      <c r="C104" s="121"/>
      <c r="D104" s="121"/>
      <c r="E104" s="121"/>
      <c r="F104" s="121"/>
      <c r="G104" s="121"/>
      <c r="H104" s="121"/>
      <c r="I104" s="121"/>
      <c r="J104" s="14"/>
      <c r="K104" s="14"/>
      <c r="L104" s="14"/>
      <c r="M104" s="14"/>
      <c r="N104" s="14"/>
      <c r="O104" s="14"/>
      <c r="P104" s="14"/>
      <c r="Q104" s="208"/>
      <c r="R104" s="208"/>
      <c r="S104" s="208"/>
      <c r="T104" s="208"/>
      <c r="U104" s="208"/>
    </row>
    <row r="105" spans="1:22" ht="15.75">
      <c r="A105" s="15"/>
      <c r="B105" s="121"/>
      <c r="C105" s="121"/>
      <c r="D105" s="121"/>
      <c r="E105" s="121"/>
      <c r="F105" s="121"/>
      <c r="G105" s="121"/>
      <c r="H105" s="121"/>
      <c r="I105" s="121"/>
    </row>
    <row r="106" spans="1:22" ht="15.75">
      <c r="A106" s="262" t="s">
        <v>11</v>
      </c>
      <c r="B106" s="262"/>
      <c r="C106" s="262"/>
      <c r="D106" s="262"/>
      <c r="E106" s="262"/>
      <c r="F106" s="262"/>
      <c r="G106" s="262"/>
      <c r="H106" s="262"/>
      <c r="I106" s="262"/>
    </row>
    <row r="107" spans="1:22" ht="15.75" customHeight="1">
      <c r="A107" s="5"/>
    </row>
    <row r="108" spans="1:22" ht="15.75">
      <c r="A108" s="263" t="s">
        <v>12</v>
      </c>
      <c r="B108" s="263"/>
      <c r="C108" s="287" t="s">
        <v>133</v>
      </c>
      <c r="D108" s="287"/>
      <c r="E108" s="287"/>
      <c r="F108" s="197"/>
      <c r="I108" s="185"/>
    </row>
    <row r="109" spans="1:22">
      <c r="A109" s="183"/>
      <c r="C109" s="277" t="s">
        <v>13</v>
      </c>
      <c r="D109" s="277"/>
      <c r="E109" s="277"/>
      <c r="F109" s="42"/>
      <c r="I109" s="184" t="s">
        <v>14</v>
      </c>
    </row>
    <row r="110" spans="1:22" ht="15.75">
      <c r="A110" s="43"/>
      <c r="C110" s="16"/>
      <c r="D110" s="16"/>
      <c r="G110" s="16"/>
      <c r="H110" s="16"/>
    </row>
    <row r="111" spans="1:22" ht="15.75" customHeight="1">
      <c r="A111" s="263" t="s">
        <v>15</v>
      </c>
      <c r="B111" s="263"/>
      <c r="C111" s="278"/>
      <c r="D111" s="278"/>
      <c r="E111" s="278"/>
      <c r="F111" s="198"/>
      <c r="I111" s="185"/>
    </row>
    <row r="112" spans="1:22">
      <c r="A112" s="183"/>
      <c r="C112" s="279" t="s">
        <v>13</v>
      </c>
      <c r="D112" s="279"/>
      <c r="E112" s="279"/>
      <c r="F112" s="183"/>
      <c r="I112" s="184" t="s">
        <v>14</v>
      </c>
    </row>
    <row r="113" spans="1:9" ht="15.75">
      <c r="A113" s="5" t="s">
        <v>16</v>
      </c>
    </row>
    <row r="114" spans="1:9">
      <c r="A114" s="288" t="s">
        <v>17</v>
      </c>
      <c r="B114" s="288"/>
      <c r="C114" s="288"/>
      <c r="D114" s="288"/>
      <c r="E114" s="288"/>
      <c r="F114" s="288"/>
      <c r="G114" s="288"/>
      <c r="H114" s="288"/>
      <c r="I114" s="288"/>
    </row>
    <row r="115" spans="1:9" ht="47.25" customHeight="1">
      <c r="A115" s="289" t="s">
        <v>18</v>
      </c>
      <c r="B115" s="289"/>
      <c r="C115" s="289"/>
      <c r="D115" s="289"/>
      <c r="E115" s="289"/>
      <c r="F115" s="289"/>
      <c r="G115" s="289"/>
      <c r="H115" s="289"/>
      <c r="I115" s="289"/>
    </row>
    <row r="116" spans="1:9" ht="31.5" customHeight="1">
      <c r="A116" s="289" t="s">
        <v>19</v>
      </c>
      <c r="B116" s="289"/>
      <c r="C116" s="289"/>
      <c r="D116" s="289"/>
      <c r="E116" s="289"/>
      <c r="F116" s="289"/>
      <c r="G116" s="289"/>
      <c r="H116" s="289"/>
      <c r="I116" s="289"/>
    </row>
    <row r="117" spans="1:9" ht="31.5" customHeight="1">
      <c r="A117" s="289" t="s">
        <v>24</v>
      </c>
      <c r="B117" s="289"/>
      <c r="C117" s="289"/>
      <c r="D117" s="289"/>
      <c r="E117" s="289"/>
      <c r="F117" s="289"/>
      <c r="G117" s="289"/>
      <c r="H117" s="289"/>
      <c r="I117" s="289"/>
    </row>
    <row r="118" spans="1:9" ht="15.75">
      <c r="A118" s="289" t="s">
        <v>23</v>
      </c>
      <c r="B118" s="289"/>
      <c r="C118" s="289"/>
      <c r="D118" s="289"/>
      <c r="E118" s="289"/>
      <c r="F118" s="289"/>
      <c r="G118" s="289"/>
      <c r="H118" s="289"/>
      <c r="I118" s="289"/>
    </row>
  </sheetData>
  <autoFilter ref="I14:I98"/>
  <mergeCells count="30">
    <mergeCell ref="A114:I114"/>
    <mergeCell ref="A115:I115"/>
    <mergeCell ref="A116:I116"/>
    <mergeCell ref="A117:I117"/>
    <mergeCell ref="A118:I118"/>
    <mergeCell ref="C109:E109"/>
    <mergeCell ref="A111:B111"/>
    <mergeCell ref="C111:E111"/>
    <mergeCell ref="C112:E112"/>
    <mergeCell ref="B99:G99"/>
    <mergeCell ref="A101:I101"/>
    <mergeCell ref="A102:I102"/>
    <mergeCell ref="A103:I103"/>
    <mergeCell ref="A108:B108"/>
    <mergeCell ref="C108:E108"/>
    <mergeCell ref="R103:U103"/>
    <mergeCell ref="A106:I106"/>
    <mergeCell ref="A97:I97"/>
    <mergeCell ref="B98:G98"/>
    <mergeCell ref="A3:I3"/>
    <mergeCell ref="A4:I4"/>
    <mergeCell ref="A5:I5"/>
    <mergeCell ref="A8:I8"/>
    <mergeCell ref="A10:I10"/>
    <mergeCell ref="A14:I14"/>
    <mergeCell ref="A55:I55"/>
    <mergeCell ref="A27:I27"/>
    <mergeCell ref="A34:I34"/>
    <mergeCell ref="A43:I43"/>
    <mergeCell ref="A77:I7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T113"/>
  <sheetViews>
    <sheetView workbookViewId="0">
      <selection activeCell="A9" sqref="A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B1" s="57" t="s">
        <v>113</v>
      </c>
      <c r="G1" s="56"/>
    </row>
    <row r="2" spans="1:11" ht="15.75" customHeight="1">
      <c r="B2" s="46" t="s">
        <v>77</v>
      </c>
      <c r="H2" s="1"/>
      <c r="I2" s="1"/>
      <c r="J2" s="1"/>
      <c r="K2" s="1"/>
    </row>
    <row r="3" spans="1:11" ht="15.75" customHeight="1">
      <c r="A3" s="265" t="s">
        <v>258</v>
      </c>
      <c r="B3" s="265"/>
      <c r="C3" s="265"/>
      <c r="D3" s="265"/>
      <c r="E3" s="265"/>
      <c r="F3" s="265"/>
      <c r="G3" s="265"/>
      <c r="H3" s="2"/>
      <c r="I3" s="2"/>
      <c r="J3" s="2"/>
      <c r="K3" s="2"/>
    </row>
    <row r="4" spans="1:11" ht="33.75" customHeight="1">
      <c r="A4" s="266" t="s">
        <v>142</v>
      </c>
      <c r="B4" s="266"/>
      <c r="C4" s="266"/>
      <c r="D4" s="266"/>
      <c r="E4" s="266"/>
      <c r="F4" s="266"/>
      <c r="G4" s="266"/>
      <c r="H4" s="3"/>
      <c r="I4" s="3"/>
      <c r="J4" s="3"/>
      <c r="K4" s="3"/>
    </row>
    <row r="5" spans="1:11" ht="15.75" customHeight="1">
      <c r="A5" s="267" t="s">
        <v>259</v>
      </c>
      <c r="B5" s="268"/>
      <c r="C5" s="268"/>
      <c r="D5" s="268"/>
      <c r="E5" s="268"/>
      <c r="F5" s="268"/>
      <c r="G5" s="268"/>
      <c r="H5" s="4"/>
      <c r="I5" s="4"/>
      <c r="J5" s="4"/>
    </row>
    <row r="6" spans="1:11" ht="15.75" customHeight="1">
      <c r="A6" s="3"/>
      <c r="B6" s="193"/>
      <c r="C6" s="193"/>
      <c r="D6" s="193"/>
      <c r="E6" s="193"/>
      <c r="F6" s="193"/>
      <c r="G6" s="58">
        <v>42674</v>
      </c>
    </row>
    <row r="7" spans="1:11" ht="15.75">
      <c r="B7" s="190"/>
      <c r="C7" s="190"/>
      <c r="D7" s="190"/>
      <c r="E7" s="4"/>
      <c r="F7" s="4"/>
      <c r="H7" s="3"/>
      <c r="I7" s="3"/>
      <c r="J7" s="3"/>
      <c r="K7" s="3"/>
    </row>
    <row r="8" spans="1:11" ht="78.75" customHeight="1">
      <c r="A8" s="269" t="s">
        <v>273</v>
      </c>
      <c r="B8" s="269"/>
      <c r="C8" s="269"/>
      <c r="D8" s="269"/>
      <c r="E8" s="269"/>
      <c r="F8" s="269"/>
      <c r="G8" s="269"/>
      <c r="H8" s="3"/>
      <c r="I8" s="3"/>
      <c r="J8" s="3"/>
      <c r="K8" s="3"/>
    </row>
    <row r="9" spans="1:11" ht="15.75">
      <c r="A9" s="5"/>
      <c r="H9" s="4"/>
      <c r="I9" s="4"/>
      <c r="J9" s="4"/>
      <c r="K9" s="4"/>
    </row>
    <row r="10" spans="1:11" ht="47.25" customHeight="1">
      <c r="A10" s="270" t="s">
        <v>144</v>
      </c>
      <c r="B10" s="270"/>
      <c r="C10" s="270"/>
      <c r="D10" s="270"/>
      <c r="E10" s="270"/>
      <c r="F10" s="270"/>
      <c r="G10" s="270"/>
      <c r="H10" s="6"/>
      <c r="I10" s="6"/>
      <c r="J10" s="6"/>
      <c r="K10" s="6"/>
    </row>
    <row r="11" spans="1:11" ht="15.75" customHeight="1">
      <c r="A11" s="5"/>
      <c r="H11" s="3"/>
      <c r="I11" s="3"/>
      <c r="J11" s="3"/>
      <c r="K11" s="3"/>
    </row>
    <row r="12" spans="1:11" ht="51">
      <c r="A12" s="7" t="s">
        <v>0</v>
      </c>
      <c r="B12" s="7" t="s">
        <v>1</v>
      </c>
      <c r="C12" s="7" t="s">
        <v>2</v>
      </c>
      <c r="D12" s="7" t="s">
        <v>20</v>
      </c>
      <c r="E12" s="7" t="s">
        <v>21</v>
      </c>
      <c r="F12" s="7" t="s">
        <v>25</v>
      </c>
      <c r="G12" s="7" t="s">
        <v>3</v>
      </c>
      <c r="H12" s="4"/>
    </row>
    <row r="13" spans="1:11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>
        <v>5</v>
      </c>
      <c r="G13" s="8">
        <v>6</v>
      </c>
    </row>
    <row r="14" spans="1:11">
      <c r="A14" s="271" t="s">
        <v>4</v>
      </c>
      <c r="B14" s="272"/>
      <c r="C14" s="272"/>
      <c r="D14" s="272"/>
      <c r="E14" s="272"/>
      <c r="F14" s="272"/>
      <c r="G14" s="273"/>
    </row>
    <row r="15" spans="1:11">
      <c r="A15" s="51">
        <v>1</v>
      </c>
      <c r="B15" s="61" t="s">
        <v>117</v>
      </c>
      <c r="C15" s="74" t="s">
        <v>145</v>
      </c>
      <c r="D15" s="61" t="s">
        <v>146</v>
      </c>
      <c r="E15" s="51"/>
      <c r="F15" s="60">
        <v>218.21</v>
      </c>
      <c r="G15" s="165">
        <v>2011.24</v>
      </c>
      <c r="H15" s="10"/>
      <c r="I15" s="10"/>
      <c r="J15" s="10"/>
      <c r="K15" s="10"/>
    </row>
    <row r="16" spans="1:11" ht="15" customHeight="1">
      <c r="A16" s="51">
        <v>2</v>
      </c>
      <c r="B16" s="61" t="s">
        <v>118</v>
      </c>
      <c r="C16" s="74" t="s">
        <v>145</v>
      </c>
      <c r="D16" s="61" t="s">
        <v>147</v>
      </c>
      <c r="E16" s="51"/>
      <c r="F16" s="60">
        <v>218.21</v>
      </c>
      <c r="G16" s="165">
        <v>4022.48</v>
      </c>
      <c r="H16" s="10"/>
      <c r="I16" s="10"/>
      <c r="J16" s="10"/>
      <c r="K16" s="10"/>
    </row>
    <row r="17" spans="1:11">
      <c r="A17" s="51">
        <v>3</v>
      </c>
      <c r="B17" s="61" t="s">
        <v>119</v>
      </c>
      <c r="C17" s="74" t="s">
        <v>145</v>
      </c>
      <c r="D17" s="61" t="s">
        <v>148</v>
      </c>
      <c r="E17" s="51"/>
      <c r="F17" s="60">
        <v>627.77</v>
      </c>
      <c r="G17" s="165">
        <v>3560.71</v>
      </c>
      <c r="H17" s="10"/>
      <c r="I17" s="10"/>
      <c r="J17" s="10"/>
      <c r="K17" s="10"/>
    </row>
    <row r="18" spans="1:11" hidden="1">
      <c r="A18" s="51"/>
      <c r="B18" s="61" t="s">
        <v>149</v>
      </c>
      <c r="C18" s="74" t="s">
        <v>150</v>
      </c>
      <c r="D18" s="61" t="s">
        <v>151</v>
      </c>
      <c r="E18" s="51"/>
      <c r="F18" s="60">
        <v>211.74</v>
      </c>
      <c r="G18" s="165">
        <v>0</v>
      </c>
      <c r="H18" s="10"/>
      <c r="I18" s="10"/>
      <c r="J18" s="10"/>
      <c r="K18" s="10"/>
    </row>
    <row r="19" spans="1:11" hidden="1">
      <c r="A19" s="51"/>
      <c r="B19" s="61" t="s">
        <v>152</v>
      </c>
      <c r="C19" s="74" t="s">
        <v>145</v>
      </c>
      <c r="D19" s="61" t="s">
        <v>52</v>
      </c>
      <c r="E19" s="51"/>
      <c r="F19" s="60">
        <v>271.12</v>
      </c>
      <c r="G19" s="165">
        <v>0</v>
      </c>
      <c r="H19" s="10"/>
      <c r="I19" s="10"/>
      <c r="J19" s="10"/>
      <c r="K19" s="10"/>
    </row>
    <row r="20" spans="1:11" hidden="1">
      <c r="A20" s="51"/>
      <c r="B20" s="61" t="s">
        <v>153</v>
      </c>
      <c r="C20" s="74" t="s">
        <v>145</v>
      </c>
      <c r="D20" s="61" t="s">
        <v>52</v>
      </c>
      <c r="E20" s="51"/>
      <c r="F20" s="60">
        <v>268.92</v>
      </c>
      <c r="G20" s="165">
        <v>0</v>
      </c>
      <c r="H20" s="10"/>
      <c r="I20" s="10"/>
      <c r="J20" s="10"/>
      <c r="K20" s="10"/>
    </row>
    <row r="21" spans="1:11" hidden="1">
      <c r="A21" s="51"/>
      <c r="B21" s="61" t="s">
        <v>154</v>
      </c>
      <c r="C21" s="74" t="s">
        <v>65</v>
      </c>
      <c r="D21" s="61" t="s">
        <v>151</v>
      </c>
      <c r="E21" s="51"/>
      <c r="F21" s="60">
        <v>335.05</v>
      </c>
      <c r="G21" s="165">
        <v>0</v>
      </c>
      <c r="H21" s="10"/>
      <c r="I21" s="10"/>
      <c r="J21" s="10"/>
      <c r="K21" s="10"/>
    </row>
    <row r="22" spans="1:11" hidden="1">
      <c r="A22" s="51"/>
      <c r="B22" s="61" t="s">
        <v>155</v>
      </c>
      <c r="C22" s="74" t="s">
        <v>65</v>
      </c>
      <c r="D22" s="61" t="s">
        <v>151</v>
      </c>
      <c r="E22" s="51"/>
      <c r="F22" s="60">
        <v>55.1</v>
      </c>
      <c r="G22" s="165">
        <v>0</v>
      </c>
      <c r="H22" s="10"/>
      <c r="I22" s="10"/>
      <c r="J22" s="10"/>
      <c r="K22" s="10"/>
    </row>
    <row r="23" spans="1:11" hidden="1">
      <c r="A23" s="51"/>
      <c r="B23" s="61" t="s">
        <v>156</v>
      </c>
      <c r="C23" s="74" t="s">
        <v>65</v>
      </c>
      <c r="D23" s="166" t="s">
        <v>151</v>
      </c>
      <c r="E23" s="51"/>
      <c r="F23" s="60">
        <v>484.94</v>
      </c>
      <c r="G23" s="165">
        <v>0</v>
      </c>
      <c r="H23" s="10"/>
      <c r="I23" s="10"/>
      <c r="J23" s="10"/>
      <c r="K23" s="10"/>
    </row>
    <row r="24" spans="1:11" hidden="1">
      <c r="A24" s="51"/>
      <c r="B24" s="61" t="s">
        <v>157</v>
      </c>
      <c r="C24" s="74" t="s">
        <v>65</v>
      </c>
      <c r="D24" s="61" t="s">
        <v>151</v>
      </c>
      <c r="E24" s="51"/>
      <c r="F24" s="60">
        <v>684.05</v>
      </c>
      <c r="G24" s="165">
        <v>0</v>
      </c>
      <c r="H24" s="10"/>
      <c r="I24" s="10"/>
      <c r="J24" s="10"/>
      <c r="K24" s="10"/>
    </row>
    <row r="25" spans="1:11">
      <c r="A25" s="51">
        <v>4</v>
      </c>
      <c r="B25" s="18" t="s">
        <v>26</v>
      </c>
      <c r="C25" s="19" t="s">
        <v>27</v>
      </c>
      <c r="D25" s="23" t="s">
        <v>28</v>
      </c>
      <c r="E25" s="20" t="e">
        <f>#REF!+#REF!+#REF!+#REF!+#REF!+#REF!+'10.16'!E13+#REF!+#REF!+#REF!+#REF!+#REF!</f>
        <v>#REF!</v>
      </c>
      <c r="F25" s="22">
        <v>4.24</v>
      </c>
      <c r="G25" s="27">
        <v>10809.88</v>
      </c>
      <c r="H25" s="10"/>
      <c r="I25" s="10"/>
      <c r="J25" s="10"/>
      <c r="K25" s="10"/>
    </row>
    <row r="26" spans="1:11" ht="15" customHeight="1">
      <c r="A26" s="51">
        <v>5</v>
      </c>
      <c r="B26" s="61" t="s">
        <v>79</v>
      </c>
      <c r="C26" s="74" t="s">
        <v>37</v>
      </c>
      <c r="D26" s="61" t="s">
        <v>110</v>
      </c>
      <c r="E26" s="21">
        <v>0</v>
      </c>
      <c r="F26" s="60">
        <v>182.96</v>
      </c>
      <c r="G26" s="21">
        <v>278.25</v>
      </c>
      <c r="H26" s="37"/>
      <c r="I26" s="10"/>
      <c r="J26" s="10"/>
      <c r="K26" s="10"/>
    </row>
    <row r="27" spans="1:11" ht="15" customHeight="1">
      <c r="A27" s="271" t="s">
        <v>111</v>
      </c>
      <c r="B27" s="272"/>
      <c r="C27" s="272"/>
      <c r="D27" s="272"/>
      <c r="E27" s="272"/>
      <c r="F27" s="272"/>
      <c r="G27" s="273"/>
      <c r="H27" s="37"/>
      <c r="I27" s="10"/>
      <c r="J27" s="10"/>
      <c r="K27" s="10"/>
    </row>
    <row r="28" spans="1:11" ht="15" customHeight="1">
      <c r="A28" s="75"/>
      <c r="B28" s="83" t="s">
        <v>260</v>
      </c>
      <c r="C28" s="75"/>
      <c r="D28" s="75"/>
      <c r="E28" s="20"/>
      <c r="F28" s="22"/>
      <c r="G28" s="167"/>
      <c r="H28" s="37"/>
      <c r="I28" s="10"/>
      <c r="J28" s="10"/>
      <c r="K28" s="10"/>
    </row>
    <row r="29" spans="1:11" ht="15" customHeight="1">
      <c r="A29" s="173">
        <v>6</v>
      </c>
      <c r="B29" s="61" t="s">
        <v>261</v>
      </c>
      <c r="C29" s="74" t="s">
        <v>185</v>
      </c>
      <c r="D29" s="61" t="s">
        <v>262</v>
      </c>
      <c r="E29" s="195"/>
      <c r="F29" s="60">
        <v>193.97</v>
      </c>
      <c r="G29" s="257">
        <v>109.44</v>
      </c>
      <c r="H29" s="37"/>
      <c r="I29" s="10"/>
      <c r="J29" s="10"/>
      <c r="K29" s="10"/>
    </row>
    <row r="30" spans="1:11" ht="30" customHeight="1">
      <c r="A30" s="173">
        <v>7</v>
      </c>
      <c r="B30" s="61" t="s">
        <v>187</v>
      </c>
      <c r="C30" s="74" t="s">
        <v>185</v>
      </c>
      <c r="D30" s="61" t="s">
        <v>263</v>
      </c>
      <c r="E30" s="195"/>
      <c r="F30" s="60">
        <v>321.82</v>
      </c>
      <c r="G30" s="257">
        <v>272.36</v>
      </c>
      <c r="H30" s="37"/>
      <c r="I30" s="10"/>
      <c r="J30" s="10"/>
      <c r="K30" s="10"/>
    </row>
    <row r="31" spans="1:11" ht="15" customHeight="1">
      <c r="A31" s="173">
        <v>8</v>
      </c>
      <c r="B31" s="61" t="s">
        <v>189</v>
      </c>
      <c r="C31" s="74" t="s">
        <v>35</v>
      </c>
      <c r="D31" s="61" t="s">
        <v>78</v>
      </c>
      <c r="E31" s="195"/>
      <c r="F31" s="60">
        <v>70.540000000000006</v>
      </c>
      <c r="G31" s="257">
        <v>303.70999999999998</v>
      </c>
      <c r="H31" s="37"/>
      <c r="I31" s="10"/>
      <c r="J31" s="10"/>
      <c r="K31" s="10"/>
    </row>
    <row r="32" spans="1:11" ht="16.5" hidden="1" customHeight="1">
      <c r="A32" s="75"/>
      <c r="B32" s="83" t="s">
        <v>5</v>
      </c>
      <c r="C32" s="75"/>
      <c r="D32" s="75"/>
      <c r="E32" s="20"/>
      <c r="F32" s="22"/>
      <c r="G32" s="167"/>
      <c r="H32" s="37"/>
      <c r="I32" s="10"/>
      <c r="J32" s="10"/>
      <c r="K32" s="10"/>
    </row>
    <row r="33" spans="1:11" ht="15.75" hidden="1" customHeight="1">
      <c r="A33" s="62">
        <v>6</v>
      </c>
      <c r="B33" s="23" t="s">
        <v>30</v>
      </c>
      <c r="C33" s="25" t="s">
        <v>36</v>
      </c>
      <c r="D33" s="23" t="s">
        <v>81</v>
      </c>
      <c r="E33" s="20" t="e">
        <f>#REF!+#REF!+#REF!+#REF!+#REF!+#REF!+'10.16'!E39+#REF!+#REF!+#REF!+#REF!+#REF!</f>
        <v>#REF!</v>
      </c>
      <c r="F33" s="60">
        <v>1900.37</v>
      </c>
      <c r="G33" s="27">
        <v>633.46</v>
      </c>
      <c r="H33" s="37"/>
      <c r="I33" s="10"/>
      <c r="J33" s="10"/>
      <c r="K33" s="10"/>
    </row>
    <row r="34" spans="1:11" ht="15.75" hidden="1" customHeight="1">
      <c r="A34" s="62">
        <v>7</v>
      </c>
      <c r="B34" s="23" t="s">
        <v>82</v>
      </c>
      <c r="C34" s="25" t="s">
        <v>33</v>
      </c>
      <c r="D34" s="51" t="s">
        <v>134</v>
      </c>
      <c r="E34" s="20" t="e">
        <f>#REF!+#REF!+#REF!+#REF!+#REF!+#REF!+'10.16'!E40+#REF!+#REF!+#REF!+#REF!+#REF!</f>
        <v>#REF!</v>
      </c>
      <c r="F34" s="60">
        <v>2616.4899999999998</v>
      </c>
      <c r="G34" s="27">
        <v>681.33</v>
      </c>
      <c r="H34" s="37"/>
      <c r="I34" s="10"/>
      <c r="J34" s="10"/>
      <c r="K34" s="10"/>
    </row>
    <row r="35" spans="1:11" ht="47.25" hidden="1" customHeight="1">
      <c r="A35" s="62">
        <v>8</v>
      </c>
      <c r="B35" s="61" t="s">
        <v>106</v>
      </c>
      <c r="C35" s="25" t="s">
        <v>33</v>
      </c>
      <c r="D35" s="51" t="s">
        <v>134</v>
      </c>
      <c r="E35" s="20" t="e">
        <f>#REF!+#REF!+#REF!+#REF!+#REF!+#REF!+'10.16'!E43+#REF!+#REF!+#REF!+#REF!+#REF!</f>
        <v>#REF!</v>
      </c>
      <c r="F35" s="60">
        <v>7221.21</v>
      </c>
      <c r="G35" s="27">
        <v>1880.4</v>
      </c>
      <c r="H35" s="37"/>
      <c r="I35" s="10"/>
      <c r="J35" s="10"/>
      <c r="K35" s="10"/>
    </row>
    <row r="36" spans="1:11" ht="31.5" hidden="1" customHeight="1">
      <c r="A36" s="62">
        <v>9</v>
      </c>
      <c r="B36" s="23" t="s">
        <v>158</v>
      </c>
      <c r="C36" s="25" t="s">
        <v>33</v>
      </c>
      <c r="D36" s="51" t="s">
        <v>112</v>
      </c>
      <c r="E36" s="20" t="e">
        <f>#REF!+#REF!+#REF!+#REF!+#REF!+#REF!+'10.16'!#REF!+#REF!+#REF!+#REF!+#REF!+#REF!</f>
        <v>#REF!</v>
      </c>
      <c r="F36" s="60">
        <v>436.45</v>
      </c>
      <c r="G36" s="27">
        <v>734</v>
      </c>
      <c r="H36" s="37"/>
      <c r="I36" s="10"/>
      <c r="J36" s="10"/>
      <c r="K36" s="10"/>
    </row>
    <row r="37" spans="1:11" ht="15" hidden="1" customHeight="1">
      <c r="A37" s="62">
        <v>10</v>
      </c>
      <c r="B37" s="23" t="s">
        <v>129</v>
      </c>
      <c r="C37" s="25" t="s">
        <v>33</v>
      </c>
      <c r="D37" s="51" t="s">
        <v>109</v>
      </c>
      <c r="E37" s="27" t="e">
        <f>#REF!+#REF!+#REF!+#REF!+#REF!+#REF!+'10.16'!E41+#REF!+#REF!+#REF!+#REF!+#REF!</f>
        <v>#REF!</v>
      </c>
      <c r="F37" s="60">
        <v>533.45000000000005</v>
      </c>
      <c r="G37" s="27">
        <v>104.18</v>
      </c>
      <c r="H37" s="37"/>
      <c r="I37" s="10"/>
      <c r="J37" s="10"/>
      <c r="K37" s="10"/>
    </row>
    <row r="38" spans="1:11" hidden="1">
      <c r="A38" s="62">
        <v>11</v>
      </c>
      <c r="B38" s="160" t="s">
        <v>31</v>
      </c>
      <c r="C38" s="19" t="s">
        <v>37</v>
      </c>
      <c r="D38" s="160"/>
      <c r="E38" s="20" t="e">
        <f>#REF!+#REF!+#REF!+#REF!+#REF!+#REF!+'10.16'!E42+#REF!+#REF!+#REF!+#REF!+#REF!</f>
        <v>#REF!</v>
      </c>
      <c r="F38" s="63">
        <v>992.97</v>
      </c>
      <c r="G38" s="27">
        <v>66.2</v>
      </c>
      <c r="H38" s="37"/>
      <c r="I38" s="10"/>
      <c r="J38" s="10"/>
      <c r="K38" s="10"/>
    </row>
    <row r="39" spans="1:11" ht="16.5" hidden="1" customHeight="1">
      <c r="A39" s="194"/>
      <c r="B39" s="271" t="s">
        <v>122</v>
      </c>
      <c r="C39" s="272"/>
      <c r="D39" s="272"/>
      <c r="E39" s="272"/>
      <c r="F39" s="272"/>
      <c r="G39" s="273"/>
      <c r="H39" s="37"/>
      <c r="I39" s="10"/>
      <c r="J39" s="10"/>
      <c r="K39" s="10"/>
    </row>
    <row r="40" spans="1:11" ht="31.5" hidden="1" customHeight="1">
      <c r="A40" s="75">
        <v>16</v>
      </c>
      <c r="B40" s="23" t="s">
        <v>38</v>
      </c>
      <c r="C40" s="25" t="s">
        <v>33</v>
      </c>
      <c r="D40" s="23" t="s">
        <v>76</v>
      </c>
      <c r="E40" s="27" t="e">
        <f>#REF!+#REF!+#REF!+#REF!+#REF!+#REF!+'10.16'!E47+#REF!+#REF!+#REF!+#REF!+#REF!</f>
        <v>#REF!</v>
      </c>
      <c r="F40" s="66">
        <v>1283.46</v>
      </c>
      <c r="G40" s="27">
        <v>0</v>
      </c>
      <c r="H40" s="37"/>
      <c r="I40" s="10"/>
      <c r="J40" s="10"/>
      <c r="K40" s="10"/>
    </row>
    <row r="41" spans="1:11" ht="31.5" hidden="1" customHeight="1">
      <c r="A41" s="75">
        <v>19</v>
      </c>
      <c r="B41" s="23" t="s">
        <v>42</v>
      </c>
      <c r="C41" s="25" t="s">
        <v>33</v>
      </c>
      <c r="D41" s="23" t="s">
        <v>76</v>
      </c>
      <c r="E41" s="27" t="e">
        <f>#REF!+#REF!+#REF!+#REF!+#REF!+#REF!+'10.16'!E50+#REF!+#REF!+#REF!+#REF!+#REF!</f>
        <v>#REF!</v>
      </c>
      <c r="F41" s="66">
        <v>1712.28</v>
      </c>
      <c r="G41" s="27">
        <v>0</v>
      </c>
      <c r="H41" s="37"/>
      <c r="I41" s="10"/>
      <c r="J41" s="10"/>
      <c r="K41" s="10"/>
    </row>
    <row r="42" spans="1:11" ht="31.5" hidden="1" customHeight="1">
      <c r="A42" s="75">
        <v>20</v>
      </c>
      <c r="B42" s="23" t="s">
        <v>43</v>
      </c>
      <c r="C42" s="25" t="s">
        <v>33</v>
      </c>
      <c r="D42" s="23" t="s">
        <v>76</v>
      </c>
      <c r="E42" s="27" t="e">
        <f>#REF!+#REF!+#REF!+#REF!+#REF!+#REF!+'10.16'!E51+#REF!+#REF!+#REF!+#REF!+#REF!</f>
        <v>#REF!</v>
      </c>
      <c r="F42" s="66">
        <v>1179.73</v>
      </c>
      <c r="G42" s="27">
        <v>0</v>
      </c>
      <c r="H42" s="37"/>
      <c r="I42" s="10"/>
      <c r="J42" s="10"/>
      <c r="K42" s="10"/>
    </row>
    <row r="43" spans="1:11" ht="31.5" hidden="1" customHeight="1">
      <c r="A43" s="75">
        <v>17</v>
      </c>
      <c r="B43" s="23" t="s">
        <v>39</v>
      </c>
      <c r="C43" s="25" t="s">
        <v>40</v>
      </c>
      <c r="D43" s="23" t="s">
        <v>76</v>
      </c>
      <c r="E43" s="27" t="e">
        <f>#REF!+#REF!+#REF!+#REF!+#REF!+#REF!+'10.16'!E48+#REF!+#REF!+#REF!+#REF!+#REF!</f>
        <v>#REF!</v>
      </c>
      <c r="F43" s="21">
        <v>90.61</v>
      </c>
      <c r="G43" s="27">
        <v>0</v>
      </c>
      <c r="H43" s="37"/>
      <c r="I43" s="10"/>
      <c r="J43" s="10"/>
      <c r="K43" s="10"/>
    </row>
    <row r="44" spans="1:11" ht="31.5" hidden="1" customHeight="1">
      <c r="A44" s="75">
        <v>12</v>
      </c>
      <c r="B44" s="23" t="s">
        <v>72</v>
      </c>
      <c r="C44" s="25" t="s">
        <v>33</v>
      </c>
      <c r="D44" s="23" t="s">
        <v>76</v>
      </c>
      <c r="E44" s="27" t="e">
        <f>#REF!+#REF!+#REF!+#REF!+#REF!+#REF!+'10.16'!E52+#REF!+#REF!+#REF!+#REF!+#REF!</f>
        <v>#REF!</v>
      </c>
      <c r="F44" s="66">
        <v>1711.28</v>
      </c>
      <c r="G44" s="27">
        <v>4362.91</v>
      </c>
      <c r="H44" s="37"/>
      <c r="I44" s="10"/>
      <c r="J44" s="10"/>
      <c r="K44" s="10"/>
    </row>
    <row r="45" spans="1:11" ht="31.5" hidden="1" customHeight="1">
      <c r="A45" s="75">
        <v>22</v>
      </c>
      <c r="B45" s="23" t="s">
        <v>44</v>
      </c>
      <c r="C45" s="25" t="s">
        <v>33</v>
      </c>
      <c r="D45" s="23" t="s">
        <v>76</v>
      </c>
      <c r="E45" s="27" t="e">
        <f>#REF!+#REF!+#REF!+#REF!+#REF!+#REF!+'10.16'!E53+#REF!+#REF!+#REF!+#REF!+#REF!</f>
        <v>#REF!</v>
      </c>
      <c r="F45" s="66">
        <v>1510.06</v>
      </c>
      <c r="G45" s="27">
        <v>0</v>
      </c>
      <c r="H45" s="37"/>
      <c r="I45" s="10"/>
      <c r="J45" s="10"/>
      <c r="K45" s="10"/>
    </row>
    <row r="46" spans="1:11" ht="31.5" hidden="1" customHeight="1">
      <c r="A46" s="75">
        <v>23</v>
      </c>
      <c r="B46" s="23" t="s">
        <v>45</v>
      </c>
      <c r="C46" s="25" t="s">
        <v>46</v>
      </c>
      <c r="D46" s="23" t="s">
        <v>76</v>
      </c>
      <c r="E46" s="27" t="e">
        <f>#REF!+#REF!+#REF!+#REF!+#REF!+#REF!+'10.16'!E54+#REF!+#REF!+#REF!+#REF!+#REF!</f>
        <v>#REF!</v>
      </c>
      <c r="F46" s="66">
        <v>3850.4</v>
      </c>
      <c r="G46" s="27">
        <v>0</v>
      </c>
      <c r="H46" s="37"/>
      <c r="I46" s="10"/>
    </row>
    <row r="47" spans="1:11" ht="31.5" hidden="1" customHeight="1">
      <c r="A47" s="75">
        <v>24</v>
      </c>
      <c r="B47" s="23" t="s">
        <v>47</v>
      </c>
      <c r="C47" s="25" t="s">
        <v>48</v>
      </c>
      <c r="D47" s="23" t="s">
        <v>76</v>
      </c>
      <c r="E47" s="27" t="e">
        <f>#REF!+#REF!+#REF!+#REF!+#REF!+#REF!+'10.16'!E55+#REF!+#REF!+#REF!+#REF!+#REF!</f>
        <v>#REF!</v>
      </c>
      <c r="F47" s="66">
        <v>7033.13</v>
      </c>
      <c r="G47" s="27">
        <v>0</v>
      </c>
      <c r="H47" s="209"/>
    </row>
    <row r="48" spans="1:11" ht="15.75" hidden="1" customHeight="1">
      <c r="A48" s="75">
        <v>25</v>
      </c>
      <c r="B48" s="32" t="s">
        <v>49</v>
      </c>
      <c r="C48" s="33" t="s">
        <v>35</v>
      </c>
      <c r="D48" s="32" t="s">
        <v>50</v>
      </c>
      <c r="E48" s="27">
        <v>32</v>
      </c>
      <c r="F48" s="66">
        <v>175.6</v>
      </c>
      <c r="G48" s="27">
        <v>0</v>
      </c>
      <c r="H48" s="209"/>
    </row>
    <row r="49" spans="1:12" ht="15.75" hidden="1" customHeight="1">
      <c r="A49" s="75">
        <v>26</v>
      </c>
      <c r="B49" s="23" t="s">
        <v>51</v>
      </c>
      <c r="C49" s="33" t="s">
        <v>35</v>
      </c>
      <c r="D49" s="23" t="s">
        <v>52</v>
      </c>
      <c r="E49" s="27">
        <v>32</v>
      </c>
      <c r="F49" s="67">
        <v>81.73</v>
      </c>
      <c r="G49" s="27">
        <v>0</v>
      </c>
      <c r="H49" s="209"/>
    </row>
    <row r="50" spans="1:12" ht="15.75" customHeight="1">
      <c r="A50" s="129"/>
      <c r="B50" s="271" t="s">
        <v>123</v>
      </c>
      <c r="C50" s="272"/>
      <c r="D50" s="272"/>
      <c r="E50" s="272"/>
      <c r="F50" s="272"/>
      <c r="G50" s="273"/>
      <c r="H50" s="209"/>
    </row>
    <row r="51" spans="1:12" ht="15.75" hidden="1" customHeight="1">
      <c r="A51" s="194"/>
      <c r="B51" s="82" t="s">
        <v>53</v>
      </c>
      <c r="C51" s="25"/>
      <c r="D51" s="169"/>
      <c r="E51" s="20"/>
      <c r="F51" s="51"/>
      <c r="G51" s="167"/>
      <c r="H51" s="209"/>
    </row>
    <row r="52" spans="1:12" ht="47.25" hidden="1" customHeight="1">
      <c r="A52" s="75">
        <v>13</v>
      </c>
      <c r="B52" s="23" t="s">
        <v>130</v>
      </c>
      <c r="C52" s="25" t="s">
        <v>65</v>
      </c>
      <c r="D52" s="170" t="s">
        <v>34</v>
      </c>
      <c r="E52" s="27" t="e">
        <f>#REF!+#REF!+#REF!+#REF!+#REF!+#REF!+'10.16'!#REF!+#REF!+#REF!+#REF!+#REF!+#REF!</f>
        <v>#REF!</v>
      </c>
      <c r="F52" s="28">
        <v>2306.62</v>
      </c>
      <c r="G52" s="27">
        <v>184.53</v>
      </c>
      <c r="H52" s="209"/>
    </row>
    <row r="53" spans="1:12" ht="15.75" hidden="1" customHeight="1">
      <c r="A53" s="75">
        <v>14</v>
      </c>
      <c r="B53" s="23" t="s">
        <v>124</v>
      </c>
      <c r="C53" s="25" t="s">
        <v>36</v>
      </c>
      <c r="D53" s="23" t="s">
        <v>81</v>
      </c>
      <c r="E53" s="27"/>
      <c r="F53" s="28">
        <v>1501</v>
      </c>
      <c r="G53" s="27">
        <v>3002</v>
      </c>
      <c r="H53" s="209"/>
    </row>
    <row r="54" spans="1:12" ht="15.75" hidden="1" customHeight="1">
      <c r="A54" s="75"/>
      <c r="B54" s="188" t="s">
        <v>54</v>
      </c>
      <c r="C54" s="64"/>
      <c r="D54" s="64"/>
      <c r="E54" s="20"/>
      <c r="F54" s="65"/>
      <c r="G54" s="167"/>
      <c r="H54" s="209"/>
      <c r="J54" s="29"/>
      <c r="K54" s="30"/>
      <c r="L54" s="31"/>
    </row>
    <row r="55" spans="1:12" ht="15.75" hidden="1" customHeight="1">
      <c r="A55" s="75">
        <v>29</v>
      </c>
      <c r="B55" s="23" t="s">
        <v>55</v>
      </c>
      <c r="C55" s="25" t="s">
        <v>65</v>
      </c>
      <c r="D55" s="23" t="s">
        <v>66</v>
      </c>
      <c r="E55" s="20" t="e">
        <f>#REF!+#REF!+#REF!+#REF!+#REF!+#REF!+'10.16'!E76+#REF!+#REF!+#REF!+#REF!+#REF!</f>
        <v>#REF!</v>
      </c>
      <c r="F55" s="66">
        <v>987.51</v>
      </c>
      <c r="G55" s="27">
        <v>0</v>
      </c>
      <c r="H55" s="209"/>
      <c r="J55" s="29"/>
      <c r="K55" s="30"/>
      <c r="L55" s="31"/>
    </row>
    <row r="56" spans="1:12" ht="15.75" customHeight="1">
      <c r="A56" s="75"/>
      <c r="B56" s="188" t="s">
        <v>56</v>
      </c>
      <c r="C56" s="25"/>
      <c r="D56" s="170"/>
      <c r="E56" s="20"/>
      <c r="F56" s="51"/>
      <c r="G56" s="167"/>
      <c r="H56" s="209"/>
      <c r="J56" s="29"/>
      <c r="K56" s="30"/>
      <c r="L56" s="31"/>
    </row>
    <row r="57" spans="1:12" ht="15.75" customHeight="1">
      <c r="A57" s="75">
        <v>9</v>
      </c>
      <c r="B57" s="171" t="s">
        <v>57</v>
      </c>
      <c r="C57" s="70" t="s">
        <v>159</v>
      </c>
      <c r="D57" s="23" t="s">
        <v>81</v>
      </c>
      <c r="E57" s="20" t="e">
        <f>#REF!+#REF!+#REF!+#REF!+#REF!+#REF!+'10.16'!E78+#REF!+#REF!+#REF!+#REF!+#REF!</f>
        <v>#REF!</v>
      </c>
      <c r="F57" s="66">
        <v>276.74</v>
      </c>
      <c r="G57" s="27">
        <v>2767.4</v>
      </c>
      <c r="H57" s="209"/>
      <c r="J57" s="29"/>
      <c r="K57" s="30"/>
      <c r="L57" s="31"/>
    </row>
    <row r="58" spans="1:12" ht="15.75" hidden="1" customHeight="1">
      <c r="A58" s="172"/>
      <c r="B58" s="171" t="s">
        <v>58</v>
      </c>
      <c r="C58" s="70" t="s">
        <v>159</v>
      </c>
      <c r="D58" s="23" t="s">
        <v>81</v>
      </c>
      <c r="E58" s="20"/>
      <c r="F58" s="66">
        <v>94.89</v>
      </c>
      <c r="G58" s="27">
        <v>0</v>
      </c>
      <c r="H58" s="209"/>
      <c r="J58" s="29"/>
      <c r="K58" s="30"/>
      <c r="L58" s="31"/>
    </row>
    <row r="59" spans="1:12" ht="15.75" hidden="1" customHeight="1">
      <c r="A59" s="172"/>
      <c r="B59" s="171" t="s">
        <v>59</v>
      </c>
      <c r="C59" s="72" t="s">
        <v>160</v>
      </c>
      <c r="D59" s="69" t="s">
        <v>66</v>
      </c>
      <c r="E59" s="20"/>
      <c r="F59" s="66">
        <v>263.99</v>
      </c>
      <c r="G59" s="27">
        <v>0</v>
      </c>
      <c r="H59" s="209"/>
      <c r="J59" s="29"/>
      <c r="K59" s="30"/>
      <c r="L59" s="31"/>
    </row>
    <row r="60" spans="1:12" ht="15.75" hidden="1" customHeight="1">
      <c r="A60" s="172"/>
      <c r="B60" s="171" t="s">
        <v>60</v>
      </c>
      <c r="C60" s="70" t="s">
        <v>161</v>
      </c>
      <c r="D60" s="69"/>
      <c r="E60" s="20"/>
      <c r="F60" s="66">
        <v>205.57</v>
      </c>
      <c r="G60" s="27">
        <v>0</v>
      </c>
      <c r="H60" s="209"/>
      <c r="J60" s="29"/>
      <c r="K60" s="30"/>
      <c r="L60" s="31"/>
    </row>
    <row r="61" spans="1:12" ht="15.75" hidden="1" customHeight="1">
      <c r="A61" s="172"/>
      <c r="B61" s="171" t="s">
        <v>61</v>
      </c>
      <c r="C61" s="70" t="s">
        <v>93</v>
      </c>
      <c r="D61" s="69" t="s">
        <v>66</v>
      </c>
      <c r="E61" s="20"/>
      <c r="F61" s="66">
        <v>2581.5300000000002</v>
      </c>
      <c r="G61" s="27">
        <v>0</v>
      </c>
      <c r="H61" s="209"/>
      <c r="J61" s="29"/>
      <c r="K61" s="30"/>
      <c r="L61" s="31"/>
    </row>
    <row r="62" spans="1:12" ht="15.75" hidden="1" customHeight="1">
      <c r="A62" s="172"/>
      <c r="B62" s="130" t="s">
        <v>162</v>
      </c>
      <c r="C62" s="70" t="s">
        <v>37</v>
      </c>
      <c r="D62" s="69"/>
      <c r="E62" s="20"/>
      <c r="F62" s="66">
        <v>47.45</v>
      </c>
      <c r="G62" s="27">
        <v>0</v>
      </c>
      <c r="H62" s="209"/>
      <c r="J62" s="29"/>
      <c r="K62" s="30"/>
      <c r="L62" s="31"/>
    </row>
    <row r="63" spans="1:12" ht="15.75" hidden="1" customHeight="1">
      <c r="A63" s="172"/>
      <c r="B63" s="130" t="s">
        <v>163</v>
      </c>
      <c r="C63" s="70" t="s">
        <v>37</v>
      </c>
      <c r="D63" s="69"/>
      <c r="E63" s="20"/>
      <c r="F63" s="66">
        <v>44.27</v>
      </c>
      <c r="G63" s="27">
        <v>0</v>
      </c>
      <c r="H63" s="209"/>
      <c r="J63" s="29"/>
      <c r="K63" s="30"/>
      <c r="L63" s="31"/>
    </row>
    <row r="64" spans="1:12" ht="15.75" hidden="1" customHeight="1">
      <c r="A64" s="172"/>
      <c r="B64" s="69" t="s">
        <v>73</v>
      </c>
      <c r="C64" s="70" t="s">
        <v>74</v>
      </c>
      <c r="D64" s="69" t="s">
        <v>66</v>
      </c>
      <c r="E64" s="20"/>
      <c r="F64" s="66">
        <v>62.07</v>
      </c>
      <c r="G64" s="27">
        <v>0</v>
      </c>
      <c r="H64" s="209"/>
      <c r="J64" s="29"/>
      <c r="K64" s="30"/>
      <c r="L64" s="31"/>
    </row>
    <row r="65" spans="1:12" ht="15.75" customHeight="1">
      <c r="A65" s="173">
        <v>10</v>
      </c>
      <c r="B65" s="69" t="s">
        <v>125</v>
      </c>
      <c r="C65" s="75" t="s">
        <v>164</v>
      </c>
      <c r="D65" s="170" t="s">
        <v>71</v>
      </c>
      <c r="E65" s="20" t="e">
        <f>#REF!+#REF!+#REF!+#REF!+#REF!+#REF!+'10.16'!E79+#REF!+#REF!+#REF!+#REF!+#REF!</f>
        <v>#REF!</v>
      </c>
      <c r="F65" s="66">
        <v>2.16</v>
      </c>
      <c r="G65" s="27">
        <v>5506.92</v>
      </c>
      <c r="H65" s="209"/>
      <c r="J65" s="29"/>
      <c r="K65" s="30"/>
      <c r="L65" s="31"/>
    </row>
    <row r="66" spans="1:12" ht="15.75" hidden="1" customHeight="1">
      <c r="A66" s="129"/>
      <c r="B66" s="188" t="s">
        <v>165</v>
      </c>
      <c r="C66" s="188"/>
      <c r="D66" s="188"/>
      <c r="E66" s="188"/>
      <c r="F66" s="188"/>
      <c r="G66" s="27"/>
      <c r="H66" s="209"/>
      <c r="J66" s="29"/>
      <c r="K66" s="30"/>
      <c r="L66" s="31"/>
    </row>
    <row r="67" spans="1:12" ht="15.75" hidden="1" customHeight="1">
      <c r="A67" s="51">
        <v>36</v>
      </c>
      <c r="B67" s="161" t="s">
        <v>166</v>
      </c>
      <c r="C67" s="162"/>
      <c r="D67" s="163" t="s">
        <v>66</v>
      </c>
      <c r="E67" s="164">
        <v>0</v>
      </c>
      <c r="F67" s="68">
        <v>20950</v>
      </c>
      <c r="G67" s="27">
        <v>0</v>
      </c>
      <c r="H67" s="209"/>
      <c r="J67" s="29"/>
      <c r="K67" s="30"/>
      <c r="L67" s="31"/>
    </row>
    <row r="68" spans="1:12" ht="15.75" hidden="1" customHeight="1">
      <c r="A68" s="173"/>
      <c r="B68" s="188" t="s">
        <v>87</v>
      </c>
      <c r="C68" s="25"/>
      <c r="D68" s="23"/>
      <c r="E68" s="20" t="e">
        <f>#REF!+#REF!+#REF!+#REF!+#REF!+#REF!+'10.16'!E80+#REF!+#REF!+#REF!+#REF!+#REF!</f>
        <v>#REF!</v>
      </c>
      <c r="F68" s="51"/>
      <c r="G68" s="167"/>
      <c r="H68" s="209"/>
      <c r="J68" s="29"/>
      <c r="K68" s="30"/>
      <c r="L68" s="31"/>
    </row>
    <row r="69" spans="1:12" ht="15.75" hidden="1" customHeight="1">
      <c r="A69" s="173">
        <v>16</v>
      </c>
      <c r="B69" s="69" t="s">
        <v>167</v>
      </c>
      <c r="C69" s="70" t="s">
        <v>168</v>
      </c>
      <c r="D69" s="23" t="s">
        <v>81</v>
      </c>
      <c r="E69" s="20" t="e">
        <f>#REF!+#REF!+#REF!+#REF!+#REF!+#REF!+'10.16'!#REF!+#REF!+#REF!+#REF!+#REF!+#REF!</f>
        <v>#REF!</v>
      </c>
      <c r="F69" s="66">
        <v>976.4</v>
      </c>
      <c r="G69" s="27">
        <v>0</v>
      </c>
      <c r="H69" s="209"/>
      <c r="J69" s="29"/>
      <c r="K69" s="30"/>
      <c r="L69" s="31"/>
    </row>
    <row r="70" spans="1:12" ht="15.75" hidden="1" customHeight="1">
      <c r="A70" s="173"/>
      <c r="B70" s="69" t="s">
        <v>169</v>
      </c>
      <c r="C70" s="70" t="s">
        <v>170</v>
      </c>
      <c r="D70" s="23"/>
      <c r="E70" s="20"/>
      <c r="F70" s="66">
        <v>735</v>
      </c>
      <c r="G70" s="27">
        <v>0</v>
      </c>
      <c r="H70" s="209"/>
      <c r="J70" s="29"/>
      <c r="K70" s="30"/>
      <c r="L70" s="31"/>
    </row>
    <row r="71" spans="1:12" ht="15.75" hidden="1" customHeight="1">
      <c r="A71" s="173"/>
      <c r="B71" s="69" t="s">
        <v>88</v>
      </c>
      <c r="C71" s="70" t="s">
        <v>90</v>
      </c>
      <c r="D71" s="23" t="s">
        <v>81</v>
      </c>
      <c r="E71" s="20"/>
      <c r="F71" s="66">
        <v>624.16999999999996</v>
      </c>
      <c r="G71" s="27">
        <v>0</v>
      </c>
      <c r="H71" s="209"/>
      <c r="J71" s="29"/>
      <c r="K71" s="30"/>
      <c r="L71" s="31"/>
    </row>
    <row r="72" spans="1:12" ht="15.75" hidden="1" customHeight="1">
      <c r="A72" s="173"/>
      <c r="B72" s="69" t="s">
        <v>89</v>
      </c>
      <c r="C72" s="70" t="s">
        <v>35</v>
      </c>
      <c r="D72" s="23" t="s">
        <v>81</v>
      </c>
      <c r="E72" s="20"/>
      <c r="F72" s="66">
        <v>1061.4100000000001</v>
      </c>
      <c r="G72" s="27">
        <v>0</v>
      </c>
      <c r="H72" s="209"/>
      <c r="J72" s="29"/>
      <c r="K72" s="30"/>
      <c r="L72" s="31"/>
    </row>
    <row r="73" spans="1:12" ht="15.75" hidden="1" customHeight="1">
      <c r="A73" s="173"/>
      <c r="B73" s="69" t="s">
        <v>126</v>
      </c>
      <c r="C73" s="70" t="s">
        <v>35</v>
      </c>
      <c r="D73" s="23" t="s">
        <v>81</v>
      </c>
      <c r="E73" s="20"/>
      <c r="F73" s="66">
        <v>446.12</v>
      </c>
      <c r="G73" s="27">
        <v>0</v>
      </c>
      <c r="H73" s="209"/>
      <c r="J73" s="29"/>
      <c r="K73" s="30"/>
      <c r="L73" s="31"/>
    </row>
    <row r="74" spans="1:12" ht="17.25" hidden="1" customHeight="1">
      <c r="A74" s="173"/>
      <c r="B74" s="84" t="s">
        <v>91</v>
      </c>
      <c r="C74" s="70"/>
      <c r="D74" s="69"/>
      <c r="E74" s="27"/>
      <c r="F74" s="68"/>
      <c r="G74" s="167"/>
      <c r="H74" s="209"/>
      <c r="J74" s="29"/>
      <c r="K74" s="30"/>
      <c r="L74" s="31"/>
    </row>
    <row r="75" spans="1:12" ht="17.25" hidden="1" customHeight="1">
      <c r="A75" s="173"/>
      <c r="B75" s="71" t="s">
        <v>171</v>
      </c>
      <c r="C75" s="72" t="s">
        <v>93</v>
      </c>
      <c r="D75" s="23" t="s">
        <v>81</v>
      </c>
      <c r="E75" s="27"/>
      <c r="F75" s="67">
        <v>3433.68</v>
      </c>
      <c r="G75" s="167">
        <v>0</v>
      </c>
      <c r="H75" s="209"/>
      <c r="J75" s="29"/>
      <c r="K75" s="30"/>
      <c r="L75" s="31"/>
    </row>
    <row r="76" spans="1:12" ht="15.75" customHeight="1">
      <c r="A76" s="173"/>
      <c r="B76" s="271" t="s">
        <v>127</v>
      </c>
      <c r="C76" s="272"/>
      <c r="D76" s="272"/>
      <c r="E76" s="272"/>
      <c r="F76" s="272"/>
      <c r="G76" s="273"/>
      <c r="H76" s="209"/>
      <c r="J76" s="29"/>
      <c r="K76" s="30"/>
      <c r="L76" s="31"/>
    </row>
    <row r="77" spans="1:12" ht="15.75" customHeight="1">
      <c r="A77" s="173">
        <v>11</v>
      </c>
      <c r="B77" s="160" t="s">
        <v>135</v>
      </c>
      <c r="C77" s="25" t="s">
        <v>70</v>
      </c>
      <c r="D77" s="170" t="s">
        <v>71</v>
      </c>
      <c r="E77" s="20" t="e">
        <f>#REF!+#REF!+#REF!+#REF!+#REF!+#REF!+'10.16'!E88+#REF!+#REF!+#REF!+#REF!+#REF!</f>
        <v>#REF!</v>
      </c>
      <c r="F77" s="24">
        <v>2.95</v>
      </c>
      <c r="G77" s="27">
        <v>7521.03</v>
      </c>
      <c r="H77" s="209"/>
      <c r="J77" s="29"/>
      <c r="K77" s="30"/>
      <c r="L77" s="31"/>
    </row>
    <row r="78" spans="1:12" ht="31.5" customHeight="1">
      <c r="A78" s="51">
        <v>12</v>
      </c>
      <c r="B78" s="69" t="s">
        <v>94</v>
      </c>
      <c r="C78" s="25" t="s">
        <v>70</v>
      </c>
      <c r="D78" s="23" t="s">
        <v>71</v>
      </c>
      <c r="E78" s="24"/>
      <c r="F78" s="66">
        <v>3.05</v>
      </c>
      <c r="G78" s="21">
        <v>7775.98</v>
      </c>
      <c r="H78" s="209"/>
      <c r="J78" s="29"/>
      <c r="K78" s="30"/>
      <c r="L78" s="31"/>
    </row>
    <row r="79" spans="1:12" ht="15" customHeight="1">
      <c r="A79" s="129"/>
      <c r="B79" s="73" t="s">
        <v>99</v>
      </c>
      <c r="C79" s="75"/>
      <c r="D79" s="24"/>
      <c r="E79" s="24"/>
      <c r="F79" s="27"/>
      <c r="G79" s="59">
        <f>SUM(G15+G16+G17+G25+G26+G29+G30+G31+G57+G65+G77+G78)</f>
        <v>44939.399999999994</v>
      </c>
      <c r="H79" s="209"/>
      <c r="J79" s="29"/>
      <c r="K79" s="30"/>
      <c r="L79" s="31"/>
    </row>
    <row r="80" spans="1:12" ht="15.75" customHeight="1">
      <c r="A80" s="173"/>
      <c r="B80" s="145" t="s">
        <v>75</v>
      </c>
      <c r="C80" s="145"/>
      <c r="D80" s="145"/>
      <c r="E80" s="24"/>
      <c r="F80" s="27"/>
      <c r="G80" s="27"/>
      <c r="H80" s="209"/>
      <c r="J80" s="29"/>
      <c r="K80" s="30"/>
      <c r="L80" s="31"/>
    </row>
    <row r="81" spans="1:20" ht="15.75" customHeight="1">
      <c r="A81" s="173">
        <v>13</v>
      </c>
      <c r="B81" s="146" t="s">
        <v>211</v>
      </c>
      <c r="C81" s="174" t="s">
        <v>107</v>
      </c>
      <c r="D81" s="145"/>
      <c r="E81" s="24"/>
      <c r="F81" s="66">
        <v>185.81</v>
      </c>
      <c r="G81" s="27">
        <v>185.81</v>
      </c>
      <c r="H81" s="209"/>
      <c r="J81" s="29"/>
      <c r="K81" s="30"/>
      <c r="L81" s="31"/>
    </row>
    <row r="82" spans="1:20" ht="31.5" customHeight="1">
      <c r="A82" s="173">
        <v>14</v>
      </c>
      <c r="B82" s="258" t="s">
        <v>264</v>
      </c>
      <c r="C82" s="75" t="s">
        <v>265</v>
      </c>
      <c r="D82" s="145"/>
      <c r="E82" s="24"/>
      <c r="F82" s="21">
        <v>298</v>
      </c>
      <c r="G82" s="27">
        <v>238.4</v>
      </c>
      <c r="H82" s="209"/>
      <c r="J82" s="29"/>
      <c r="K82" s="30"/>
      <c r="L82" s="31"/>
    </row>
    <row r="83" spans="1:20" ht="15.75" customHeight="1">
      <c r="A83" s="173">
        <v>15</v>
      </c>
      <c r="B83" s="259" t="s">
        <v>266</v>
      </c>
      <c r="C83" s="175" t="s">
        <v>268</v>
      </c>
      <c r="D83" s="145"/>
      <c r="E83" s="24"/>
      <c r="F83" s="21">
        <v>2313.61</v>
      </c>
      <c r="G83" s="27">
        <v>1156.81</v>
      </c>
      <c r="H83" s="209"/>
      <c r="J83" s="29"/>
      <c r="K83" s="30"/>
      <c r="L83" s="31"/>
    </row>
    <row r="84" spans="1:20" ht="15.75" customHeight="1">
      <c r="A84" s="173">
        <v>16</v>
      </c>
      <c r="B84" s="179" t="s">
        <v>136</v>
      </c>
      <c r="C84" s="180" t="s">
        <v>137</v>
      </c>
      <c r="D84" s="145"/>
      <c r="E84" s="24"/>
      <c r="F84" s="66">
        <v>1063.47</v>
      </c>
      <c r="G84" s="27">
        <v>5317.35</v>
      </c>
      <c r="H84" s="209"/>
      <c r="J84" s="29"/>
      <c r="K84" s="30"/>
      <c r="L84" s="31"/>
    </row>
    <row r="85" spans="1:20" ht="15.75" customHeight="1">
      <c r="A85" s="173">
        <v>17</v>
      </c>
      <c r="B85" s="258" t="s">
        <v>267</v>
      </c>
      <c r="C85" s="75" t="s">
        <v>159</v>
      </c>
      <c r="D85" s="145"/>
      <c r="E85" s="24"/>
      <c r="F85" s="21">
        <v>470</v>
      </c>
      <c r="G85" s="27">
        <v>470</v>
      </c>
      <c r="H85" s="209"/>
      <c r="J85" s="29"/>
      <c r="K85" s="30"/>
      <c r="L85" s="31"/>
    </row>
    <row r="86" spans="1:20" ht="15.75" customHeight="1">
      <c r="A86" s="173">
        <v>18</v>
      </c>
      <c r="B86" s="146" t="s">
        <v>104</v>
      </c>
      <c r="C86" s="174" t="s">
        <v>159</v>
      </c>
      <c r="D86" s="145"/>
      <c r="E86" s="24"/>
      <c r="F86" s="66">
        <v>180.15</v>
      </c>
      <c r="G86" s="27">
        <v>540.45000000000005</v>
      </c>
      <c r="H86" s="209"/>
      <c r="J86" s="29"/>
      <c r="K86" s="30"/>
      <c r="L86" s="31"/>
    </row>
    <row r="87" spans="1:20" ht="16.5" customHeight="1">
      <c r="A87" s="51"/>
      <c r="B87" s="80" t="s">
        <v>63</v>
      </c>
      <c r="C87" s="76"/>
      <c r="D87" s="131"/>
      <c r="E87" s="76">
        <v>1</v>
      </c>
      <c r="F87" s="76"/>
      <c r="G87" s="59">
        <f>SUM(G81:G86)</f>
        <v>7908.8200000000006</v>
      </c>
      <c r="H87" s="209"/>
      <c r="J87" s="29"/>
      <c r="K87" s="30"/>
      <c r="L87" s="31"/>
    </row>
    <row r="88" spans="1:20" ht="15" customHeight="1">
      <c r="A88" s="51"/>
      <c r="B88" s="85" t="s">
        <v>95</v>
      </c>
      <c r="C88" s="24"/>
      <c r="D88" s="24"/>
      <c r="E88" s="77"/>
      <c r="F88" s="78"/>
      <c r="G88" s="26">
        <v>0</v>
      </c>
      <c r="H88" s="209"/>
      <c r="J88" s="29"/>
      <c r="K88" s="30"/>
      <c r="L88" s="31"/>
    </row>
    <row r="89" spans="1:20">
      <c r="A89" s="132"/>
      <c r="B89" s="81" t="s">
        <v>64</v>
      </c>
      <c r="C89" s="64"/>
      <c r="D89" s="64"/>
      <c r="E89" s="64"/>
      <c r="F89" s="64"/>
      <c r="G89" s="79">
        <f>G79+G87</f>
        <v>52848.219999999994</v>
      </c>
      <c r="H89" s="209"/>
      <c r="J89" s="29"/>
    </row>
    <row r="90" spans="1:20" ht="15.75">
      <c r="A90" s="263" t="s">
        <v>269</v>
      </c>
      <c r="B90" s="263"/>
      <c r="C90" s="263"/>
      <c r="D90" s="263"/>
      <c r="E90" s="263"/>
      <c r="F90" s="263"/>
      <c r="G90" s="263"/>
    </row>
    <row r="91" spans="1:20" ht="15.75">
      <c r="A91" s="13"/>
      <c r="B91" s="264" t="s">
        <v>272</v>
      </c>
      <c r="C91" s="264"/>
      <c r="D91" s="264"/>
      <c r="E91" s="264"/>
      <c r="F91" s="264"/>
      <c r="G91" s="4"/>
    </row>
    <row r="92" spans="1:20" ht="15.75">
      <c r="A92" s="187"/>
      <c r="B92" s="280" t="s">
        <v>7</v>
      </c>
      <c r="C92" s="280"/>
      <c r="D92" s="280"/>
      <c r="E92" s="280"/>
      <c r="F92" s="280"/>
      <c r="G92" s="123"/>
    </row>
    <row r="93" spans="1:20" ht="15.75" customHeight="1">
      <c r="A93" s="124"/>
      <c r="B93" s="124"/>
      <c r="C93" s="124"/>
      <c r="D93" s="124"/>
      <c r="E93" s="124"/>
      <c r="F93" s="124"/>
      <c r="G93" s="12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12"/>
    </row>
    <row r="94" spans="1:20" ht="15.75" customHeight="1">
      <c r="A94" s="281" t="s">
        <v>8</v>
      </c>
      <c r="B94" s="281"/>
      <c r="C94" s="281"/>
      <c r="D94" s="281"/>
      <c r="E94" s="281"/>
      <c r="F94" s="281"/>
      <c r="G94" s="281"/>
      <c r="H94" s="43"/>
      <c r="I94" s="43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20" ht="15.75">
      <c r="A95" s="281" t="s">
        <v>9</v>
      </c>
      <c r="B95" s="281"/>
      <c r="C95" s="281"/>
      <c r="D95" s="281"/>
      <c r="E95" s="281"/>
      <c r="F95" s="281"/>
      <c r="G95" s="281"/>
      <c r="H95" s="4"/>
      <c r="I95" s="4"/>
      <c r="J95" s="4"/>
      <c r="K95" s="4"/>
      <c r="L95" s="4"/>
      <c r="M95" s="4"/>
      <c r="N95" s="4"/>
      <c r="O95" s="4"/>
      <c r="Q95" s="4"/>
      <c r="R95" s="4"/>
      <c r="S95" s="4"/>
    </row>
    <row r="96" spans="1:20" ht="15.75">
      <c r="A96" s="263" t="s">
        <v>10</v>
      </c>
      <c r="B96" s="263"/>
      <c r="C96" s="263"/>
      <c r="D96" s="263"/>
      <c r="E96" s="263"/>
      <c r="F96" s="263"/>
      <c r="G96" s="263"/>
      <c r="H96" s="6"/>
      <c r="I96" s="6"/>
      <c r="J96" s="6"/>
      <c r="K96" s="6"/>
      <c r="L96" s="6"/>
      <c r="M96" s="6"/>
      <c r="N96" s="6"/>
      <c r="O96" s="6"/>
      <c r="P96" s="279"/>
      <c r="Q96" s="279"/>
      <c r="R96" s="279"/>
      <c r="S96" s="279"/>
    </row>
    <row r="97" spans="1:19" ht="15.75">
      <c r="A97" s="15"/>
      <c r="B97" s="121"/>
      <c r="C97" s="121"/>
      <c r="D97" s="121"/>
      <c r="E97" s="121"/>
      <c r="F97" s="121"/>
      <c r="G97" s="121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</row>
    <row r="98" spans="1:19" ht="15.75">
      <c r="A98" s="15"/>
      <c r="B98" s="121"/>
      <c r="C98" s="121"/>
      <c r="D98" s="121"/>
      <c r="E98" s="121"/>
      <c r="F98" s="121"/>
      <c r="G98" s="121"/>
    </row>
    <row r="99" spans="1:19" ht="15.75">
      <c r="A99" s="262" t="s">
        <v>11</v>
      </c>
      <c r="B99" s="262"/>
      <c r="C99" s="262"/>
      <c r="D99" s="262"/>
      <c r="E99" s="262"/>
      <c r="F99" s="262"/>
      <c r="G99" s="262"/>
    </row>
    <row r="100" spans="1:19" ht="15.75" customHeight="1">
      <c r="A100" s="5"/>
    </row>
    <row r="101" spans="1:19" ht="15.75">
      <c r="A101" s="263" t="s">
        <v>12</v>
      </c>
      <c r="B101" s="263"/>
      <c r="C101" s="287" t="s">
        <v>133</v>
      </c>
      <c r="D101" s="287"/>
      <c r="E101" s="287"/>
      <c r="G101" s="191"/>
    </row>
    <row r="102" spans="1:19">
      <c r="A102" s="192"/>
      <c r="C102" s="277" t="s">
        <v>13</v>
      </c>
      <c r="D102" s="277"/>
      <c r="E102" s="277"/>
      <c r="G102" s="189" t="s">
        <v>14</v>
      </c>
    </row>
    <row r="103" spans="1:19" ht="15.75">
      <c r="A103" s="43"/>
      <c r="C103" s="16"/>
      <c r="D103" s="16"/>
      <c r="F103" s="16"/>
    </row>
    <row r="104" spans="1:19" ht="15.75" customHeight="1">
      <c r="A104" s="263" t="s">
        <v>15</v>
      </c>
      <c r="B104" s="263"/>
      <c r="C104" s="278"/>
      <c r="D104" s="278"/>
      <c r="E104" s="278"/>
      <c r="G104" s="191"/>
    </row>
    <row r="105" spans="1:19">
      <c r="A105" s="192"/>
      <c r="C105" s="279" t="s">
        <v>13</v>
      </c>
      <c r="D105" s="279"/>
      <c r="E105" s="279"/>
      <c r="G105" s="189" t="s">
        <v>14</v>
      </c>
    </row>
    <row r="106" spans="1:19" ht="15.75">
      <c r="A106" s="5" t="s">
        <v>16</v>
      </c>
    </row>
    <row r="107" spans="1:19">
      <c r="A107" s="288" t="s">
        <v>17</v>
      </c>
      <c r="B107" s="288"/>
      <c r="C107" s="288"/>
      <c r="D107" s="288"/>
      <c r="E107" s="288"/>
      <c r="F107" s="288"/>
      <c r="G107" s="288"/>
    </row>
    <row r="108" spans="1:19" ht="47.25" customHeight="1">
      <c r="A108" s="289" t="s">
        <v>18</v>
      </c>
      <c r="B108" s="289"/>
      <c r="C108" s="289"/>
      <c r="D108" s="289"/>
      <c r="E108" s="289"/>
      <c r="F108" s="289"/>
      <c r="G108" s="289"/>
    </row>
    <row r="109" spans="1:19" ht="31.5" customHeight="1">
      <c r="A109" s="289" t="s">
        <v>19</v>
      </c>
      <c r="B109" s="289"/>
      <c r="C109" s="289"/>
      <c r="D109" s="289"/>
      <c r="E109" s="289"/>
      <c r="F109" s="289"/>
      <c r="G109" s="289"/>
    </row>
    <row r="110" spans="1:19" ht="31.5" customHeight="1">
      <c r="A110" s="289" t="s">
        <v>24</v>
      </c>
      <c r="B110" s="289"/>
      <c r="C110" s="289"/>
      <c r="D110" s="289"/>
      <c r="E110" s="289"/>
      <c r="F110" s="289"/>
      <c r="G110" s="289"/>
    </row>
    <row r="111" spans="1:19" ht="15.75">
      <c r="A111" s="289" t="s">
        <v>23</v>
      </c>
      <c r="B111" s="289"/>
      <c r="C111" s="289"/>
      <c r="D111" s="289"/>
      <c r="E111" s="289"/>
      <c r="F111" s="289"/>
      <c r="G111" s="289"/>
    </row>
    <row r="113" spans="1:6">
      <c r="A113" s="17"/>
      <c r="B113" s="17"/>
      <c r="C113" s="17"/>
      <c r="D113" s="17"/>
      <c r="E113" s="17"/>
      <c r="F113" s="17"/>
    </row>
  </sheetData>
  <autoFilter ref="G14:G91"/>
  <mergeCells count="29">
    <mergeCell ref="A14:G14"/>
    <mergeCell ref="A3:G3"/>
    <mergeCell ref="A4:G4"/>
    <mergeCell ref="A5:G5"/>
    <mergeCell ref="A8:G8"/>
    <mergeCell ref="A10:G10"/>
    <mergeCell ref="P96:S96"/>
    <mergeCell ref="A99:G99"/>
    <mergeCell ref="A27:G27"/>
    <mergeCell ref="B39:G39"/>
    <mergeCell ref="B50:G50"/>
    <mergeCell ref="B76:G76"/>
    <mergeCell ref="A90:G90"/>
    <mergeCell ref="B91:F91"/>
    <mergeCell ref="C105:E105"/>
    <mergeCell ref="B92:F92"/>
    <mergeCell ref="A94:G94"/>
    <mergeCell ref="A95:G95"/>
    <mergeCell ref="A96:G96"/>
    <mergeCell ref="A101:B101"/>
    <mergeCell ref="C101:E101"/>
    <mergeCell ref="C102:E102"/>
    <mergeCell ref="A104:B104"/>
    <mergeCell ref="C104:E104"/>
    <mergeCell ref="A107:G107"/>
    <mergeCell ref="A108:G108"/>
    <mergeCell ref="A109:G109"/>
    <mergeCell ref="A110:G110"/>
    <mergeCell ref="A111:G111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T92"/>
  <sheetViews>
    <sheetView view="pageLayout" zoomScale="77" zoomScaleNormal="77" zoomScalePageLayoutView="77" workbookViewId="0">
      <selection activeCell="A9" sqref="A9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  <col min="9" max="9" width="14.5703125" customWidth="1"/>
    <col min="10" max="10" width="12.5703125" customWidth="1"/>
  </cols>
  <sheetData>
    <row r="1" spans="1:11" ht="31.5" customHeight="1">
      <c r="B1" s="57" t="s">
        <v>113</v>
      </c>
      <c r="G1" s="56"/>
      <c r="H1" s="2"/>
      <c r="I1" s="2"/>
      <c r="J1" s="2"/>
      <c r="K1" s="2"/>
    </row>
    <row r="2" spans="1:11" ht="15.75">
      <c r="B2" s="46" t="s">
        <v>77</v>
      </c>
      <c r="H2" s="3"/>
      <c r="I2" s="3"/>
      <c r="J2" s="3"/>
      <c r="K2" s="3"/>
    </row>
    <row r="3" spans="1:11" ht="15.75" customHeight="1">
      <c r="A3" s="265" t="s">
        <v>270</v>
      </c>
      <c r="B3" s="265"/>
      <c r="C3" s="265"/>
      <c r="D3" s="265"/>
      <c r="E3" s="265"/>
      <c r="F3" s="265"/>
      <c r="G3" s="265"/>
      <c r="H3" s="4"/>
      <c r="I3" s="4"/>
      <c r="J3" s="4"/>
    </row>
    <row r="4" spans="1:11" ht="33.75" customHeight="1">
      <c r="A4" s="266" t="s">
        <v>114</v>
      </c>
      <c r="B4" s="266"/>
      <c r="C4" s="266"/>
      <c r="D4" s="266"/>
      <c r="E4" s="266"/>
      <c r="F4" s="266"/>
      <c r="G4" s="266"/>
    </row>
    <row r="5" spans="1:11" ht="15.75">
      <c r="A5" s="3"/>
      <c r="B5" s="267" t="s">
        <v>115</v>
      </c>
      <c r="C5" s="267"/>
      <c r="D5" s="267"/>
      <c r="E5" s="267"/>
      <c r="F5" s="267"/>
      <c r="H5" s="3"/>
      <c r="I5" s="3"/>
      <c r="J5" s="3"/>
      <c r="K5" s="3"/>
    </row>
    <row r="6" spans="1:11" ht="15.75">
      <c r="A6" s="3"/>
      <c r="B6" s="39"/>
      <c r="C6" s="39"/>
      <c r="D6" s="39"/>
      <c r="E6" s="39"/>
      <c r="F6" s="39"/>
      <c r="G6" s="58">
        <v>42704</v>
      </c>
      <c r="H6" s="3"/>
      <c r="I6" s="3"/>
      <c r="J6" s="3"/>
      <c r="K6" s="3"/>
    </row>
    <row r="7" spans="1:11" ht="16.5" customHeight="1">
      <c r="B7" s="44"/>
      <c r="C7" s="44"/>
      <c r="D7" s="44"/>
      <c r="E7" s="4"/>
      <c r="F7" s="4"/>
      <c r="H7" s="4"/>
      <c r="I7" s="4"/>
      <c r="J7" s="4"/>
      <c r="K7" s="4"/>
    </row>
    <row r="8" spans="1:11" ht="84.75" customHeight="1">
      <c r="A8" s="269" t="s">
        <v>274</v>
      </c>
      <c r="B8" s="269"/>
      <c r="C8" s="269"/>
      <c r="D8" s="269"/>
      <c r="E8" s="269"/>
      <c r="F8" s="269"/>
      <c r="G8" s="269"/>
      <c r="H8" s="6"/>
      <c r="I8" s="6"/>
      <c r="J8" s="6"/>
      <c r="K8" s="6"/>
    </row>
    <row r="9" spans="1:11" ht="15.75">
      <c r="A9" s="5"/>
      <c r="H9" s="3"/>
      <c r="I9" s="3"/>
      <c r="J9" s="3"/>
      <c r="K9" s="3"/>
    </row>
    <row r="10" spans="1:11" ht="47.25" customHeight="1">
      <c r="A10" s="263" t="s">
        <v>116</v>
      </c>
      <c r="B10" s="263"/>
      <c r="C10" s="263"/>
      <c r="D10" s="263"/>
      <c r="E10" s="263"/>
      <c r="F10" s="263"/>
      <c r="G10" s="263"/>
      <c r="H10" s="3"/>
      <c r="I10" s="3"/>
      <c r="J10" s="3"/>
      <c r="K10" s="3"/>
    </row>
    <row r="11" spans="1:11" ht="15" customHeight="1">
      <c r="A11" s="4"/>
      <c r="B11" s="4"/>
      <c r="C11" s="42"/>
      <c r="D11" s="42"/>
      <c r="E11" s="42"/>
      <c r="F11" s="42"/>
      <c r="G11" s="42"/>
      <c r="H11" s="4"/>
    </row>
    <row r="12" spans="1:11" ht="13.5" customHeight="1">
      <c r="A12" s="5"/>
    </row>
    <row r="13" spans="1:11" ht="51">
      <c r="A13" s="7" t="s">
        <v>0</v>
      </c>
      <c r="B13" s="7" t="s">
        <v>1</v>
      </c>
      <c r="C13" s="7" t="s">
        <v>2</v>
      </c>
      <c r="D13" s="7" t="s">
        <v>20</v>
      </c>
      <c r="E13" s="7" t="s">
        <v>21</v>
      </c>
      <c r="F13" s="7" t="s">
        <v>25</v>
      </c>
      <c r="G13" s="7" t="s">
        <v>3</v>
      </c>
    </row>
    <row r="14" spans="1:11">
      <c r="A14" s="8">
        <v>1</v>
      </c>
      <c r="B14" s="8">
        <v>2</v>
      </c>
      <c r="C14" s="8">
        <v>3</v>
      </c>
      <c r="D14" s="9">
        <v>4</v>
      </c>
      <c r="E14" s="8">
        <v>5</v>
      </c>
      <c r="F14" s="8">
        <v>6</v>
      </c>
      <c r="G14" s="8">
        <v>7</v>
      </c>
      <c r="H14" s="10"/>
      <c r="I14" s="10"/>
      <c r="J14" s="10"/>
      <c r="K14" s="10"/>
    </row>
    <row r="15" spans="1:11" ht="18.75" customHeight="1">
      <c r="A15" s="293" t="s">
        <v>4</v>
      </c>
      <c r="B15" s="294"/>
      <c r="C15" s="294"/>
      <c r="D15" s="294"/>
      <c r="E15" s="294"/>
      <c r="F15" s="294"/>
      <c r="G15" s="295"/>
      <c r="H15" s="10"/>
      <c r="I15" s="10"/>
      <c r="J15" s="10"/>
      <c r="K15" s="10"/>
    </row>
    <row r="16" spans="1:11" ht="30.75" customHeight="1">
      <c r="A16" s="89">
        <v>1</v>
      </c>
      <c r="B16" s="98" t="s">
        <v>117</v>
      </c>
      <c r="C16" s="89" t="s">
        <v>65</v>
      </c>
      <c r="D16" s="89" t="s">
        <v>120</v>
      </c>
      <c r="E16" s="89"/>
      <c r="F16" s="89">
        <v>218.21</v>
      </c>
      <c r="G16" s="89">
        <v>2011.24</v>
      </c>
      <c r="H16" s="10"/>
      <c r="I16" s="10"/>
      <c r="J16" s="10"/>
      <c r="K16" s="10"/>
    </row>
    <row r="17" spans="1:11" ht="31.5" customHeight="1">
      <c r="A17" s="89">
        <v>2</v>
      </c>
      <c r="B17" s="98" t="s">
        <v>118</v>
      </c>
      <c r="C17" s="89" t="s">
        <v>65</v>
      </c>
      <c r="D17" s="89" t="s">
        <v>121</v>
      </c>
      <c r="E17" s="89"/>
      <c r="F17" s="89">
        <v>218.21</v>
      </c>
      <c r="G17" s="113">
        <v>4022.48</v>
      </c>
      <c r="H17" s="10"/>
      <c r="I17" s="10"/>
      <c r="J17" s="10"/>
      <c r="K17" s="10"/>
    </row>
    <row r="18" spans="1:11" ht="30.75" customHeight="1">
      <c r="A18" s="89">
        <v>3</v>
      </c>
      <c r="B18" s="98" t="s">
        <v>119</v>
      </c>
      <c r="C18" s="89" t="s">
        <v>65</v>
      </c>
      <c r="D18" s="89" t="s">
        <v>97</v>
      </c>
      <c r="E18" s="89"/>
      <c r="F18" s="89">
        <v>627.77</v>
      </c>
      <c r="G18" s="89">
        <v>3560.71</v>
      </c>
      <c r="H18" s="10"/>
      <c r="I18" s="10"/>
      <c r="J18" s="10"/>
      <c r="K18" s="10"/>
    </row>
    <row r="19" spans="1:11" ht="15" customHeight="1">
      <c r="A19" s="89">
        <v>4</v>
      </c>
      <c r="B19" s="87" t="s">
        <v>26</v>
      </c>
      <c r="C19" s="88" t="s">
        <v>27</v>
      </c>
      <c r="D19" s="89" t="s">
        <v>28</v>
      </c>
      <c r="E19" s="108" t="e">
        <f>#REF!+#REF!+#REF!+#REF!+#REF!+#REF!+'12.16'!E13+#REF!+#REF!+#REF!+#REF!+#REF!</f>
        <v>#REF!</v>
      </c>
      <c r="F19" s="96">
        <v>4.24</v>
      </c>
      <c r="G19" s="91">
        <v>10809.88</v>
      </c>
      <c r="H19" s="10"/>
      <c r="I19" s="10"/>
      <c r="J19" s="10"/>
      <c r="K19" s="10"/>
    </row>
    <row r="20" spans="1:11" ht="17.25" customHeight="1">
      <c r="A20" s="89">
        <v>5</v>
      </c>
      <c r="B20" s="98" t="s">
        <v>79</v>
      </c>
      <c r="C20" s="99" t="s">
        <v>37</v>
      </c>
      <c r="D20" s="100" t="s">
        <v>110</v>
      </c>
      <c r="E20" s="97">
        <v>0</v>
      </c>
      <c r="F20" s="90">
        <v>182.96</v>
      </c>
      <c r="G20" s="97">
        <v>278.25</v>
      </c>
      <c r="H20" s="10"/>
      <c r="I20" s="10"/>
      <c r="J20" s="10"/>
      <c r="K20" s="10"/>
    </row>
    <row r="21" spans="1:11" ht="18.75" customHeight="1">
      <c r="A21" s="293" t="s">
        <v>111</v>
      </c>
      <c r="B21" s="294"/>
      <c r="C21" s="294"/>
      <c r="D21" s="294"/>
      <c r="E21" s="294"/>
      <c r="F21" s="294"/>
      <c r="G21" s="295"/>
      <c r="H21" s="52"/>
      <c r="I21" s="10"/>
      <c r="J21" s="10"/>
      <c r="K21" s="10"/>
    </row>
    <row r="22" spans="1:11" ht="18.75" customHeight="1">
      <c r="A22" s="86"/>
      <c r="B22" s="101" t="s">
        <v>5</v>
      </c>
      <c r="C22" s="86"/>
      <c r="D22" s="86"/>
      <c r="E22" s="108"/>
      <c r="F22" s="96"/>
      <c r="G22" s="136"/>
      <c r="H22" s="37"/>
      <c r="I22" s="10"/>
      <c r="J22" s="10"/>
      <c r="K22" s="10"/>
    </row>
    <row r="23" spans="1:11" ht="30" customHeight="1">
      <c r="A23" s="102">
        <v>6</v>
      </c>
      <c r="B23" s="135" t="s">
        <v>30</v>
      </c>
      <c r="C23" s="95" t="s">
        <v>36</v>
      </c>
      <c r="D23" s="89" t="s">
        <v>29</v>
      </c>
      <c r="E23" s="108" t="e">
        <f>#REF!+#REF!+#REF!+#REF!+#REF!+#REF!+'12.16'!E35+#REF!+#REF!+#REF!+#REF!+#REF!</f>
        <v>#REF!</v>
      </c>
      <c r="F23" s="104">
        <v>1900.37</v>
      </c>
      <c r="G23" s="91">
        <v>633.46</v>
      </c>
      <c r="H23" s="37"/>
      <c r="I23" s="10"/>
      <c r="J23" s="10"/>
      <c r="K23" s="10"/>
    </row>
    <row r="24" spans="1:11" ht="16.5" customHeight="1">
      <c r="A24" s="102">
        <v>7</v>
      </c>
      <c r="B24" s="135" t="s">
        <v>82</v>
      </c>
      <c r="C24" s="95" t="s">
        <v>33</v>
      </c>
      <c r="D24" s="89" t="s">
        <v>134</v>
      </c>
      <c r="E24" s="108" t="e">
        <f>#REF!+#REF!+#REF!+#REF!+#REF!+#REF!+'12.16'!E36+#REF!+#REF!+#REF!+#REF!+#REF!</f>
        <v>#REF!</v>
      </c>
      <c r="F24" s="104">
        <v>2616.4899999999998</v>
      </c>
      <c r="G24" s="91">
        <v>681.33</v>
      </c>
      <c r="H24" s="37"/>
      <c r="I24" s="48"/>
      <c r="J24" s="10"/>
      <c r="K24" s="10"/>
    </row>
    <row r="25" spans="1:11" ht="64.5" customHeight="1">
      <c r="A25" s="102">
        <v>8</v>
      </c>
      <c r="B25" s="98" t="s">
        <v>106</v>
      </c>
      <c r="C25" s="95" t="s">
        <v>33</v>
      </c>
      <c r="D25" s="89" t="s">
        <v>134</v>
      </c>
      <c r="E25" s="108" t="e">
        <f>#REF!+#REF!+#REF!+#REF!+#REF!+#REF!+'12.16'!E39+#REF!+#REF!+#REF!+#REF!+#REF!</f>
        <v>#REF!</v>
      </c>
      <c r="F25" s="104">
        <v>7221.21</v>
      </c>
      <c r="G25" s="91">
        <v>1880.4</v>
      </c>
      <c r="H25" s="37"/>
      <c r="I25" s="10"/>
      <c r="J25" s="10"/>
      <c r="K25" s="10"/>
    </row>
    <row r="26" spans="1:11" ht="31.5">
      <c r="A26" s="102">
        <v>9</v>
      </c>
      <c r="B26" s="135" t="s">
        <v>128</v>
      </c>
      <c r="C26" s="95" t="s">
        <v>33</v>
      </c>
      <c r="D26" s="89" t="s">
        <v>112</v>
      </c>
      <c r="E26" s="108" t="e">
        <f>#REF!+#REF!+#REF!+#REF!+#REF!+#REF!+'12.16'!#REF!+#REF!+#REF!+#REF!+#REF!+#REF!</f>
        <v>#REF!</v>
      </c>
      <c r="F26" s="104">
        <v>436.45</v>
      </c>
      <c r="G26" s="91">
        <v>734</v>
      </c>
      <c r="H26" s="37"/>
      <c r="I26" s="50"/>
      <c r="J26" s="10"/>
      <c r="K26" s="10"/>
    </row>
    <row r="27" spans="1:11" ht="18" customHeight="1">
      <c r="A27" s="102">
        <v>10</v>
      </c>
      <c r="B27" s="135" t="s">
        <v>129</v>
      </c>
      <c r="C27" s="95" t="s">
        <v>33</v>
      </c>
      <c r="D27" s="89" t="s">
        <v>109</v>
      </c>
      <c r="E27" s="91" t="e">
        <f>#REF!+#REF!+#REF!+#REF!+#REF!+#REF!+'12.16'!E37+#REF!+#REF!+#REF!+#REF!+#REF!</f>
        <v>#REF!</v>
      </c>
      <c r="F27" s="104">
        <v>533.45000000000005</v>
      </c>
      <c r="G27" s="91">
        <v>104.18</v>
      </c>
      <c r="H27" s="37"/>
      <c r="I27" s="10"/>
      <c r="J27" s="10"/>
      <c r="K27" s="10"/>
    </row>
    <row r="28" spans="1:11" ht="15.75" customHeight="1">
      <c r="A28" s="102">
        <v>11</v>
      </c>
      <c r="B28" s="94" t="s">
        <v>31</v>
      </c>
      <c r="C28" s="88" t="s">
        <v>37</v>
      </c>
      <c r="D28" s="94"/>
      <c r="E28" s="108" t="e">
        <f>#REF!+#REF!+#REF!+#REF!+#REF!+#REF!+'12.16'!E38+#REF!+#REF!+#REF!+#REF!+#REF!</f>
        <v>#REF!</v>
      </c>
      <c r="F28" s="104">
        <v>992.97</v>
      </c>
      <c r="G28" s="91">
        <v>66.2</v>
      </c>
      <c r="H28" s="37"/>
      <c r="I28" s="10"/>
      <c r="J28" s="10"/>
      <c r="K28" s="10"/>
    </row>
    <row r="29" spans="1:11" ht="15" hidden="1" customHeight="1">
      <c r="A29" s="133"/>
      <c r="B29" s="293" t="s">
        <v>122</v>
      </c>
      <c r="C29" s="294"/>
      <c r="D29" s="294"/>
      <c r="E29" s="294"/>
      <c r="F29" s="294"/>
      <c r="G29" s="295"/>
      <c r="H29" s="53"/>
      <c r="I29" s="10"/>
    </row>
    <row r="30" spans="1:11" ht="22.5" hidden="1" customHeight="1">
      <c r="A30" s="86">
        <v>16</v>
      </c>
      <c r="B30" s="135" t="s">
        <v>38</v>
      </c>
      <c r="C30" s="95" t="s">
        <v>33</v>
      </c>
      <c r="D30" s="89" t="s">
        <v>76</v>
      </c>
      <c r="E30" s="91" t="e">
        <f>#REF!+#REF!+#REF!+#REF!+#REF!+#REF!+'12.16'!E43+#REF!+#REF!+#REF!+#REF!+#REF!</f>
        <v>#REF!</v>
      </c>
      <c r="F30" s="104">
        <v>1098.72</v>
      </c>
      <c r="G30" s="136" t="e">
        <f>#REF!+#REF!+#REF!+#REF!+#REF!+#REF!+'12.16'!G43+#REF!+#REF!+#REF!+#REF!+#REF!</f>
        <v>#REF!</v>
      </c>
      <c r="H30" s="38"/>
    </row>
    <row r="31" spans="1:11" ht="24" hidden="1" customHeight="1">
      <c r="A31" s="86">
        <v>17</v>
      </c>
      <c r="B31" s="135" t="s">
        <v>39</v>
      </c>
      <c r="C31" s="95" t="s">
        <v>40</v>
      </c>
      <c r="D31" s="89" t="s">
        <v>76</v>
      </c>
      <c r="E31" s="91" t="e">
        <f>#REF!+#REF!+#REF!+#REF!+#REF!+#REF!+'12.16'!E44+#REF!+#REF!+#REF!+#REF!+#REF!</f>
        <v>#REF!</v>
      </c>
      <c r="F31" s="104">
        <v>94.18</v>
      </c>
      <c r="G31" s="136" t="e">
        <f>#REF!+#REF!+#REF!+#REF!+#REF!+#REF!+'12.16'!G43+#REF!+#REF!+#REF!+#REF!+#REF!</f>
        <v>#REF!</v>
      </c>
      <c r="H31" s="38"/>
    </row>
    <row r="32" spans="1:11" ht="24" hidden="1" customHeight="1">
      <c r="A32" s="86">
        <v>18</v>
      </c>
      <c r="B32" s="135" t="s">
        <v>41</v>
      </c>
      <c r="C32" s="95" t="s">
        <v>33</v>
      </c>
      <c r="D32" s="89" t="s">
        <v>76</v>
      </c>
      <c r="E32" s="91" t="e">
        <f>#REF!+#REF!+#REF!+#REF!+#REF!+#REF!+'12.16'!E45+#REF!+#REF!+#REF!+#REF!+#REF!</f>
        <v>#REF!</v>
      </c>
      <c r="F32" s="104">
        <v>749.49</v>
      </c>
      <c r="G32" s="136" t="e">
        <f>#REF!+#REF!+#REF!+#REF!+#REF!+#REF!+'12.16'!G44+#REF!+#REF!+#REF!+#REF!+#REF!</f>
        <v>#REF!</v>
      </c>
      <c r="H32" s="38"/>
    </row>
    <row r="33" spans="1:12" ht="24" hidden="1" customHeight="1">
      <c r="A33" s="86">
        <v>19</v>
      </c>
      <c r="B33" s="135" t="s">
        <v>42</v>
      </c>
      <c r="C33" s="95" t="s">
        <v>33</v>
      </c>
      <c r="D33" s="89" t="s">
        <v>76</v>
      </c>
      <c r="E33" s="91" t="e">
        <f>#REF!+#REF!+#REF!+#REF!+#REF!+#REF!+'12.16'!E46+#REF!+#REF!+#REF!+#REF!+#REF!</f>
        <v>#REF!</v>
      </c>
      <c r="F33" s="104">
        <v>749.49</v>
      </c>
      <c r="G33" s="136" t="e">
        <f>#REF!+#REF!+#REF!+#REF!+#REF!+#REF!+'12.16'!G46+#REF!+#REF!+#REF!+#REF!+#REF!</f>
        <v>#REF!</v>
      </c>
      <c r="H33" s="38"/>
    </row>
    <row r="34" spans="1:12" ht="23.25" hidden="1" customHeight="1">
      <c r="A34" s="86">
        <v>20</v>
      </c>
      <c r="B34" s="135" t="s">
        <v>43</v>
      </c>
      <c r="C34" s="95" t="s">
        <v>33</v>
      </c>
      <c r="D34" s="89" t="s">
        <v>76</v>
      </c>
      <c r="E34" s="91" t="e">
        <f>#REF!+#REF!+#REF!+#REF!+#REF!+#REF!+'12.16'!E47+#REF!+#REF!+#REF!+#REF!+#REF!</f>
        <v>#REF!</v>
      </c>
      <c r="F34" s="104">
        <v>784.8</v>
      </c>
      <c r="G34" s="136" t="e">
        <f>#REF!+#REF!+#REF!+#REF!+#REF!+#REF!+'12.16'!G47+#REF!+#REF!+#REF!+#REF!+#REF!</f>
        <v>#REF!</v>
      </c>
      <c r="H34" s="38"/>
    </row>
    <row r="35" spans="1:12" ht="23.25" hidden="1" customHeight="1">
      <c r="A35" s="86">
        <v>21</v>
      </c>
      <c r="B35" s="135" t="s">
        <v>72</v>
      </c>
      <c r="C35" s="95" t="s">
        <v>33</v>
      </c>
      <c r="D35" s="89" t="s">
        <v>76</v>
      </c>
      <c r="E35" s="91" t="e">
        <f>#REF!+#REF!+#REF!+#REF!+#REF!+#REF!+'12.16'!E48+#REF!+#REF!+#REF!+#REF!+#REF!</f>
        <v>#REF!</v>
      </c>
      <c r="F35" s="104">
        <v>1599.61</v>
      </c>
      <c r="G35" s="136" t="e">
        <f>#REF!+#REF!+#REF!+#REF!+#REF!+#REF!+'12.16'!G48+#REF!+#REF!+#REF!+#REF!+#REF!</f>
        <v>#REF!</v>
      </c>
      <c r="H35" s="38"/>
    </row>
    <row r="36" spans="1:12" ht="30.75" hidden="1" customHeight="1">
      <c r="A36" s="86">
        <v>22</v>
      </c>
      <c r="B36" s="135" t="s">
        <v>44</v>
      </c>
      <c r="C36" s="95" t="s">
        <v>33</v>
      </c>
      <c r="D36" s="89" t="s">
        <v>76</v>
      </c>
      <c r="E36" s="91" t="e">
        <f>#REF!+#REF!+#REF!+#REF!+#REF!+#REF!+'12.16'!E49+#REF!+#REF!+#REF!+#REF!+#REF!</f>
        <v>#REF!</v>
      </c>
      <c r="F36" s="104">
        <v>1599.61</v>
      </c>
      <c r="G36" s="136" t="e">
        <f>#REF!+#REF!+#REF!+#REF!+#REF!+#REF!+'12.16'!G49+#REF!+#REF!+#REF!+#REF!+#REF!</f>
        <v>#REF!</v>
      </c>
      <c r="H36" s="38"/>
    </row>
    <row r="37" spans="1:12" ht="30.75" hidden="1" customHeight="1">
      <c r="A37" s="86">
        <v>23</v>
      </c>
      <c r="B37" s="135" t="s">
        <v>45</v>
      </c>
      <c r="C37" s="95" t="s">
        <v>46</v>
      </c>
      <c r="D37" s="89" t="s">
        <v>76</v>
      </c>
      <c r="E37" s="91" t="e">
        <f>#REF!+#REF!+#REF!+#REF!+#REF!+#REF!+'12.16'!E50+#REF!+#REF!+#REF!+#REF!+#REF!</f>
        <v>#REF!</v>
      </c>
      <c r="F37" s="104">
        <v>3599.1</v>
      </c>
      <c r="G37" s="136" t="e">
        <f>#REF!+#REF!+#REF!+#REF!+#REF!+#REF!+'12.16'!G50+#REF!+#REF!+#REF!+#REF!+#REF!</f>
        <v>#REF!</v>
      </c>
      <c r="H37" s="38"/>
      <c r="J37" s="29"/>
      <c r="K37" s="30"/>
      <c r="L37" s="31"/>
    </row>
    <row r="38" spans="1:12" ht="25.5" hidden="1" customHeight="1">
      <c r="A38" s="86">
        <v>24</v>
      </c>
      <c r="B38" s="135" t="s">
        <v>47</v>
      </c>
      <c r="C38" s="95" t="s">
        <v>48</v>
      </c>
      <c r="D38" s="89" t="s">
        <v>76</v>
      </c>
      <c r="E38" s="91" t="e">
        <f>#REF!+#REF!+#REF!+#REF!+#REF!+#REF!+'12.16'!E51+#REF!+#REF!+#REF!+#REF!+#REF!</f>
        <v>#REF!</v>
      </c>
      <c r="F38" s="104">
        <v>7450.14</v>
      </c>
      <c r="G38" s="136" t="e">
        <f>#REF!+#REF!+#REF!+#REF!+#REF!+#REF!+'12.16'!G51+#REF!+#REF!+#REF!+#REF!+#REF!</f>
        <v>#REF!</v>
      </c>
      <c r="H38" s="38"/>
      <c r="J38" s="29"/>
      <c r="K38" s="30"/>
      <c r="L38" s="31"/>
    </row>
    <row r="39" spans="1:12" ht="25.5" hidden="1" customHeight="1">
      <c r="A39" s="86">
        <v>25</v>
      </c>
      <c r="B39" s="137" t="s">
        <v>49</v>
      </c>
      <c r="C39" s="127" t="s">
        <v>35</v>
      </c>
      <c r="D39" s="128" t="s">
        <v>50</v>
      </c>
      <c r="E39" s="91">
        <v>32</v>
      </c>
      <c r="F39" s="104">
        <v>158.66</v>
      </c>
      <c r="G39" s="136">
        <f>E39*F39</f>
        <v>5077.12</v>
      </c>
      <c r="H39" s="38"/>
      <c r="J39" s="29"/>
      <c r="K39" s="30"/>
      <c r="L39" s="31"/>
    </row>
    <row r="40" spans="1:12" ht="16.5" hidden="1" customHeight="1">
      <c r="A40" s="86">
        <v>26</v>
      </c>
      <c r="B40" s="135" t="s">
        <v>51</v>
      </c>
      <c r="C40" s="127" t="s">
        <v>35</v>
      </c>
      <c r="D40" s="89" t="s">
        <v>52</v>
      </c>
      <c r="E40" s="91">
        <v>32</v>
      </c>
      <c r="F40" s="104">
        <v>73.84</v>
      </c>
      <c r="G40" s="136">
        <f>E40*F40</f>
        <v>2362.88</v>
      </c>
      <c r="H40" s="38"/>
      <c r="J40" s="29"/>
      <c r="K40" s="30"/>
      <c r="L40" s="31"/>
    </row>
    <row r="41" spans="1:12" ht="19.5" customHeight="1">
      <c r="A41" s="92"/>
      <c r="B41" s="293" t="s">
        <v>123</v>
      </c>
      <c r="C41" s="294"/>
      <c r="D41" s="294"/>
      <c r="E41" s="294"/>
      <c r="F41" s="294"/>
      <c r="G41" s="295"/>
      <c r="H41" s="54"/>
      <c r="J41" s="29"/>
      <c r="K41" s="30"/>
      <c r="L41" s="31"/>
    </row>
    <row r="42" spans="1:12" ht="18" customHeight="1">
      <c r="A42" s="133"/>
      <c r="B42" s="122" t="s">
        <v>53</v>
      </c>
      <c r="C42" s="95"/>
      <c r="D42" s="138"/>
      <c r="E42" s="108"/>
      <c r="F42" s="106"/>
      <c r="G42" s="136"/>
      <c r="H42" s="38"/>
      <c r="J42" s="29"/>
      <c r="K42" s="30"/>
      <c r="L42" s="31"/>
    </row>
    <row r="43" spans="1:12" ht="45.75" customHeight="1">
      <c r="A43" s="86">
        <v>12</v>
      </c>
      <c r="B43" s="135" t="s">
        <v>130</v>
      </c>
      <c r="C43" s="95" t="s">
        <v>65</v>
      </c>
      <c r="D43" s="93" t="s">
        <v>34</v>
      </c>
      <c r="E43" s="91" t="e">
        <f>#REF!+#REF!+#REF!+#REF!+#REF!+#REF!+'12.16'!#REF!+#REF!+#REF!+#REF!+#REF!+#REF!</f>
        <v>#REF!</v>
      </c>
      <c r="F43" s="104">
        <v>2306.62</v>
      </c>
      <c r="G43" s="91">
        <v>184.5</v>
      </c>
      <c r="H43" s="38"/>
      <c r="J43" s="29"/>
      <c r="K43" s="30"/>
      <c r="L43" s="31"/>
    </row>
    <row r="44" spans="1:12" ht="18" customHeight="1">
      <c r="A44" s="86">
        <v>13</v>
      </c>
      <c r="B44" s="135" t="s">
        <v>124</v>
      </c>
      <c r="C44" s="95" t="s">
        <v>36</v>
      </c>
      <c r="D44" s="93" t="s">
        <v>29</v>
      </c>
      <c r="E44" s="91"/>
      <c r="F44" s="104">
        <v>1501</v>
      </c>
      <c r="G44" s="91">
        <v>750.5</v>
      </c>
      <c r="H44" s="38"/>
      <c r="J44" s="29"/>
      <c r="K44" s="30"/>
      <c r="L44" s="31"/>
    </row>
    <row r="45" spans="1:12" ht="17.25" hidden="1" customHeight="1">
      <c r="A45" s="86"/>
      <c r="B45" s="105" t="s">
        <v>54</v>
      </c>
      <c r="C45" s="126"/>
      <c r="D45" s="126"/>
      <c r="E45" s="108"/>
      <c r="F45" s="139"/>
      <c r="G45" s="136"/>
      <c r="H45" s="38"/>
      <c r="J45" s="29"/>
      <c r="K45" s="30"/>
      <c r="L45" s="31"/>
    </row>
    <row r="46" spans="1:12" ht="15.75" hidden="1" customHeight="1">
      <c r="A46" s="86">
        <v>29</v>
      </c>
      <c r="B46" s="135" t="s">
        <v>55</v>
      </c>
      <c r="C46" s="95" t="s">
        <v>65</v>
      </c>
      <c r="D46" s="89" t="s">
        <v>66</v>
      </c>
      <c r="E46" s="108" t="e">
        <f>#REF!+#REF!+#REF!+#REF!+#REF!+#REF!+'12.16'!E72+#REF!+#REF!+#REF!+#REF!+#REF!</f>
        <v>#REF!</v>
      </c>
      <c r="F46" s="89">
        <v>1012.74</v>
      </c>
      <c r="G46" s="136" t="e">
        <f>#REF!+#REF!+#REF!+#REF!+#REF!+#REF!+'12.16'!G72+#REF!+#REF!+#REF!+#REF!+#REF!</f>
        <v>#REF!</v>
      </c>
      <c r="H46" s="38"/>
      <c r="J46" s="29"/>
      <c r="K46" s="30"/>
      <c r="L46" s="31"/>
    </row>
    <row r="47" spans="1:12" ht="16.5" customHeight="1">
      <c r="A47" s="86"/>
      <c r="B47" s="105" t="s">
        <v>56</v>
      </c>
      <c r="C47" s="95"/>
      <c r="D47" s="93"/>
      <c r="E47" s="108"/>
      <c r="F47" s="89"/>
      <c r="G47" s="136"/>
      <c r="H47" s="38"/>
      <c r="J47" s="29"/>
      <c r="K47" s="30"/>
      <c r="L47" s="31"/>
    </row>
    <row r="48" spans="1:12" ht="16.5" customHeight="1">
      <c r="A48" s="86">
        <v>14</v>
      </c>
      <c r="B48" s="135" t="s">
        <v>57</v>
      </c>
      <c r="C48" s="127" t="s">
        <v>35</v>
      </c>
      <c r="D48" s="93" t="s">
        <v>29</v>
      </c>
      <c r="E48" s="108" t="e">
        <f>#REF!+#REF!+#REF!+#REF!+#REF!+#REF!+'12.16'!E74+#REF!+#REF!+#REF!+#REF!+#REF!</f>
        <v>#REF!</v>
      </c>
      <c r="F48" s="89">
        <v>276.74</v>
      </c>
      <c r="G48" s="91">
        <v>553.48</v>
      </c>
      <c r="H48" s="38"/>
      <c r="J48" s="29"/>
      <c r="K48" s="30"/>
      <c r="L48" s="31"/>
    </row>
    <row r="49" spans="1:12" ht="35.25" customHeight="1">
      <c r="A49" s="140">
        <v>15</v>
      </c>
      <c r="B49" s="109" t="s">
        <v>125</v>
      </c>
      <c r="C49" s="127" t="s">
        <v>141</v>
      </c>
      <c r="D49" s="93" t="s">
        <v>71</v>
      </c>
      <c r="E49" s="108" t="e">
        <f>#REF!+#REF!+#REF!+#REF!+#REF!+#REF!+'12.16'!E75+#REF!+#REF!+#REF!+#REF!+#REF!</f>
        <v>#REF!</v>
      </c>
      <c r="F49" s="89">
        <v>2.16</v>
      </c>
      <c r="G49" s="91">
        <v>5506.92</v>
      </c>
      <c r="H49" s="38"/>
      <c r="J49" s="29"/>
      <c r="K49" s="30"/>
      <c r="L49" s="31"/>
    </row>
    <row r="50" spans="1:12" ht="15.75" customHeight="1">
      <c r="A50" s="140"/>
      <c r="B50" s="105" t="s">
        <v>87</v>
      </c>
      <c r="C50" s="95"/>
      <c r="D50" s="89"/>
      <c r="E50" s="108" t="e">
        <f>#REF!+#REF!+#REF!+#REF!+#REF!+#REF!+'12.16'!E76+#REF!+#REF!+#REF!+#REF!+#REF!</f>
        <v>#REF!</v>
      </c>
      <c r="F50" s="89"/>
      <c r="G50" s="136"/>
      <c r="H50" s="38"/>
      <c r="J50" s="29"/>
      <c r="K50" s="30"/>
      <c r="L50" s="31"/>
    </row>
    <row r="51" spans="1:12" ht="15" customHeight="1">
      <c r="A51" s="140">
        <v>16</v>
      </c>
      <c r="B51" s="109" t="s">
        <v>126</v>
      </c>
      <c r="C51" s="95" t="s">
        <v>67</v>
      </c>
      <c r="D51" s="93" t="s">
        <v>29</v>
      </c>
      <c r="E51" s="108" t="e">
        <f>#REF!+#REF!+#REF!+#REF!+#REF!+#REF!+'12.16'!E81+#REF!+#REF!+#REF!+#REF!+#REF!</f>
        <v>#REF!</v>
      </c>
      <c r="F51" s="89">
        <v>446.12</v>
      </c>
      <c r="G51" s="91">
        <v>446.12</v>
      </c>
      <c r="H51" s="38"/>
      <c r="J51" s="29"/>
      <c r="K51" s="30"/>
      <c r="L51" s="31"/>
    </row>
    <row r="52" spans="1:12" ht="15.75" hidden="1" customHeight="1">
      <c r="A52" s="133"/>
      <c r="B52" s="141" t="s">
        <v>68</v>
      </c>
      <c r="C52" s="142"/>
      <c r="D52" s="143"/>
      <c r="E52" s="108"/>
      <c r="F52" s="89"/>
      <c r="G52" s="136" t="e">
        <f>#REF!+#REF!+#REF!+#REF!+#REF!+#REF!+'12.16'!G82+#REF!+#REF!+#REF!+#REF!+#REF!</f>
        <v>#REF!</v>
      </c>
      <c r="H52" s="38"/>
      <c r="J52" s="29"/>
      <c r="K52" s="30"/>
      <c r="L52" s="31"/>
    </row>
    <row r="53" spans="1:12" ht="30" hidden="1" customHeight="1">
      <c r="A53" s="140">
        <v>36</v>
      </c>
      <c r="B53" s="94" t="s">
        <v>62</v>
      </c>
      <c r="C53" s="95" t="s">
        <v>69</v>
      </c>
      <c r="D53" s="89" t="s">
        <v>66</v>
      </c>
      <c r="E53" s="91" t="e">
        <f>#REF!+#REF!+#REF!+#REF!+#REF!+#REF!+'12.16'!#REF!+#REF!+#REF!+#REF!+#REF!+#REF!</f>
        <v>#REF!</v>
      </c>
      <c r="F53" s="89">
        <v>9.32</v>
      </c>
      <c r="G53" s="136" t="e">
        <f>#REF!+#REF!+#REF!+#REF!+#REF!+#REF!+'12.16'!#REF!+#REF!+#REF!+#REF!+#REF!+#REF!</f>
        <v>#REF!</v>
      </c>
      <c r="H53" s="38"/>
      <c r="J53" s="29"/>
      <c r="K53" s="30"/>
      <c r="L53" s="31"/>
    </row>
    <row r="54" spans="1:12" ht="17.25" customHeight="1">
      <c r="A54" s="140"/>
      <c r="B54" s="293" t="s">
        <v>127</v>
      </c>
      <c r="C54" s="294"/>
      <c r="D54" s="294"/>
      <c r="E54" s="294"/>
      <c r="F54" s="294"/>
      <c r="G54" s="295"/>
      <c r="H54" s="38"/>
      <c r="J54" s="29"/>
      <c r="K54" s="30"/>
      <c r="L54" s="31"/>
    </row>
    <row r="55" spans="1:12" ht="15" customHeight="1">
      <c r="A55" s="140">
        <v>17</v>
      </c>
      <c r="B55" s="149" t="s">
        <v>135</v>
      </c>
      <c r="C55" s="95" t="s">
        <v>70</v>
      </c>
      <c r="D55" s="93" t="s">
        <v>71</v>
      </c>
      <c r="E55" s="108" t="e">
        <f>#REF!+#REF!+#REF!+#REF!+#REF!+#REF!+'12.16'!E84+#REF!+#REF!+#REF!+#REF!+#REF!</f>
        <v>#REF!</v>
      </c>
      <c r="F55" s="93">
        <v>2.95</v>
      </c>
      <c r="G55" s="91">
        <v>7521.03</v>
      </c>
      <c r="H55" s="35" t="e">
        <f>G53+#REF!+#REF!+#REF!+G55</f>
        <v>#REF!</v>
      </c>
      <c r="J55" s="29">
        <f>6846.6/3934.8/12</f>
        <v>0.14500101657009251</v>
      </c>
      <c r="K55" s="30"/>
      <c r="L55" s="31"/>
    </row>
    <row r="56" spans="1:12" ht="47.25">
      <c r="A56" s="89">
        <v>18</v>
      </c>
      <c r="B56" s="109" t="s">
        <v>94</v>
      </c>
      <c r="C56" s="95" t="s">
        <v>70</v>
      </c>
      <c r="D56" s="89" t="s">
        <v>71</v>
      </c>
      <c r="E56" s="93"/>
      <c r="F56" s="103">
        <v>3.05</v>
      </c>
      <c r="G56" s="97">
        <v>7775.98</v>
      </c>
      <c r="H56" s="36" t="e">
        <f>H21+H29+H41+#REF!+H55</f>
        <v>#REF!</v>
      </c>
      <c r="J56" s="47"/>
    </row>
    <row r="57" spans="1:12" ht="15.75">
      <c r="A57" s="92"/>
      <c r="B57" s="110" t="s">
        <v>99</v>
      </c>
      <c r="C57" s="86"/>
      <c r="D57" s="93"/>
      <c r="E57" s="93"/>
      <c r="F57" s="91"/>
      <c r="G57" s="111">
        <f>SUM(G16+G17+G18+G19+G20+G23+G24+G25+G26+G27+G28+G43+G44+G48+G49+G51+G55+G56)</f>
        <v>47520.66</v>
      </c>
    </row>
    <row r="58" spans="1:12" ht="15.75">
      <c r="A58" s="49"/>
      <c r="B58" s="145" t="s">
        <v>75</v>
      </c>
      <c r="C58" s="144"/>
      <c r="D58" s="144"/>
      <c r="E58" s="93"/>
      <c r="F58" s="91"/>
      <c r="G58" s="91"/>
    </row>
    <row r="59" spans="1:12" ht="31.5" customHeight="1">
      <c r="A59" s="140">
        <v>19</v>
      </c>
      <c r="B59" s="146" t="s">
        <v>104</v>
      </c>
      <c r="C59" s="89" t="s">
        <v>35</v>
      </c>
      <c r="D59" s="144"/>
      <c r="E59" s="93"/>
      <c r="F59" s="91">
        <v>180.15</v>
      </c>
      <c r="G59" s="91">
        <v>180.15</v>
      </c>
    </row>
    <row r="60" spans="1:12" ht="30">
      <c r="A60" s="140">
        <v>20</v>
      </c>
      <c r="B60" s="146" t="s">
        <v>131</v>
      </c>
      <c r="C60" s="89" t="s">
        <v>35</v>
      </c>
      <c r="D60" s="144"/>
      <c r="E60" s="93"/>
      <c r="F60" s="91">
        <v>559.62</v>
      </c>
      <c r="G60" s="91">
        <v>559.62</v>
      </c>
    </row>
    <row r="61" spans="1:12" ht="30">
      <c r="A61" s="140">
        <v>21</v>
      </c>
      <c r="B61" s="146" t="s">
        <v>132</v>
      </c>
      <c r="C61" s="89" t="s">
        <v>101</v>
      </c>
      <c r="D61" s="144"/>
      <c r="E61" s="93"/>
      <c r="F61" s="91">
        <v>1146</v>
      </c>
      <c r="G61" s="91">
        <v>802.2</v>
      </c>
    </row>
    <row r="62" spans="1:12" ht="31.5">
      <c r="A62" s="140">
        <v>22</v>
      </c>
      <c r="B62" s="112" t="s">
        <v>98</v>
      </c>
      <c r="C62" s="89" t="s">
        <v>35</v>
      </c>
      <c r="D62" s="144"/>
      <c r="E62" s="93"/>
      <c r="F62" s="91">
        <v>79.09</v>
      </c>
      <c r="G62" s="91">
        <v>79.09</v>
      </c>
    </row>
    <row r="63" spans="1:12" ht="15.75">
      <c r="A63" s="140">
        <v>23</v>
      </c>
      <c r="B63" s="177" t="s">
        <v>136</v>
      </c>
      <c r="C63" s="150" t="s">
        <v>137</v>
      </c>
      <c r="D63" s="144"/>
      <c r="E63" s="93"/>
      <c r="F63" s="91">
        <v>1063.47</v>
      </c>
      <c r="G63" s="91">
        <v>2126.94</v>
      </c>
    </row>
    <row r="64" spans="1:12" ht="33" customHeight="1">
      <c r="A64" s="140">
        <v>24</v>
      </c>
      <c r="B64" s="112" t="s">
        <v>138</v>
      </c>
      <c r="C64" s="151" t="s">
        <v>101</v>
      </c>
      <c r="D64" s="144"/>
      <c r="E64" s="93"/>
      <c r="F64" s="91">
        <v>1206</v>
      </c>
      <c r="G64" s="91">
        <v>14472</v>
      </c>
    </row>
    <row r="65" spans="1:20" ht="31.5">
      <c r="A65" s="140">
        <v>25</v>
      </c>
      <c r="B65" s="112" t="s">
        <v>139</v>
      </c>
      <c r="C65" s="152" t="s">
        <v>140</v>
      </c>
      <c r="D65" s="144"/>
      <c r="E65" s="93"/>
      <c r="F65" s="91">
        <v>195.95</v>
      </c>
      <c r="G65" s="91">
        <v>195.95</v>
      </c>
    </row>
    <row r="66" spans="1:20" ht="15.75">
      <c r="A66" s="55"/>
      <c r="B66" s="134" t="s">
        <v>63</v>
      </c>
      <c r="C66" s="114"/>
      <c r="D66" s="115"/>
      <c r="E66" s="114">
        <v>1</v>
      </c>
      <c r="F66" s="114"/>
      <c r="G66" s="111">
        <f>SUM(G59+G60+G61+G62+G63+G64+G65)</f>
        <v>18415.95</v>
      </c>
    </row>
    <row r="67" spans="1:20" ht="15.75">
      <c r="A67" s="11"/>
      <c r="B67" s="125" t="s">
        <v>95</v>
      </c>
      <c r="C67" s="93"/>
      <c r="D67" s="93"/>
      <c r="E67" s="116"/>
      <c r="F67" s="117"/>
      <c r="G67" s="118">
        <v>0</v>
      </c>
    </row>
    <row r="68" spans="1:20" ht="15.75">
      <c r="A68" s="34"/>
      <c r="B68" s="119" t="s">
        <v>64</v>
      </c>
      <c r="C68" s="107"/>
      <c r="D68" s="107"/>
      <c r="E68" s="107"/>
      <c r="F68" s="107"/>
      <c r="G68" s="120">
        <f>G57+G66</f>
        <v>65936.61</v>
      </c>
    </row>
    <row r="69" spans="1:20" ht="18" customHeight="1">
      <c r="A69" s="292" t="s">
        <v>178</v>
      </c>
      <c r="B69" s="292"/>
      <c r="C69" s="292"/>
      <c r="D69" s="292"/>
      <c r="E69" s="292"/>
      <c r="F69" s="292"/>
      <c r="G69" s="292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12"/>
    </row>
    <row r="70" spans="1:20" ht="15.75" customHeight="1">
      <c r="A70" s="147" t="s">
        <v>6</v>
      </c>
      <c r="B70" s="296" t="s">
        <v>179</v>
      </c>
      <c r="C70" s="296"/>
      <c r="D70" s="296"/>
      <c r="E70" s="296"/>
      <c r="F70" s="296"/>
      <c r="G70" s="148"/>
      <c r="H70" s="43"/>
      <c r="I70" s="43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20">
      <c r="A71" s="45"/>
      <c r="B71" s="277" t="s">
        <v>7</v>
      </c>
      <c r="C71" s="277"/>
      <c r="D71" s="277"/>
      <c r="E71" s="277"/>
      <c r="F71" s="277"/>
      <c r="G71" s="6"/>
      <c r="H71" s="6"/>
      <c r="I71" s="6"/>
      <c r="J71" s="6"/>
      <c r="K71" s="6"/>
      <c r="L71" s="6"/>
      <c r="M71" s="6"/>
      <c r="N71" s="6"/>
      <c r="O71" s="6"/>
      <c r="P71" s="279"/>
      <c r="Q71" s="279"/>
      <c r="R71" s="279"/>
      <c r="S71" s="279"/>
    </row>
    <row r="72" spans="1:20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</row>
    <row r="73" spans="1:20" ht="15.75">
      <c r="A73" s="281" t="s">
        <v>8</v>
      </c>
      <c r="B73" s="281"/>
      <c r="C73" s="281"/>
      <c r="D73" s="281"/>
      <c r="E73" s="281"/>
      <c r="F73" s="281"/>
      <c r="G73" s="281"/>
    </row>
    <row r="74" spans="1:20" ht="15.75">
      <c r="A74" s="281" t="s">
        <v>9</v>
      </c>
      <c r="B74" s="281"/>
      <c r="C74" s="281"/>
      <c r="D74" s="281"/>
      <c r="E74" s="281"/>
      <c r="F74" s="281"/>
      <c r="G74" s="281"/>
    </row>
    <row r="75" spans="1:20" ht="15.75">
      <c r="A75" s="263" t="s">
        <v>10</v>
      </c>
      <c r="B75" s="263"/>
      <c r="C75" s="263"/>
      <c r="D75" s="263"/>
      <c r="E75" s="263"/>
      <c r="F75" s="263"/>
      <c r="G75" s="263"/>
    </row>
    <row r="76" spans="1:20" ht="15.75">
      <c r="A76" s="15"/>
    </row>
    <row r="77" spans="1:20" ht="15.75">
      <c r="A77" s="15"/>
    </row>
    <row r="78" spans="1:20" ht="15.75">
      <c r="A78" s="262" t="s">
        <v>11</v>
      </c>
      <c r="B78" s="262"/>
      <c r="C78" s="262"/>
      <c r="D78" s="262"/>
      <c r="E78" s="262"/>
      <c r="F78" s="262"/>
      <c r="G78" s="262"/>
    </row>
    <row r="79" spans="1:20" ht="15.75">
      <c r="A79" s="5"/>
    </row>
    <row r="80" spans="1:20" ht="15.75">
      <c r="A80" s="263" t="s">
        <v>12</v>
      </c>
      <c r="B80" s="263"/>
      <c r="C80" s="287" t="s">
        <v>133</v>
      </c>
      <c r="D80" s="287"/>
      <c r="E80" s="287"/>
      <c r="G80" s="40"/>
    </row>
    <row r="81" spans="1:7">
      <c r="A81" s="45"/>
      <c r="C81" s="277" t="s">
        <v>13</v>
      </c>
      <c r="D81" s="277"/>
      <c r="E81" s="277"/>
      <c r="G81" s="41" t="s">
        <v>14</v>
      </c>
    </row>
    <row r="82" spans="1:7" ht="15.75">
      <c r="A82" s="43"/>
      <c r="C82" s="16"/>
      <c r="D82" s="16"/>
      <c r="F82" s="16"/>
    </row>
    <row r="83" spans="1:7" ht="15.75">
      <c r="A83" s="263" t="s">
        <v>15</v>
      </c>
      <c r="B83" s="263"/>
      <c r="C83" s="278"/>
      <c r="D83" s="278"/>
      <c r="E83" s="278"/>
      <c r="G83" s="40"/>
    </row>
    <row r="84" spans="1:7">
      <c r="A84" s="45"/>
      <c r="C84" s="279" t="s">
        <v>13</v>
      </c>
      <c r="D84" s="279"/>
      <c r="E84" s="279"/>
      <c r="G84" s="41" t="s">
        <v>14</v>
      </c>
    </row>
    <row r="85" spans="1:7" ht="15.75">
      <c r="A85" s="5" t="s">
        <v>16</v>
      </c>
    </row>
    <row r="86" spans="1:7">
      <c r="A86" s="288" t="s">
        <v>17</v>
      </c>
      <c r="B86" s="288"/>
      <c r="C86" s="288"/>
      <c r="D86" s="288"/>
      <c r="E86" s="288"/>
      <c r="F86" s="288"/>
      <c r="G86" s="288"/>
    </row>
    <row r="87" spans="1:7" ht="45" customHeight="1">
      <c r="A87" s="289" t="s">
        <v>18</v>
      </c>
      <c r="B87" s="289"/>
      <c r="C87" s="289"/>
      <c r="D87" s="289"/>
      <c r="E87" s="289"/>
      <c r="F87" s="289"/>
      <c r="G87" s="289"/>
    </row>
    <row r="88" spans="1:7" ht="28.5" customHeight="1">
      <c r="A88" s="289" t="s">
        <v>19</v>
      </c>
      <c r="B88" s="289"/>
      <c r="C88" s="289"/>
      <c r="D88" s="289"/>
      <c r="E88" s="289"/>
      <c r="F88" s="289"/>
      <c r="G88" s="289"/>
    </row>
    <row r="89" spans="1:7" ht="27" customHeight="1">
      <c r="A89" s="289" t="s">
        <v>24</v>
      </c>
      <c r="B89" s="289"/>
      <c r="C89" s="289"/>
      <c r="D89" s="289"/>
      <c r="E89" s="289"/>
      <c r="F89" s="289"/>
      <c r="G89" s="289"/>
    </row>
    <row r="90" spans="1:7" ht="15" customHeight="1">
      <c r="A90" s="289" t="s">
        <v>23</v>
      </c>
      <c r="B90" s="289"/>
      <c r="C90" s="289"/>
      <c r="D90" s="289"/>
      <c r="E90" s="289"/>
      <c r="F90" s="289"/>
      <c r="G90" s="289"/>
    </row>
    <row r="92" spans="1:7" ht="27.75" customHeight="1">
      <c r="A92" s="17" t="s">
        <v>22</v>
      </c>
      <c r="B92" s="17"/>
      <c r="C92" s="17"/>
      <c r="D92" s="17"/>
      <c r="E92" s="17"/>
      <c r="F92" s="17"/>
    </row>
  </sheetData>
  <autoFilter ref="G13:G67"/>
  <mergeCells count="29">
    <mergeCell ref="A3:G3"/>
    <mergeCell ref="A4:G4"/>
    <mergeCell ref="B5:F5"/>
    <mergeCell ref="A8:G8"/>
    <mergeCell ref="A10:G10"/>
    <mergeCell ref="P71:S71"/>
    <mergeCell ref="A73:G73"/>
    <mergeCell ref="A74:G74"/>
    <mergeCell ref="A75:G75"/>
    <mergeCell ref="A78:G78"/>
    <mergeCell ref="B70:F70"/>
    <mergeCell ref="C81:E81"/>
    <mergeCell ref="A83:B83"/>
    <mergeCell ref="C83:E83"/>
    <mergeCell ref="C84:E84"/>
    <mergeCell ref="B71:F71"/>
    <mergeCell ref="A80:B80"/>
    <mergeCell ref="C80:E80"/>
    <mergeCell ref="A69:G69"/>
    <mergeCell ref="A15:G15"/>
    <mergeCell ref="A21:G21"/>
    <mergeCell ref="B29:G29"/>
    <mergeCell ref="B41:G41"/>
    <mergeCell ref="B54:G54"/>
    <mergeCell ref="A86:G86"/>
    <mergeCell ref="A87:G87"/>
    <mergeCell ref="A88:G88"/>
    <mergeCell ref="A89:G89"/>
    <mergeCell ref="A90:G90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T109"/>
  <sheetViews>
    <sheetView workbookViewId="0">
      <selection activeCell="A9" sqref="A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B1" s="57" t="s">
        <v>113</v>
      </c>
      <c r="G1" s="56"/>
    </row>
    <row r="2" spans="1:11" ht="15.75" customHeight="1">
      <c r="B2" s="46" t="s">
        <v>77</v>
      </c>
      <c r="H2" s="1"/>
      <c r="I2" s="1"/>
      <c r="J2" s="1"/>
      <c r="K2" s="1"/>
    </row>
    <row r="3" spans="1:11" ht="15.75" customHeight="1">
      <c r="A3" s="265" t="s">
        <v>175</v>
      </c>
      <c r="B3" s="265"/>
      <c r="C3" s="265"/>
      <c r="D3" s="265"/>
      <c r="E3" s="265"/>
      <c r="F3" s="265"/>
      <c r="G3" s="265"/>
      <c r="H3" s="2"/>
      <c r="I3" s="2"/>
      <c r="J3" s="2"/>
      <c r="K3" s="2"/>
    </row>
    <row r="4" spans="1:11" ht="33.75" customHeight="1">
      <c r="A4" s="266" t="s">
        <v>142</v>
      </c>
      <c r="B4" s="266"/>
      <c r="C4" s="266"/>
      <c r="D4" s="266"/>
      <c r="E4" s="266"/>
      <c r="F4" s="266"/>
      <c r="G4" s="266"/>
      <c r="H4" s="3"/>
      <c r="I4" s="3"/>
      <c r="J4" s="3"/>
      <c r="K4" s="3"/>
    </row>
    <row r="5" spans="1:11" ht="15.75" customHeight="1">
      <c r="A5" s="267" t="s">
        <v>143</v>
      </c>
      <c r="B5" s="268"/>
      <c r="C5" s="268"/>
      <c r="D5" s="268"/>
      <c r="E5" s="268"/>
      <c r="F5" s="268"/>
      <c r="G5" s="268"/>
      <c r="H5" s="4"/>
      <c r="I5" s="4"/>
      <c r="J5" s="4"/>
    </row>
    <row r="6" spans="1:11" ht="15.75" customHeight="1">
      <c r="A6" s="3"/>
      <c r="B6" s="154"/>
      <c r="C6" s="154"/>
      <c r="D6" s="154"/>
      <c r="E6" s="154"/>
      <c r="F6" s="154"/>
      <c r="G6" s="58">
        <v>42735</v>
      </c>
    </row>
    <row r="7" spans="1:11" ht="15.75">
      <c r="B7" s="156"/>
      <c r="C7" s="156"/>
      <c r="D7" s="156"/>
      <c r="E7" s="4"/>
      <c r="F7" s="4"/>
      <c r="H7" s="3"/>
      <c r="I7" s="3"/>
      <c r="J7" s="3"/>
      <c r="K7" s="3"/>
    </row>
    <row r="8" spans="1:11" ht="78.75" customHeight="1">
      <c r="A8" s="269" t="s">
        <v>273</v>
      </c>
      <c r="B8" s="269"/>
      <c r="C8" s="269"/>
      <c r="D8" s="269"/>
      <c r="E8" s="269"/>
      <c r="F8" s="269"/>
      <c r="G8" s="269"/>
      <c r="H8" s="3"/>
      <c r="I8" s="3"/>
      <c r="J8" s="3"/>
      <c r="K8" s="3"/>
    </row>
    <row r="9" spans="1:11" ht="15.75">
      <c r="A9" s="5"/>
      <c r="H9" s="4"/>
      <c r="I9" s="4"/>
      <c r="J9" s="4"/>
      <c r="K9" s="4"/>
    </row>
    <row r="10" spans="1:11" ht="47.25" customHeight="1">
      <c r="A10" s="270" t="s">
        <v>144</v>
      </c>
      <c r="B10" s="270"/>
      <c r="C10" s="270"/>
      <c r="D10" s="270"/>
      <c r="E10" s="270"/>
      <c r="F10" s="270"/>
      <c r="G10" s="270"/>
      <c r="H10" s="6"/>
      <c r="I10" s="6"/>
      <c r="J10" s="6"/>
      <c r="K10" s="6"/>
    </row>
    <row r="11" spans="1:11" ht="15.75" customHeight="1">
      <c r="A11" s="5"/>
      <c r="H11" s="3"/>
      <c r="I11" s="3"/>
      <c r="J11" s="3"/>
      <c r="K11" s="3"/>
    </row>
    <row r="12" spans="1:11" ht="51">
      <c r="A12" s="7" t="s">
        <v>0</v>
      </c>
      <c r="B12" s="7" t="s">
        <v>1</v>
      </c>
      <c r="C12" s="7" t="s">
        <v>2</v>
      </c>
      <c r="D12" s="7" t="s">
        <v>20</v>
      </c>
      <c r="E12" s="7" t="s">
        <v>21</v>
      </c>
      <c r="F12" s="7" t="s">
        <v>25</v>
      </c>
      <c r="G12" s="7" t="s">
        <v>3</v>
      </c>
      <c r="H12" s="4"/>
    </row>
    <row r="13" spans="1:11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>
        <v>5</v>
      </c>
      <c r="G13" s="8">
        <v>6</v>
      </c>
    </row>
    <row r="14" spans="1:11">
      <c r="A14" s="271" t="s">
        <v>4</v>
      </c>
      <c r="B14" s="272"/>
      <c r="C14" s="272"/>
      <c r="D14" s="272"/>
      <c r="E14" s="272"/>
      <c r="F14" s="272"/>
      <c r="G14" s="273"/>
    </row>
    <row r="15" spans="1:11">
      <c r="A15" s="51">
        <v>1</v>
      </c>
      <c r="B15" s="61" t="s">
        <v>117</v>
      </c>
      <c r="C15" s="74" t="s">
        <v>145</v>
      </c>
      <c r="D15" s="61" t="s">
        <v>146</v>
      </c>
      <c r="E15" s="51"/>
      <c r="F15" s="60">
        <v>218.21</v>
      </c>
      <c r="G15" s="165">
        <v>2011.24</v>
      </c>
      <c r="H15" s="10"/>
      <c r="I15" s="10"/>
      <c r="J15" s="10"/>
      <c r="K15" s="10"/>
    </row>
    <row r="16" spans="1:11" ht="15" customHeight="1">
      <c r="A16" s="51">
        <v>2</v>
      </c>
      <c r="B16" s="61" t="s">
        <v>118</v>
      </c>
      <c r="C16" s="74" t="s">
        <v>145</v>
      </c>
      <c r="D16" s="61" t="s">
        <v>147</v>
      </c>
      <c r="E16" s="51"/>
      <c r="F16" s="60">
        <v>218.21</v>
      </c>
      <c r="G16" s="165">
        <v>4022.48</v>
      </c>
      <c r="H16" s="10"/>
      <c r="I16" s="10"/>
      <c r="J16" s="10"/>
      <c r="K16" s="10"/>
    </row>
    <row r="17" spans="1:11">
      <c r="A17" s="51">
        <v>3</v>
      </c>
      <c r="B17" s="61" t="s">
        <v>119</v>
      </c>
      <c r="C17" s="74" t="s">
        <v>145</v>
      </c>
      <c r="D17" s="61" t="s">
        <v>148</v>
      </c>
      <c r="E17" s="51"/>
      <c r="F17" s="60">
        <v>627.77</v>
      </c>
      <c r="G17" s="165">
        <v>3560.71</v>
      </c>
      <c r="H17" s="10"/>
      <c r="I17" s="10"/>
      <c r="J17" s="10"/>
      <c r="K17" s="10"/>
    </row>
    <row r="18" spans="1:11" hidden="1">
      <c r="A18" s="51"/>
      <c r="B18" s="61" t="s">
        <v>149</v>
      </c>
      <c r="C18" s="74" t="s">
        <v>150</v>
      </c>
      <c r="D18" s="61" t="s">
        <v>151</v>
      </c>
      <c r="E18" s="51"/>
      <c r="F18" s="60">
        <v>211.74</v>
      </c>
      <c r="G18" s="165">
        <v>0</v>
      </c>
      <c r="H18" s="10"/>
      <c r="I18" s="10"/>
      <c r="J18" s="10"/>
      <c r="K18" s="10"/>
    </row>
    <row r="19" spans="1:11" hidden="1">
      <c r="A19" s="51"/>
      <c r="B19" s="61" t="s">
        <v>152</v>
      </c>
      <c r="C19" s="74" t="s">
        <v>145</v>
      </c>
      <c r="D19" s="61" t="s">
        <v>52</v>
      </c>
      <c r="E19" s="51"/>
      <c r="F19" s="60">
        <v>271.12</v>
      </c>
      <c r="G19" s="165">
        <v>0</v>
      </c>
      <c r="H19" s="10"/>
      <c r="I19" s="10"/>
      <c r="J19" s="10"/>
      <c r="K19" s="10"/>
    </row>
    <row r="20" spans="1:11" hidden="1">
      <c r="A20" s="51"/>
      <c r="B20" s="61" t="s">
        <v>153</v>
      </c>
      <c r="C20" s="74" t="s">
        <v>145</v>
      </c>
      <c r="D20" s="61" t="s">
        <v>52</v>
      </c>
      <c r="E20" s="51"/>
      <c r="F20" s="60">
        <v>268.92</v>
      </c>
      <c r="G20" s="165">
        <v>0</v>
      </c>
      <c r="H20" s="10"/>
      <c r="I20" s="10"/>
      <c r="J20" s="10"/>
      <c r="K20" s="10"/>
    </row>
    <row r="21" spans="1:11" hidden="1">
      <c r="A21" s="51"/>
      <c r="B21" s="61" t="s">
        <v>154</v>
      </c>
      <c r="C21" s="74" t="s">
        <v>65</v>
      </c>
      <c r="D21" s="61" t="s">
        <v>151</v>
      </c>
      <c r="E21" s="51"/>
      <c r="F21" s="60">
        <v>335.05</v>
      </c>
      <c r="G21" s="165">
        <v>0</v>
      </c>
      <c r="H21" s="10"/>
      <c r="I21" s="10"/>
      <c r="J21" s="10"/>
      <c r="K21" s="10"/>
    </row>
    <row r="22" spans="1:11" hidden="1">
      <c r="A22" s="51"/>
      <c r="B22" s="61" t="s">
        <v>155</v>
      </c>
      <c r="C22" s="74" t="s">
        <v>65</v>
      </c>
      <c r="D22" s="61" t="s">
        <v>151</v>
      </c>
      <c r="E22" s="51"/>
      <c r="F22" s="60">
        <v>55.1</v>
      </c>
      <c r="G22" s="165">
        <v>0</v>
      </c>
      <c r="H22" s="10"/>
      <c r="I22" s="10"/>
      <c r="J22" s="10"/>
      <c r="K22" s="10"/>
    </row>
    <row r="23" spans="1:11" hidden="1">
      <c r="A23" s="51"/>
      <c r="B23" s="61" t="s">
        <v>156</v>
      </c>
      <c r="C23" s="74" t="s">
        <v>65</v>
      </c>
      <c r="D23" s="166" t="s">
        <v>151</v>
      </c>
      <c r="E23" s="51"/>
      <c r="F23" s="60">
        <v>484.94</v>
      </c>
      <c r="G23" s="165">
        <v>0</v>
      </c>
      <c r="H23" s="10"/>
      <c r="I23" s="10"/>
      <c r="J23" s="10"/>
      <c r="K23" s="10"/>
    </row>
    <row r="24" spans="1:11" hidden="1">
      <c r="A24" s="51"/>
      <c r="B24" s="61" t="s">
        <v>157</v>
      </c>
      <c r="C24" s="74" t="s">
        <v>65</v>
      </c>
      <c r="D24" s="61" t="s">
        <v>151</v>
      </c>
      <c r="E24" s="51"/>
      <c r="F24" s="60">
        <v>684.05</v>
      </c>
      <c r="G24" s="165">
        <v>0</v>
      </c>
      <c r="H24" s="10"/>
      <c r="I24" s="10"/>
      <c r="J24" s="10"/>
      <c r="K24" s="10"/>
    </row>
    <row r="25" spans="1:11">
      <c r="A25" s="51">
        <v>4</v>
      </c>
      <c r="B25" s="18" t="s">
        <v>26</v>
      </c>
      <c r="C25" s="19" t="s">
        <v>27</v>
      </c>
      <c r="D25" s="23" t="s">
        <v>28</v>
      </c>
      <c r="E25" s="20" t="e">
        <f>#REF!+#REF!+#REF!+#REF!+#REF!+#REF!+'12.16'!E13+#REF!+#REF!+#REF!+#REF!+#REF!</f>
        <v>#REF!</v>
      </c>
      <c r="F25" s="22">
        <v>4.24</v>
      </c>
      <c r="G25" s="27">
        <v>10809.88</v>
      </c>
      <c r="H25" s="10"/>
      <c r="I25" s="10"/>
      <c r="J25" s="10"/>
      <c r="K25" s="10"/>
    </row>
    <row r="26" spans="1:11" ht="15" customHeight="1">
      <c r="A26" s="51">
        <v>5</v>
      </c>
      <c r="B26" s="61" t="s">
        <v>79</v>
      </c>
      <c r="C26" s="74" t="s">
        <v>37</v>
      </c>
      <c r="D26" s="61" t="s">
        <v>110</v>
      </c>
      <c r="E26" s="21">
        <v>0</v>
      </c>
      <c r="F26" s="60">
        <v>182.96</v>
      </c>
      <c r="G26" s="21">
        <v>278.25</v>
      </c>
      <c r="H26" s="37"/>
      <c r="I26" s="10"/>
      <c r="J26" s="10"/>
      <c r="K26" s="10"/>
    </row>
    <row r="27" spans="1:11" ht="15" customHeight="1">
      <c r="A27" s="271" t="s">
        <v>111</v>
      </c>
      <c r="B27" s="272"/>
      <c r="C27" s="272"/>
      <c r="D27" s="272"/>
      <c r="E27" s="272"/>
      <c r="F27" s="272"/>
      <c r="G27" s="273"/>
      <c r="H27" s="37"/>
      <c r="I27" s="10"/>
      <c r="J27" s="10"/>
      <c r="K27" s="10"/>
    </row>
    <row r="28" spans="1:11" ht="16.5" customHeight="1">
      <c r="A28" s="75"/>
      <c r="B28" s="83" t="s">
        <v>5</v>
      </c>
      <c r="C28" s="75"/>
      <c r="D28" s="75"/>
      <c r="E28" s="20"/>
      <c r="F28" s="22"/>
      <c r="G28" s="167"/>
      <c r="H28" s="37"/>
      <c r="I28" s="10"/>
      <c r="J28" s="10"/>
      <c r="K28" s="10"/>
    </row>
    <row r="29" spans="1:11" ht="15.75" customHeight="1">
      <c r="A29" s="62">
        <v>6</v>
      </c>
      <c r="B29" s="23" t="s">
        <v>30</v>
      </c>
      <c r="C29" s="25" t="s">
        <v>36</v>
      </c>
      <c r="D29" s="23" t="s">
        <v>81</v>
      </c>
      <c r="E29" s="20" t="e">
        <f>#REF!+#REF!+#REF!+#REF!+#REF!+#REF!+'12.16'!E35+#REF!+#REF!+#REF!+#REF!+#REF!</f>
        <v>#REF!</v>
      </c>
      <c r="F29" s="60">
        <v>1900.37</v>
      </c>
      <c r="G29" s="27">
        <v>633.46</v>
      </c>
      <c r="H29" s="37"/>
      <c r="I29" s="10"/>
      <c r="J29" s="10"/>
      <c r="K29" s="10"/>
    </row>
    <row r="30" spans="1:11" ht="15.75" customHeight="1">
      <c r="A30" s="62">
        <v>7</v>
      </c>
      <c r="B30" s="23" t="s">
        <v>82</v>
      </c>
      <c r="C30" s="25" t="s">
        <v>33</v>
      </c>
      <c r="D30" s="51" t="s">
        <v>134</v>
      </c>
      <c r="E30" s="20" t="e">
        <f>#REF!+#REF!+#REF!+#REF!+#REF!+#REF!+'12.16'!E36+#REF!+#REF!+#REF!+#REF!+#REF!</f>
        <v>#REF!</v>
      </c>
      <c r="F30" s="60">
        <v>2616.4899999999998</v>
      </c>
      <c r="G30" s="27">
        <v>681.33</v>
      </c>
      <c r="H30" s="37"/>
      <c r="I30" s="10"/>
      <c r="J30" s="10"/>
      <c r="K30" s="10"/>
    </row>
    <row r="31" spans="1:11" ht="47.25" customHeight="1">
      <c r="A31" s="62">
        <v>8</v>
      </c>
      <c r="B31" s="61" t="s">
        <v>106</v>
      </c>
      <c r="C31" s="25" t="s">
        <v>33</v>
      </c>
      <c r="D31" s="51" t="s">
        <v>134</v>
      </c>
      <c r="E31" s="20" t="e">
        <f>#REF!+#REF!+#REF!+#REF!+#REF!+#REF!+'12.16'!E39+#REF!+#REF!+#REF!+#REF!+#REF!</f>
        <v>#REF!</v>
      </c>
      <c r="F31" s="60">
        <v>7221.21</v>
      </c>
      <c r="G31" s="27">
        <v>1880.4</v>
      </c>
      <c r="H31" s="37"/>
      <c r="I31" s="10"/>
      <c r="J31" s="10"/>
      <c r="K31" s="10"/>
    </row>
    <row r="32" spans="1:11" ht="31.5" customHeight="1">
      <c r="A32" s="62">
        <v>9</v>
      </c>
      <c r="B32" s="23" t="s">
        <v>158</v>
      </c>
      <c r="C32" s="25" t="s">
        <v>33</v>
      </c>
      <c r="D32" s="51" t="s">
        <v>112</v>
      </c>
      <c r="E32" s="20" t="e">
        <f>#REF!+#REF!+#REF!+#REF!+#REF!+#REF!+'12.16'!#REF!+#REF!+#REF!+#REF!+#REF!+#REF!</f>
        <v>#REF!</v>
      </c>
      <c r="F32" s="60">
        <v>436.45</v>
      </c>
      <c r="G32" s="27">
        <v>734</v>
      </c>
      <c r="H32" s="37"/>
      <c r="I32" s="10"/>
      <c r="J32" s="10"/>
      <c r="K32" s="10"/>
    </row>
    <row r="33" spans="1:11" ht="15" customHeight="1">
      <c r="A33" s="62">
        <v>10</v>
      </c>
      <c r="B33" s="23" t="s">
        <v>129</v>
      </c>
      <c r="C33" s="25" t="s">
        <v>33</v>
      </c>
      <c r="D33" s="51" t="s">
        <v>109</v>
      </c>
      <c r="E33" s="27" t="e">
        <f>#REF!+#REF!+#REF!+#REF!+#REF!+#REF!+'12.16'!E37+#REF!+#REF!+#REF!+#REF!+#REF!</f>
        <v>#REF!</v>
      </c>
      <c r="F33" s="60">
        <v>533.45000000000005</v>
      </c>
      <c r="G33" s="27">
        <v>104.18</v>
      </c>
      <c r="H33" s="37"/>
      <c r="I33" s="10"/>
      <c r="J33" s="10"/>
      <c r="K33" s="10"/>
    </row>
    <row r="34" spans="1:11">
      <c r="A34" s="62">
        <v>11</v>
      </c>
      <c r="B34" s="160" t="s">
        <v>31</v>
      </c>
      <c r="C34" s="19" t="s">
        <v>37</v>
      </c>
      <c r="D34" s="160"/>
      <c r="E34" s="20" t="e">
        <f>#REF!+#REF!+#REF!+#REF!+#REF!+#REF!+'12.16'!E38+#REF!+#REF!+#REF!+#REF!+#REF!</f>
        <v>#REF!</v>
      </c>
      <c r="F34" s="63">
        <v>992.97</v>
      </c>
      <c r="G34" s="27">
        <v>66.2</v>
      </c>
      <c r="H34" s="37"/>
      <c r="I34" s="10"/>
      <c r="J34" s="10"/>
      <c r="K34" s="10"/>
    </row>
    <row r="35" spans="1:11" ht="16.5" customHeight="1">
      <c r="A35" s="168"/>
      <c r="B35" s="271" t="s">
        <v>122</v>
      </c>
      <c r="C35" s="272"/>
      <c r="D35" s="272"/>
      <c r="E35" s="272"/>
      <c r="F35" s="272"/>
      <c r="G35" s="273"/>
      <c r="H35" s="37"/>
      <c r="I35" s="10"/>
      <c r="J35" s="10"/>
      <c r="K35" s="10"/>
    </row>
    <row r="36" spans="1:11" ht="31.5" hidden="1" customHeight="1">
      <c r="A36" s="75">
        <v>16</v>
      </c>
      <c r="B36" s="23" t="s">
        <v>38</v>
      </c>
      <c r="C36" s="25" t="s">
        <v>33</v>
      </c>
      <c r="D36" s="23" t="s">
        <v>76</v>
      </c>
      <c r="E36" s="27" t="e">
        <f>#REF!+#REF!+#REF!+#REF!+#REF!+#REF!+'12.16'!E43+#REF!+#REF!+#REF!+#REF!+#REF!</f>
        <v>#REF!</v>
      </c>
      <c r="F36" s="66">
        <v>1283.46</v>
      </c>
      <c r="G36" s="27">
        <v>0</v>
      </c>
      <c r="H36" s="37"/>
      <c r="I36" s="10"/>
      <c r="J36" s="10"/>
      <c r="K36" s="10"/>
    </row>
    <row r="37" spans="1:11" ht="31.5" hidden="1" customHeight="1">
      <c r="A37" s="75">
        <v>19</v>
      </c>
      <c r="B37" s="23" t="s">
        <v>42</v>
      </c>
      <c r="C37" s="25" t="s">
        <v>33</v>
      </c>
      <c r="D37" s="23" t="s">
        <v>76</v>
      </c>
      <c r="E37" s="27" t="e">
        <f>#REF!+#REF!+#REF!+#REF!+#REF!+#REF!+'12.16'!E46+#REF!+#REF!+#REF!+#REF!+#REF!</f>
        <v>#REF!</v>
      </c>
      <c r="F37" s="66">
        <v>1712.28</v>
      </c>
      <c r="G37" s="27">
        <v>0</v>
      </c>
      <c r="H37" s="37"/>
      <c r="I37" s="10"/>
      <c r="J37" s="10"/>
      <c r="K37" s="10"/>
    </row>
    <row r="38" spans="1:11" ht="31.5" hidden="1" customHeight="1">
      <c r="A38" s="75">
        <v>20</v>
      </c>
      <c r="B38" s="23" t="s">
        <v>43</v>
      </c>
      <c r="C38" s="25" t="s">
        <v>33</v>
      </c>
      <c r="D38" s="23" t="s">
        <v>76</v>
      </c>
      <c r="E38" s="27" t="e">
        <f>#REF!+#REF!+#REF!+#REF!+#REF!+#REF!+'12.16'!E47+#REF!+#REF!+#REF!+#REF!+#REF!</f>
        <v>#REF!</v>
      </c>
      <c r="F38" s="66">
        <v>1179.73</v>
      </c>
      <c r="G38" s="27">
        <v>0</v>
      </c>
      <c r="H38" s="37"/>
      <c r="I38" s="10"/>
      <c r="J38" s="10"/>
      <c r="K38" s="10"/>
    </row>
    <row r="39" spans="1:11" ht="31.5" hidden="1" customHeight="1">
      <c r="A39" s="75">
        <v>17</v>
      </c>
      <c r="B39" s="23" t="s">
        <v>39</v>
      </c>
      <c r="C39" s="25" t="s">
        <v>40</v>
      </c>
      <c r="D39" s="23" t="s">
        <v>76</v>
      </c>
      <c r="E39" s="27" t="e">
        <f>#REF!+#REF!+#REF!+#REF!+#REF!+#REF!+'12.16'!E44+#REF!+#REF!+#REF!+#REF!+#REF!</f>
        <v>#REF!</v>
      </c>
      <c r="F39" s="21">
        <v>90.61</v>
      </c>
      <c r="G39" s="27">
        <v>0</v>
      </c>
      <c r="H39" s="37"/>
      <c r="I39" s="10"/>
      <c r="J39" s="10"/>
      <c r="K39" s="10"/>
    </row>
    <row r="40" spans="1:11" ht="31.5" customHeight="1">
      <c r="A40" s="75">
        <v>12</v>
      </c>
      <c r="B40" s="23" t="s">
        <v>72</v>
      </c>
      <c r="C40" s="25" t="s">
        <v>33</v>
      </c>
      <c r="D40" s="23" t="s">
        <v>76</v>
      </c>
      <c r="E40" s="27" t="e">
        <f>#REF!+#REF!+#REF!+#REF!+#REF!+#REF!+'12.16'!E48+#REF!+#REF!+#REF!+#REF!+#REF!</f>
        <v>#REF!</v>
      </c>
      <c r="F40" s="66">
        <v>1711.28</v>
      </c>
      <c r="G40" s="27">
        <v>4362.91</v>
      </c>
      <c r="H40" s="37"/>
      <c r="I40" s="10"/>
      <c r="J40" s="10"/>
      <c r="K40" s="10"/>
    </row>
    <row r="41" spans="1:11" ht="31.5" hidden="1" customHeight="1">
      <c r="A41" s="75">
        <v>22</v>
      </c>
      <c r="B41" s="23" t="s">
        <v>44</v>
      </c>
      <c r="C41" s="25" t="s">
        <v>33</v>
      </c>
      <c r="D41" s="23" t="s">
        <v>76</v>
      </c>
      <c r="E41" s="27" t="e">
        <f>#REF!+#REF!+#REF!+#REF!+#REF!+#REF!+'12.16'!E49+#REF!+#REF!+#REF!+#REF!+#REF!</f>
        <v>#REF!</v>
      </c>
      <c r="F41" s="66">
        <v>1510.06</v>
      </c>
      <c r="G41" s="27">
        <v>0</v>
      </c>
      <c r="H41" s="37"/>
      <c r="I41" s="10"/>
      <c r="J41" s="10"/>
      <c r="K41" s="10"/>
    </row>
    <row r="42" spans="1:11" ht="31.5" hidden="1" customHeight="1">
      <c r="A42" s="75">
        <v>23</v>
      </c>
      <c r="B42" s="23" t="s">
        <v>45</v>
      </c>
      <c r="C42" s="25" t="s">
        <v>46</v>
      </c>
      <c r="D42" s="23" t="s">
        <v>76</v>
      </c>
      <c r="E42" s="27" t="e">
        <f>#REF!+#REF!+#REF!+#REF!+#REF!+#REF!+'12.16'!E50+#REF!+#REF!+#REF!+#REF!+#REF!</f>
        <v>#REF!</v>
      </c>
      <c r="F42" s="66">
        <v>3850.4</v>
      </c>
      <c r="G42" s="27">
        <v>0</v>
      </c>
      <c r="H42" s="37"/>
      <c r="I42" s="10"/>
    </row>
    <row r="43" spans="1:11" ht="31.5" hidden="1" customHeight="1">
      <c r="A43" s="75">
        <v>24</v>
      </c>
      <c r="B43" s="23" t="s">
        <v>47</v>
      </c>
      <c r="C43" s="25" t="s">
        <v>48</v>
      </c>
      <c r="D43" s="23" t="s">
        <v>76</v>
      </c>
      <c r="E43" s="27" t="e">
        <f>#REF!+#REF!+#REF!+#REF!+#REF!+#REF!+'12.16'!E51+#REF!+#REF!+#REF!+#REF!+#REF!</f>
        <v>#REF!</v>
      </c>
      <c r="F43" s="66">
        <v>7033.13</v>
      </c>
      <c r="G43" s="27">
        <v>0</v>
      </c>
      <c r="H43" s="38"/>
    </row>
    <row r="44" spans="1:11" ht="15.75" hidden="1" customHeight="1">
      <c r="A44" s="75">
        <v>25</v>
      </c>
      <c r="B44" s="32" t="s">
        <v>49</v>
      </c>
      <c r="C44" s="33" t="s">
        <v>35</v>
      </c>
      <c r="D44" s="32" t="s">
        <v>50</v>
      </c>
      <c r="E44" s="27">
        <v>32</v>
      </c>
      <c r="F44" s="66">
        <v>175.6</v>
      </c>
      <c r="G44" s="27">
        <v>0</v>
      </c>
      <c r="H44" s="38"/>
    </row>
    <row r="45" spans="1:11" ht="15.75" hidden="1" customHeight="1">
      <c r="A45" s="75">
        <v>26</v>
      </c>
      <c r="B45" s="23" t="s">
        <v>51</v>
      </c>
      <c r="C45" s="33" t="s">
        <v>35</v>
      </c>
      <c r="D45" s="23" t="s">
        <v>52</v>
      </c>
      <c r="E45" s="27">
        <v>32</v>
      </c>
      <c r="F45" s="67">
        <v>81.73</v>
      </c>
      <c r="G45" s="27">
        <v>0</v>
      </c>
      <c r="H45" s="38"/>
    </row>
    <row r="46" spans="1:11" ht="15.75" customHeight="1">
      <c r="A46" s="129"/>
      <c r="B46" s="271" t="s">
        <v>123</v>
      </c>
      <c r="C46" s="272"/>
      <c r="D46" s="272"/>
      <c r="E46" s="272"/>
      <c r="F46" s="272"/>
      <c r="G46" s="273"/>
      <c r="H46" s="38"/>
    </row>
    <row r="47" spans="1:11" ht="15.75" customHeight="1">
      <c r="A47" s="168"/>
      <c r="B47" s="82" t="s">
        <v>53</v>
      </c>
      <c r="C47" s="25"/>
      <c r="D47" s="169"/>
      <c r="E47" s="20"/>
      <c r="F47" s="51"/>
      <c r="G47" s="167"/>
      <c r="H47" s="38"/>
    </row>
    <row r="48" spans="1:11" ht="47.25" customHeight="1">
      <c r="A48" s="75">
        <v>13</v>
      </c>
      <c r="B48" s="23" t="s">
        <v>130</v>
      </c>
      <c r="C48" s="25" t="s">
        <v>65</v>
      </c>
      <c r="D48" s="170" t="s">
        <v>34</v>
      </c>
      <c r="E48" s="27" t="e">
        <f>#REF!+#REF!+#REF!+#REF!+#REF!+#REF!+'12.16'!#REF!+#REF!+#REF!+#REF!+#REF!+#REF!</f>
        <v>#REF!</v>
      </c>
      <c r="F48" s="28">
        <v>2306.62</v>
      </c>
      <c r="G48" s="27">
        <v>184.53</v>
      </c>
      <c r="H48" s="38"/>
    </row>
    <row r="49" spans="1:12" ht="15.75" customHeight="1">
      <c r="A49" s="75">
        <v>14</v>
      </c>
      <c r="B49" s="23" t="s">
        <v>124</v>
      </c>
      <c r="C49" s="25" t="s">
        <v>36</v>
      </c>
      <c r="D49" s="23" t="s">
        <v>81</v>
      </c>
      <c r="E49" s="27"/>
      <c r="F49" s="28">
        <v>1501</v>
      </c>
      <c r="G49" s="27">
        <v>3002</v>
      </c>
      <c r="H49" s="38"/>
    </row>
    <row r="50" spans="1:12" ht="15.75" hidden="1" customHeight="1">
      <c r="A50" s="75"/>
      <c r="B50" s="159" t="s">
        <v>54</v>
      </c>
      <c r="C50" s="64"/>
      <c r="D50" s="64"/>
      <c r="E50" s="20"/>
      <c r="F50" s="65"/>
      <c r="G50" s="167"/>
      <c r="H50" s="38"/>
      <c r="J50" s="29"/>
      <c r="K50" s="30"/>
      <c r="L50" s="31"/>
    </row>
    <row r="51" spans="1:12" ht="15.75" hidden="1" customHeight="1">
      <c r="A51" s="75">
        <v>29</v>
      </c>
      <c r="B51" s="23" t="s">
        <v>55</v>
      </c>
      <c r="C51" s="25" t="s">
        <v>65</v>
      </c>
      <c r="D51" s="23" t="s">
        <v>66</v>
      </c>
      <c r="E51" s="20" t="e">
        <f>#REF!+#REF!+#REF!+#REF!+#REF!+#REF!+'12.16'!E72+#REF!+#REF!+#REF!+#REF!+#REF!</f>
        <v>#REF!</v>
      </c>
      <c r="F51" s="66">
        <v>987.51</v>
      </c>
      <c r="G51" s="27">
        <v>0</v>
      </c>
      <c r="H51" s="38"/>
      <c r="J51" s="29"/>
      <c r="K51" s="30"/>
      <c r="L51" s="31"/>
    </row>
    <row r="52" spans="1:12" ht="15.75" customHeight="1">
      <c r="A52" s="75"/>
      <c r="B52" s="159" t="s">
        <v>56</v>
      </c>
      <c r="C52" s="25"/>
      <c r="D52" s="170"/>
      <c r="E52" s="20"/>
      <c r="F52" s="51"/>
      <c r="G52" s="167"/>
      <c r="H52" s="38"/>
      <c r="J52" s="29"/>
      <c r="K52" s="30"/>
      <c r="L52" s="31"/>
    </row>
    <row r="53" spans="1:12" ht="15.75" hidden="1" customHeight="1">
      <c r="A53" s="75">
        <v>14</v>
      </c>
      <c r="B53" s="171" t="s">
        <v>57</v>
      </c>
      <c r="C53" s="70" t="s">
        <v>159</v>
      </c>
      <c r="D53" s="23" t="s">
        <v>81</v>
      </c>
      <c r="E53" s="20" t="e">
        <f>#REF!+#REF!+#REF!+#REF!+#REF!+#REF!+'12.16'!E74+#REF!+#REF!+#REF!+#REF!+#REF!</f>
        <v>#REF!</v>
      </c>
      <c r="F53" s="66">
        <v>276.74</v>
      </c>
      <c r="G53" s="27">
        <v>0</v>
      </c>
      <c r="H53" s="38"/>
      <c r="J53" s="29"/>
      <c r="K53" s="30"/>
      <c r="L53" s="31"/>
    </row>
    <row r="54" spans="1:12" ht="15.75" hidden="1" customHeight="1">
      <c r="A54" s="172"/>
      <c r="B54" s="171" t="s">
        <v>58</v>
      </c>
      <c r="C54" s="70" t="s">
        <v>159</v>
      </c>
      <c r="D54" s="23" t="s">
        <v>81</v>
      </c>
      <c r="E54" s="20"/>
      <c r="F54" s="66">
        <v>94.89</v>
      </c>
      <c r="G54" s="27">
        <v>0</v>
      </c>
      <c r="H54" s="38"/>
      <c r="J54" s="29"/>
      <c r="K54" s="30"/>
      <c r="L54" s="31"/>
    </row>
    <row r="55" spans="1:12" ht="15.75" hidden="1" customHeight="1">
      <c r="A55" s="172"/>
      <c r="B55" s="171" t="s">
        <v>59</v>
      </c>
      <c r="C55" s="72" t="s">
        <v>160</v>
      </c>
      <c r="D55" s="69" t="s">
        <v>66</v>
      </c>
      <c r="E55" s="20"/>
      <c r="F55" s="66">
        <v>263.99</v>
      </c>
      <c r="G55" s="27">
        <v>0</v>
      </c>
      <c r="H55" s="38"/>
      <c r="J55" s="29"/>
      <c r="K55" s="30"/>
      <c r="L55" s="31"/>
    </row>
    <row r="56" spans="1:12" ht="15.75" hidden="1" customHeight="1">
      <c r="A56" s="172"/>
      <c r="B56" s="171" t="s">
        <v>60</v>
      </c>
      <c r="C56" s="70" t="s">
        <v>161</v>
      </c>
      <c r="D56" s="69"/>
      <c r="E56" s="20"/>
      <c r="F56" s="66">
        <v>205.57</v>
      </c>
      <c r="G56" s="27">
        <v>0</v>
      </c>
      <c r="H56" s="38"/>
      <c r="J56" s="29"/>
      <c r="K56" s="30"/>
      <c r="L56" s="31"/>
    </row>
    <row r="57" spans="1:12" ht="15.75" hidden="1" customHeight="1">
      <c r="A57" s="172"/>
      <c r="B57" s="171" t="s">
        <v>61</v>
      </c>
      <c r="C57" s="70" t="s">
        <v>93</v>
      </c>
      <c r="D57" s="69" t="s">
        <v>66</v>
      </c>
      <c r="E57" s="20"/>
      <c r="F57" s="66">
        <v>2581.5300000000002</v>
      </c>
      <c r="G57" s="27">
        <v>0</v>
      </c>
      <c r="H57" s="38"/>
      <c r="J57" s="29"/>
      <c r="K57" s="30"/>
      <c r="L57" s="31"/>
    </row>
    <row r="58" spans="1:12" ht="15.75" hidden="1" customHeight="1">
      <c r="A58" s="172"/>
      <c r="B58" s="130" t="s">
        <v>162</v>
      </c>
      <c r="C58" s="70" t="s">
        <v>37</v>
      </c>
      <c r="D58" s="69"/>
      <c r="E58" s="20"/>
      <c r="F58" s="66">
        <v>47.45</v>
      </c>
      <c r="G58" s="27">
        <v>0</v>
      </c>
      <c r="H58" s="38"/>
      <c r="J58" s="29"/>
      <c r="K58" s="30"/>
      <c r="L58" s="31"/>
    </row>
    <row r="59" spans="1:12" ht="15.75" hidden="1" customHeight="1">
      <c r="A59" s="172"/>
      <c r="B59" s="130" t="s">
        <v>163</v>
      </c>
      <c r="C59" s="70" t="s">
        <v>37</v>
      </c>
      <c r="D59" s="69"/>
      <c r="E59" s="20"/>
      <c r="F59" s="66">
        <v>44.27</v>
      </c>
      <c r="G59" s="27">
        <v>0</v>
      </c>
      <c r="H59" s="38"/>
      <c r="J59" s="29"/>
      <c r="K59" s="30"/>
      <c r="L59" s="31"/>
    </row>
    <row r="60" spans="1:12" ht="15.75" hidden="1" customHeight="1">
      <c r="A60" s="172"/>
      <c r="B60" s="69" t="s">
        <v>73</v>
      </c>
      <c r="C60" s="70" t="s">
        <v>74</v>
      </c>
      <c r="D60" s="69" t="s">
        <v>66</v>
      </c>
      <c r="E60" s="20"/>
      <c r="F60" s="66">
        <v>62.07</v>
      </c>
      <c r="G60" s="27">
        <v>0</v>
      </c>
      <c r="H60" s="38"/>
      <c r="J60" s="29"/>
      <c r="K60" s="30"/>
      <c r="L60" s="31"/>
    </row>
    <row r="61" spans="1:12" ht="15.75" customHeight="1">
      <c r="A61" s="173">
        <v>15</v>
      </c>
      <c r="B61" s="69" t="s">
        <v>125</v>
      </c>
      <c r="C61" s="75" t="s">
        <v>164</v>
      </c>
      <c r="D61" s="170" t="s">
        <v>71</v>
      </c>
      <c r="E61" s="20" t="e">
        <f>#REF!+#REF!+#REF!+#REF!+#REF!+#REF!+'12.16'!E75+#REF!+#REF!+#REF!+#REF!+#REF!</f>
        <v>#REF!</v>
      </c>
      <c r="F61" s="66">
        <v>2.16</v>
      </c>
      <c r="G61" s="27">
        <v>5506.92</v>
      </c>
      <c r="H61" s="38"/>
      <c r="J61" s="29"/>
      <c r="K61" s="30"/>
      <c r="L61" s="31"/>
    </row>
    <row r="62" spans="1:12" ht="15.75" hidden="1" customHeight="1">
      <c r="A62" s="129"/>
      <c r="B62" s="159" t="s">
        <v>165</v>
      </c>
      <c r="C62" s="159"/>
      <c r="D62" s="159"/>
      <c r="E62" s="159"/>
      <c r="F62" s="159"/>
      <c r="G62" s="27"/>
      <c r="H62" s="38"/>
      <c r="J62" s="29"/>
      <c r="K62" s="30"/>
      <c r="L62" s="31"/>
    </row>
    <row r="63" spans="1:12" ht="15.75" hidden="1" customHeight="1">
      <c r="A63" s="51">
        <v>36</v>
      </c>
      <c r="B63" s="161" t="s">
        <v>166</v>
      </c>
      <c r="C63" s="162"/>
      <c r="D63" s="163" t="s">
        <v>66</v>
      </c>
      <c r="E63" s="164">
        <v>0</v>
      </c>
      <c r="F63" s="68">
        <v>20950</v>
      </c>
      <c r="G63" s="27">
        <v>0</v>
      </c>
      <c r="H63" s="38"/>
      <c r="J63" s="29"/>
      <c r="K63" s="30"/>
      <c r="L63" s="31"/>
    </row>
    <row r="64" spans="1:12" ht="15.75" hidden="1" customHeight="1">
      <c r="A64" s="173"/>
      <c r="B64" s="159" t="s">
        <v>87</v>
      </c>
      <c r="C64" s="25"/>
      <c r="D64" s="23"/>
      <c r="E64" s="20" t="e">
        <f>#REF!+#REF!+#REF!+#REF!+#REF!+#REF!+'12.16'!E76+#REF!+#REF!+#REF!+#REF!+#REF!</f>
        <v>#REF!</v>
      </c>
      <c r="F64" s="51"/>
      <c r="G64" s="167"/>
      <c r="H64" s="38"/>
      <c r="J64" s="29"/>
      <c r="K64" s="30"/>
      <c r="L64" s="31"/>
    </row>
    <row r="65" spans="1:12" ht="15.75" hidden="1" customHeight="1">
      <c r="A65" s="173">
        <v>16</v>
      </c>
      <c r="B65" s="69" t="s">
        <v>167</v>
      </c>
      <c r="C65" s="70" t="s">
        <v>168</v>
      </c>
      <c r="D65" s="23" t="s">
        <v>81</v>
      </c>
      <c r="E65" s="20" t="e">
        <f>#REF!+#REF!+#REF!+#REF!+#REF!+#REF!+'12.16'!E81+#REF!+#REF!+#REF!+#REF!+#REF!</f>
        <v>#REF!</v>
      </c>
      <c r="F65" s="66">
        <v>976.4</v>
      </c>
      <c r="G65" s="27">
        <v>0</v>
      </c>
      <c r="H65" s="38"/>
      <c r="J65" s="29"/>
      <c r="K65" s="30"/>
      <c r="L65" s="31"/>
    </row>
    <row r="66" spans="1:12" ht="15.75" hidden="1" customHeight="1">
      <c r="A66" s="173"/>
      <c r="B66" s="69" t="s">
        <v>169</v>
      </c>
      <c r="C66" s="70" t="s">
        <v>170</v>
      </c>
      <c r="D66" s="23"/>
      <c r="E66" s="20"/>
      <c r="F66" s="66">
        <v>735</v>
      </c>
      <c r="G66" s="27">
        <v>0</v>
      </c>
      <c r="H66" s="38"/>
      <c r="J66" s="29"/>
      <c r="K66" s="30"/>
      <c r="L66" s="31"/>
    </row>
    <row r="67" spans="1:12" ht="15.75" hidden="1" customHeight="1">
      <c r="A67" s="173"/>
      <c r="B67" s="69" t="s">
        <v>88</v>
      </c>
      <c r="C67" s="70" t="s">
        <v>90</v>
      </c>
      <c r="D67" s="23" t="s">
        <v>81</v>
      </c>
      <c r="E67" s="20"/>
      <c r="F67" s="66">
        <v>624.16999999999996</v>
      </c>
      <c r="G67" s="27">
        <v>0</v>
      </c>
      <c r="H67" s="38"/>
      <c r="J67" s="29"/>
      <c r="K67" s="30"/>
      <c r="L67" s="31"/>
    </row>
    <row r="68" spans="1:12" ht="15.75" hidden="1" customHeight="1">
      <c r="A68" s="173"/>
      <c r="B68" s="69" t="s">
        <v>89</v>
      </c>
      <c r="C68" s="70" t="s">
        <v>35</v>
      </c>
      <c r="D68" s="23" t="s">
        <v>81</v>
      </c>
      <c r="E68" s="20"/>
      <c r="F68" s="66">
        <v>1061.4100000000001</v>
      </c>
      <c r="G68" s="27">
        <v>0</v>
      </c>
      <c r="H68" s="38"/>
      <c r="J68" s="29"/>
      <c r="K68" s="30"/>
      <c r="L68" s="31"/>
    </row>
    <row r="69" spans="1:12" ht="15.75" hidden="1" customHeight="1">
      <c r="A69" s="173"/>
      <c r="B69" s="69" t="s">
        <v>126</v>
      </c>
      <c r="C69" s="70" t="s">
        <v>35</v>
      </c>
      <c r="D69" s="23" t="s">
        <v>81</v>
      </c>
      <c r="E69" s="20"/>
      <c r="F69" s="66">
        <v>446.12</v>
      </c>
      <c r="G69" s="27">
        <v>0</v>
      </c>
      <c r="H69" s="38"/>
      <c r="J69" s="29"/>
      <c r="K69" s="30"/>
      <c r="L69" s="31"/>
    </row>
    <row r="70" spans="1:12" ht="17.25" hidden="1" customHeight="1">
      <c r="A70" s="173"/>
      <c r="B70" s="84" t="s">
        <v>91</v>
      </c>
      <c r="C70" s="70"/>
      <c r="D70" s="69"/>
      <c r="E70" s="27"/>
      <c r="F70" s="68"/>
      <c r="G70" s="167"/>
      <c r="H70" s="38"/>
      <c r="J70" s="29"/>
      <c r="K70" s="30"/>
      <c r="L70" s="31"/>
    </row>
    <row r="71" spans="1:12" ht="17.25" hidden="1" customHeight="1">
      <c r="A71" s="173"/>
      <c r="B71" s="71" t="s">
        <v>171</v>
      </c>
      <c r="C71" s="72" t="s">
        <v>93</v>
      </c>
      <c r="D71" s="23" t="s">
        <v>81</v>
      </c>
      <c r="E71" s="27"/>
      <c r="F71" s="67">
        <v>3433.68</v>
      </c>
      <c r="G71" s="167">
        <v>0</v>
      </c>
      <c r="H71" s="38"/>
      <c r="J71" s="29"/>
      <c r="K71" s="30"/>
      <c r="L71" s="31"/>
    </row>
    <row r="72" spans="1:12" ht="15.75" customHeight="1">
      <c r="A72" s="173"/>
      <c r="B72" s="271" t="s">
        <v>127</v>
      </c>
      <c r="C72" s="272"/>
      <c r="D72" s="272"/>
      <c r="E72" s="272"/>
      <c r="F72" s="272"/>
      <c r="G72" s="273"/>
      <c r="H72" s="38"/>
      <c r="J72" s="29"/>
      <c r="K72" s="30"/>
      <c r="L72" s="31"/>
    </row>
    <row r="73" spans="1:12" ht="16.5" customHeight="1">
      <c r="A73" s="173">
        <v>16</v>
      </c>
      <c r="B73" s="80" t="s">
        <v>135</v>
      </c>
      <c r="C73" s="25" t="s">
        <v>70</v>
      </c>
      <c r="D73" s="170" t="s">
        <v>71</v>
      </c>
      <c r="E73" s="20" t="e">
        <f>#REF!+#REF!+#REF!+#REF!+#REF!+#REF!+'12.16'!E84+#REF!+#REF!+#REF!+#REF!+#REF!</f>
        <v>#REF!</v>
      </c>
      <c r="F73" s="24">
        <v>2.95</v>
      </c>
      <c r="G73" s="27">
        <v>7521.03</v>
      </c>
      <c r="H73" s="38"/>
      <c r="J73" s="29"/>
      <c r="K73" s="30"/>
      <c r="L73" s="31"/>
    </row>
    <row r="74" spans="1:12" ht="31.5" customHeight="1">
      <c r="A74" s="51">
        <v>17</v>
      </c>
      <c r="B74" s="69" t="s">
        <v>94</v>
      </c>
      <c r="C74" s="25" t="s">
        <v>70</v>
      </c>
      <c r="D74" s="23" t="s">
        <v>71</v>
      </c>
      <c r="E74" s="24"/>
      <c r="F74" s="66">
        <v>3.05</v>
      </c>
      <c r="G74" s="21">
        <v>7775.98</v>
      </c>
      <c r="H74" s="38"/>
      <c r="J74" s="29"/>
      <c r="K74" s="30"/>
      <c r="L74" s="31"/>
    </row>
    <row r="75" spans="1:12" ht="15" customHeight="1">
      <c r="A75" s="129"/>
      <c r="B75" s="73" t="s">
        <v>99</v>
      </c>
      <c r="C75" s="75"/>
      <c r="D75" s="24"/>
      <c r="E75" s="24"/>
      <c r="F75" s="27"/>
      <c r="G75" s="59">
        <f>SUM(G15+G16+G17+G25+G26+G29+G30+G31+G32+G33+G34+G40+G48+G49+G61+G73+G74)</f>
        <v>53135.5</v>
      </c>
      <c r="H75" s="38"/>
      <c r="J75" s="29"/>
      <c r="K75" s="30"/>
      <c r="L75" s="31"/>
    </row>
    <row r="76" spans="1:12" ht="15.75" customHeight="1">
      <c r="A76" s="173"/>
      <c r="B76" s="145" t="s">
        <v>75</v>
      </c>
      <c r="C76" s="145"/>
      <c r="D76" s="145"/>
      <c r="E76" s="24"/>
      <c r="F76" s="27"/>
      <c r="G76" s="27"/>
      <c r="H76" s="38"/>
      <c r="J76" s="29"/>
      <c r="K76" s="30"/>
      <c r="L76" s="31"/>
    </row>
    <row r="77" spans="1:12" ht="15.75" customHeight="1">
      <c r="A77" s="173">
        <v>18</v>
      </c>
      <c r="B77" s="179" t="s">
        <v>136</v>
      </c>
      <c r="C77" s="180" t="s">
        <v>137</v>
      </c>
      <c r="D77" s="145"/>
      <c r="E77" s="24"/>
      <c r="F77" s="66">
        <v>1063.47</v>
      </c>
      <c r="G77" s="27">
        <v>2126.94</v>
      </c>
      <c r="H77" s="38"/>
      <c r="J77" s="29"/>
      <c r="K77" s="30"/>
      <c r="L77" s="31"/>
    </row>
    <row r="78" spans="1:12" ht="31.5" customHeight="1">
      <c r="A78" s="173">
        <v>19</v>
      </c>
      <c r="B78" s="146" t="s">
        <v>172</v>
      </c>
      <c r="C78" s="175" t="s">
        <v>46</v>
      </c>
      <c r="D78" s="145"/>
      <c r="E78" s="24"/>
      <c r="F78" s="66">
        <v>3397.65</v>
      </c>
      <c r="G78" s="27">
        <v>33.979999999999997</v>
      </c>
      <c r="H78" s="38"/>
      <c r="J78" s="29"/>
      <c r="K78" s="30"/>
      <c r="L78" s="31"/>
    </row>
    <row r="79" spans="1:12" ht="15.75" customHeight="1">
      <c r="A79" s="173">
        <v>20</v>
      </c>
      <c r="B79" s="146" t="s">
        <v>173</v>
      </c>
      <c r="C79" s="175" t="s">
        <v>174</v>
      </c>
      <c r="D79" s="145"/>
      <c r="E79" s="24"/>
      <c r="F79" s="66">
        <v>7033.13</v>
      </c>
      <c r="G79" s="27">
        <v>70.33</v>
      </c>
      <c r="H79" s="38"/>
      <c r="J79" s="29"/>
      <c r="K79" s="30"/>
      <c r="L79" s="31"/>
    </row>
    <row r="80" spans="1:12" ht="15.75" customHeight="1">
      <c r="A80" s="173">
        <v>21</v>
      </c>
      <c r="B80" s="146" t="s">
        <v>104</v>
      </c>
      <c r="C80" s="174" t="s">
        <v>159</v>
      </c>
      <c r="D80" s="145"/>
      <c r="E80" s="24"/>
      <c r="F80" s="66">
        <v>180.15</v>
      </c>
      <c r="G80" s="27">
        <v>360.3</v>
      </c>
      <c r="H80" s="38"/>
      <c r="J80" s="29"/>
      <c r="K80" s="30"/>
      <c r="L80" s="31"/>
    </row>
    <row r="81" spans="1:20" ht="31.5" customHeight="1">
      <c r="A81" s="173">
        <v>22</v>
      </c>
      <c r="B81" s="146" t="s">
        <v>98</v>
      </c>
      <c r="C81" s="174" t="s">
        <v>159</v>
      </c>
      <c r="D81" s="145"/>
      <c r="E81" s="24"/>
      <c r="F81" s="66">
        <v>79.09</v>
      </c>
      <c r="G81" s="27">
        <v>79.09</v>
      </c>
      <c r="H81" s="38"/>
      <c r="J81" s="29"/>
      <c r="K81" s="30"/>
      <c r="L81" s="31"/>
    </row>
    <row r="82" spans="1:20" ht="15.75" customHeight="1">
      <c r="A82" s="178">
        <v>23</v>
      </c>
      <c r="B82" s="176" t="s">
        <v>51</v>
      </c>
      <c r="C82" s="74" t="s">
        <v>159</v>
      </c>
      <c r="D82" s="145"/>
      <c r="E82" s="24"/>
      <c r="F82" s="66">
        <v>81.73</v>
      </c>
      <c r="G82" s="27">
        <v>326.92</v>
      </c>
      <c r="H82" s="38"/>
      <c r="J82" s="29"/>
      <c r="K82" s="30"/>
      <c r="L82" s="31"/>
    </row>
    <row r="83" spans="1:20" ht="16.5" customHeight="1">
      <c r="A83" s="51"/>
      <c r="B83" s="80" t="s">
        <v>63</v>
      </c>
      <c r="C83" s="76"/>
      <c r="D83" s="131"/>
      <c r="E83" s="76">
        <v>1</v>
      </c>
      <c r="F83" s="76"/>
      <c r="G83" s="59">
        <f>SUM(G77:G82)</f>
        <v>2997.5600000000004</v>
      </c>
      <c r="H83" s="38"/>
      <c r="J83" s="29"/>
      <c r="K83" s="30"/>
      <c r="L83" s="31"/>
    </row>
    <row r="84" spans="1:20" ht="15" customHeight="1">
      <c r="A84" s="51"/>
      <c r="B84" s="85" t="s">
        <v>95</v>
      </c>
      <c r="C84" s="24"/>
      <c r="D84" s="24"/>
      <c r="E84" s="77"/>
      <c r="F84" s="78"/>
      <c r="G84" s="26">
        <v>0</v>
      </c>
      <c r="H84" s="38"/>
      <c r="J84" s="29"/>
      <c r="K84" s="30"/>
      <c r="L84" s="31"/>
    </row>
    <row r="85" spans="1:20">
      <c r="A85" s="132"/>
      <c r="B85" s="81" t="s">
        <v>64</v>
      </c>
      <c r="C85" s="64"/>
      <c r="D85" s="64"/>
      <c r="E85" s="64"/>
      <c r="F85" s="64"/>
      <c r="G85" s="79">
        <f>G75+G83</f>
        <v>56133.06</v>
      </c>
      <c r="H85" s="38"/>
      <c r="J85" s="29"/>
    </row>
    <row r="86" spans="1:20" ht="15.75">
      <c r="A86" s="263" t="s">
        <v>176</v>
      </c>
      <c r="B86" s="263"/>
      <c r="C86" s="263"/>
      <c r="D86" s="263"/>
      <c r="E86" s="263"/>
      <c r="F86" s="263"/>
      <c r="G86" s="263"/>
    </row>
    <row r="87" spans="1:20" ht="15.75">
      <c r="A87" s="13"/>
      <c r="B87" s="264" t="s">
        <v>177</v>
      </c>
      <c r="C87" s="264"/>
      <c r="D87" s="264"/>
      <c r="E87" s="264"/>
      <c r="F87" s="264"/>
      <c r="G87" s="4"/>
    </row>
    <row r="88" spans="1:20" ht="15.75">
      <c r="A88" s="158"/>
      <c r="B88" s="280" t="s">
        <v>7</v>
      </c>
      <c r="C88" s="280"/>
      <c r="D88" s="280"/>
      <c r="E88" s="280"/>
      <c r="F88" s="280"/>
      <c r="G88" s="123"/>
    </row>
    <row r="89" spans="1:20" ht="15.75" customHeight="1">
      <c r="A89" s="124"/>
      <c r="B89" s="124"/>
      <c r="C89" s="124"/>
      <c r="D89" s="124"/>
      <c r="E89" s="124"/>
      <c r="F89" s="124"/>
      <c r="G89" s="12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12"/>
    </row>
    <row r="90" spans="1:20" ht="15.75" customHeight="1">
      <c r="A90" s="281" t="s">
        <v>8</v>
      </c>
      <c r="B90" s="281"/>
      <c r="C90" s="281"/>
      <c r="D90" s="281"/>
      <c r="E90" s="281"/>
      <c r="F90" s="281"/>
      <c r="G90" s="281"/>
      <c r="H90" s="43"/>
      <c r="I90" s="43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20" ht="15.75">
      <c r="A91" s="281" t="s">
        <v>9</v>
      </c>
      <c r="B91" s="281"/>
      <c r="C91" s="281"/>
      <c r="D91" s="281"/>
      <c r="E91" s="281"/>
      <c r="F91" s="281"/>
      <c r="G91" s="281"/>
      <c r="H91" s="4"/>
      <c r="I91" s="4"/>
      <c r="J91" s="4"/>
      <c r="K91" s="4"/>
      <c r="L91" s="4"/>
      <c r="M91" s="4"/>
      <c r="N91" s="4"/>
      <c r="O91" s="4"/>
      <c r="Q91" s="4"/>
      <c r="R91" s="4"/>
      <c r="S91" s="4"/>
    </row>
    <row r="92" spans="1:20" ht="15.75">
      <c r="A92" s="263" t="s">
        <v>10</v>
      </c>
      <c r="B92" s="263"/>
      <c r="C92" s="263"/>
      <c r="D92" s="263"/>
      <c r="E92" s="263"/>
      <c r="F92" s="263"/>
      <c r="G92" s="263"/>
      <c r="H92" s="6"/>
      <c r="I92" s="6"/>
      <c r="J92" s="6"/>
      <c r="K92" s="6"/>
      <c r="L92" s="6"/>
      <c r="M92" s="6"/>
      <c r="N92" s="6"/>
      <c r="O92" s="6"/>
      <c r="P92" s="279"/>
      <c r="Q92" s="279"/>
      <c r="R92" s="279"/>
      <c r="S92" s="279"/>
    </row>
    <row r="93" spans="1:20" ht="15.75">
      <c r="A93" s="15"/>
      <c r="B93" s="121"/>
      <c r="C93" s="121"/>
      <c r="D93" s="121"/>
      <c r="E93" s="121"/>
      <c r="F93" s="121"/>
      <c r="G93" s="121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</row>
    <row r="94" spans="1:20" ht="15.75">
      <c r="A94" s="15"/>
      <c r="B94" s="121"/>
      <c r="C94" s="121"/>
      <c r="D94" s="121"/>
      <c r="E94" s="121"/>
      <c r="F94" s="121"/>
      <c r="G94" s="121"/>
    </row>
    <row r="95" spans="1:20" ht="15.75">
      <c r="A95" s="262" t="s">
        <v>11</v>
      </c>
      <c r="B95" s="262"/>
      <c r="C95" s="262"/>
      <c r="D95" s="262"/>
      <c r="E95" s="262"/>
      <c r="F95" s="262"/>
      <c r="G95" s="262"/>
    </row>
    <row r="96" spans="1:20" ht="15.75" customHeight="1">
      <c r="A96" s="5"/>
    </row>
    <row r="97" spans="1:7" ht="15.75">
      <c r="A97" s="263" t="s">
        <v>12</v>
      </c>
      <c r="B97" s="263"/>
      <c r="C97" s="287" t="s">
        <v>133</v>
      </c>
      <c r="D97" s="287"/>
      <c r="E97" s="287"/>
      <c r="G97" s="157"/>
    </row>
    <row r="98" spans="1:7">
      <c r="A98" s="153"/>
      <c r="C98" s="277" t="s">
        <v>13</v>
      </c>
      <c r="D98" s="277"/>
      <c r="E98" s="277"/>
      <c r="G98" s="155" t="s">
        <v>14</v>
      </c>
    </row>
    <row r="99" spans="1:7" ht="15.75">
      <c r="A99" s="43"/>
      <c r="C99" s="16"/>
      <c r="D99" s="16"/>
      <c r="F99" s="16"/>
    </row>
    <row r="100" spans="1:7" ht="15.75" customHeight="1">
      <c r="A100" s="263" t="s">
        <v>15</v>
      </c>
      <c r="B100" s="263"/>
      <c r="C100" s="278"/>
      <c r="D100" s="278"/>
      <c r="E100" s="278"/>
      <c r="G100" s="157"/>
    </row>
    <row r="101" spans="1:7">
      <c r="A101" s="153"/>
      <c r="C101" s="279" t="s">
        <v>13</v>
      </c>
      <c r="D101" s="279"/>
      <c r="E101" s="279"/>
      <c r="G101" s="155" t="s">
        <v>14</v>
      </c>
    </row>
    <row r="102" spans="1:7" ht="15.75">
      <c r="A102" s="5" t="s">
        <v>16</v>
      </c>
    </row>
    <row r="103" spans="1:7">
      <c r="A103" s="288" t="s">
        <v>17</v>
      </c>
      <c r="B103" s="288"/>
      <c r="C103" s="288"/>
      <c r="D103" s="288"/>
      <c r="E103" s="288"/>
      <c r="F103" s="288"/>
      <c r="G103" s="288"/>
    </row>
    <row r="104" spans="1:7" ht="47.25" customHeight="1">
      <c r="A104" s="289" t="s">
        <v>18</v>
      </c>
      <c r="B104" s="289"/>
      <c r="C104" s="289"/>
      <c r="D104" s="289"/>
      <c r="E104" s="289"/>
      <c r="F104" s="289"/>
      <c r="G104" s="289"/>
    </row>
    <row r="105" spans="1:7" ht="31.5" customHeight="1">
      <c r="A105" s="289" t="s">
        <v>19</v>
      </c>
      <c r="B105" s="289"/>
      <c r="C105" s="289"/>
      <c r="D105" s="289"/>
      <c r="E105" s="289"/>
      <c r="F105" s="289"/>
      <c r="G105" s="289"/>
    </row>
    <row r="106" spans="1:7" ht="31.5" customHeight="1">
      <c r="A106" s="289" t="s">
        <v>24</v>
      </c>
      <c r="B106" s="289"/>
      <c r="C106" s="289"/>
      <c r="D106" s="289"/>
      <c r="E106" s="289"/>
      <c r="F106" s="289"/>
      <c r="G106" s="289"/>
    </row>
    <row r="107" spans="1:7" ht="15.75">
      <c r="A107" s="289" t="s">
        <v>23</v>
      </c>
      <c r="B107" s="289"/>
      <c r="C107" s="289"/>
      <c r="D107" s="289"/>
      <c r="E107" s="289"/>
      <c r="F107" s="289"/>
      <c r="G107" s="289"/>
    </row>
    <row r="109" spans="1:7">
      <c r="A109" s="17" t="s">
        <v>22</v>
      </c>
      <c r="B109" s="17"/>
      <c r="C109" s="17"/>
      <c r="D109" s="17"/>
      <c r="E109" s="17"/>
      <c r="F109" s="17"/>
    </row>
  </sheetData>
  <autoFilter ref="G14:G87"/>
  <mergeCells count="29">
    <mergeCell ref="A3:G3"/>
    <mergeCell ref="A4:G4"/>
    <mergeCell ref="A8:G8"/>
    <mergeCell ref="A14:G14"/>
    <mergeCell ref="P92:S92"/>
    <mergeCell ref="A5:G5"/>
    <mergeCell ref="A10:G10"/>
    <mergeCell ref="A27:G27"/>
    <mergeCell ref="B35:G35"/>
    <mergeCell ref="B46:G46"/>
    <mergeCell ref="B72:G72"/>
    <mergeCell ref="A86:G86"/>
    <mergeCell ref="B87:F87"/>
    <mergeCell ref="B88:F88"/>
    <mergeCell ref="A90:G90"/>
    <mergeCell ref="A91:G91"/>
    <mergeCell ref="A107:G107"/>
    <mergeCell ref="A92:G92"/>
    <mergeCell ref="A103:G103"/>
    <mergeCell ref="A104:G104"/>
    <mergeCell ref="A105:G105"/>
    <mergeCell ref="A106:G106"/>
    <mergeCell ref="A95:G95"/>
    <mergeCell ref="A100:B100"/>
    <mergeCell ref="C100:E100"/>
    <mergeCell ref="C101:E101"/>
    <mergeCell ref="A97:B97"/>
    <mergeCell ref="C97:E97"/>
    <mergeCell ref="C98:E98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07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21" ht="15.75" customHeight="1">
      <c r="B1" s="57" t="s">
        <v>113</v>
      </c>
      <c r="I1" s="56"/>
    </row>
    <row r="2" spans="1:21" ht="15.75" customHeight="1">
      <c r="B2" s="46" t="s">
        <v>77</v>
      </c>
      <c r="J2" s="1"/>
      <c r="K2" s="1"/>
      <c r="L2" s="1"/>
      <c r="M2" s="1"/>
    </row>
    <row r="3" spans="1:21" ht="15.75" customHeight="1">
      <c r="A3" s="265" t="s">
        <v>225</v>
      </c>
      <c r="B3" s="265"/>
      <c r="C3" s="265"/>
      <c r="D3" s="265"/>
      <c r="E3" s="265"/>
      <c r="F3" s="265"/>
      <c r="G3" s="265"/>
      <c r="H3" s="265"/>
      <c r="I3" s="265"/>
      <c r="J3" s="2"/>
      <c r="K3" s="2"/>
      <c r="L3" s="2"/>
      <c r="M3" s="2"/>
    </row>
    <row r="4" spans="1:21" ht="33.75" customHeight="1">
      <c r="A4" s="266" t="s">
        <v>142</v>
      </c>
      <c r="B4" s="266"/>
      <c r="C4" s="266"/>
      <c r="D4" s="266"/>
      <c r="E4" s="266"/>
      <c r="F4" s="266"/>
      <c r="G4" s="266"/>
      <c r="H4" s="266"/>
      <c r="I4" s="266"/>
      <c r="J4" s="3"/>
      <c r="K4" s="3"/>
      <c r="L4" s="3"/>
      <c r="M4" s="3"/>
    </row>
    <row r="5" spans="1:21" ht="15.75" customHeight="1">
      <c r="A5" s="267" t="s">
        <v>100</v>
      </c>
      <c r="B5" s="268"/>
      <c r="C5" s="268"/>
      <c r="D5" s="268"/>
      <c r="E5" s="268"/>
      <c r="F5" s="268"/>
      <c r="G5" s="268"/>
      <c r="H5" s="268"/>
      <c r="I5" s="268"/>
      <c r="J5" s="4"/>
      <c r="K5" s="4"/>
      <c r="L5" s="4"/>
    </row>
    <row r="6" spans="1:21" ht="15.75" customHeight="1">
      <c r="A6" s="3"/>
      <c r="B6" s="181"/>
      <c r="C6" s="181"/>
      <c r="D6" s="181"/>
      <c r="E6" s="181"/>
      <c r="F6" s="181"/>
      <c r="G6" s="181"/>
      <c r="H6" s="181"/>
      <c r="I6" s="256">
        <v>42429</v>
      </c>
    </row>
    <row r="7" spans="1:21" ht="15.75">
      <c r="B7" s="182"/>
      <c r="C7" s="182"/>
      <c r="D7" s="182"/>
      <c r="E7" s="4"/>
      <c r="F7" s="4"/>
      <c r="G7" s="4"/>
      <c r="H7" s="4"/>
      <c r="J7" s="3"/>
      <c r="K7" s="3"/>
      <c r="L7" s="3"/>
      <c r="M7" s="3"/>
    </row>
    <row r="8" spans="1:21" ht="78.75" customHeight="1">
      <c r="A8" s="269" t="s">
        <v>275</v>
      </c>
      <c r="B8" s="269"/>
      <c r="C8" s="269"/>
      <c r="D8" s="269"/>
      <c r="E8" s="269"/>
      <c r="F8" s="269"/>
      <c r="G8" s="269"/>
      <c r="H8" s="269"/>
      <c r="I8" s="269"/>
      <c r="J8" s="3"/>
      <c r="K8" s="3"/>
      <c r="L8" s="3"/>
      <c r="M8" s="3"/>
    </row>
    <row r="9" spans="1:21" ht="15.75">
      <c r="A9" s="5"/>
      <c r="J9" s="4"/>
      <c r="K9" s="4"/>
      <c r="L9" s="4"/>
      <c r="M9" s="4"/>
    </row>
    <row r="10" spans="1:21" ht="47.25" customHeight="1">
      <c r="A10" s="270" t="s">
        <v>144</v>
      </c>
      <c r="B10" s="270"/>
      <c r="C10" s="270"/>
      <c r="D10" s="270"/>
      <c r="E10" s="270"/>
      <c r="F10" s="270"/>
      <c r="G10" s="270"/>
      <c r="H10" s="270"/>
      <c r="I10" s="270"/>
      <c r="J10" s="6"/>
      <c r="K10" s="6"/>
      <c r="L10" s="6"/>
      <c r="M10" s="6"/>
    </row>
    <row r="11" spans="1:21" ht="15.75" customHeight="1">
      <c r="A11" s="5"/>
      <c r="J11" s="3"/>
      <c r="K11" s="3"/>
      <c r="L11" s="3"/>
      <c r="M11" s="3"/>
    </row>
    <row r="12" spans="1:21" ht="51">
      <c r="A12" s="7" t="s">
        <v>0</v>
      </c>
      <c r="B12" s="7" t="s">
        <v>1</v>
      </c>
      <c r="C12" s="7" t="s">
        <v>2</v>
      </c>
      <c r="D12" s="7" t="s">
        <v>20</v>
      </c>
      <c r="E12" s="7" t="s">
        <v>21</v>
      </c>
      <c r="F12" s="7"/>
      <c r="G12" s="7" t="s">
        <v>25</v>
      </c>
      <c r="H12" s="7"/>
      <c r="I12" s="7" t="s">
        <v>3</v>
      </c>
      <c r="J12" s="4"/>
    </row>
    <row r="13" spans="1:21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21">
      <c r="A14" s="271" t="s">
        <v>4</v>
      </c>
      <c r="B14" s="272"/>
      <c r="C14" s="272"/>
      <c r="D14" s="272"/>
      <c r="E14" s="272"/>
      <c r="F14" s="272"/>
      <c r="G14" s="272"/>
      <c r="H14" s="272"/>
      <c r="I14" s="273"/>
      <c r="Q14" s="205"/>
      <c r="R14" s="205"/>
      <c r="S14" s="205"/>
      <c r="T14" s="205"/>
      <c r="U14" s="205"/>
    </row>
    <row r="15" spans="1:21" ht="30" customHeight="1">
      <c r="A15" s="210">
        <v>1</v>
      </c>
      <c r="B15" s="176" t="s">
        <v>117</v>
      </c>
      <c r="C15" s="211" t="s">
        <v>145</v>
      </c>
      <c r="D15" s="176" t="s">
        <v>180</v>
      </c>
      <c r="E15" s="212">
        <v>70.900000000000006</v>
      </c>
      <c r="F15" s="213">
        <f>SUM(E15*156/100)</f>
        <v>110.60400000000001</v>
      </c>
      <c r="G15" s="213">
        <v>175.38</v>
      </c>
      <c r="H15" s="214">
        <f t="shared" ref="H15:H24" si="0">SUM(F15*G15/1000)</f>
        <v>19.397729520000002</v>
      </c>
      <c r="I15" s="21">
        <f>F15/12*G15</f>
        <v>1616.4774600000001</v>
      </c>
      <c r="J15" s="200"/>
      <c r="K15" s="201"/>
      <c r="L15" s="201"/>
      <c r="M15" s="201"/>
      <c r="N15" s="201"/>
      <c r="O15" s="201"/>
      <c r="P15" s="201"/>
      <c r="Q15" s="201"/>
      <c r="R15" s="201"/>
      <c r="S15" s="201"/>
      <c r="T15" s="205"/>
      <c r="U15" s="205"/>
    </row>
    <row r="16" spans="1:21" ht="30" customHeight="1">
      <c r="A16" s="210">
        <v>2</v>
      </c>
      <c r="B16" s="176" t="s">
        <v>118</v>
      </c>
      <c r="C16" s="211" t="s">
        <v>145</v>
      </c>
      <c r="D16" s="176" t="s">
        <v>181</v>
      </c>
      <c r="E16" s="212">
        <v>212.7</v>
      </c>
      <c r="F16" s="213">
        <f>SUM(E16*104/100)</f>
        <v>221.208</v>
      </c>
      <c r="G16" s="213">
        <v>175.38</v>
      </c>
      <c r="H16" s="214">
        <f t="shared" si="0"/>
        <v>38.795459040000004</v>
      </c>
      <c r="I16" s="21">
        <f>F16/12*G16</f>
        <v>3232.9549200000001</v>
      </c>
      <c r="J16" s="200"/>
      <c r="K16" s="201"/>
      <c r="L16" s="201"/>
      <c r="M16" s="201"/>
      <c r="N16" s="201"/>
      <c r="O16" s="201"/>
      <c r="P16" s="201"/>
      <c r="Q16" s="201"/>
      <c r="R16" s="201"/>
      <c r="S16" s="201"/>
      <c r="T16" s="205"/>
      <c r="U16" s="205"/>
    </row>
    <row r="17" spans="1:21" ht="30" customHeight="1">
      <c r="A17" s="210">
        <v>3</v>
      </c>
      <c r="B17" s="176" t="s">
        <v>119</v>
      </c>
      <c r="C17" s="211" t="s">
        <v>145</v>
      </c>
      <c r="D17" s="176" t="s">
        <v>217</v>
      </c>
      <c r="E17" s="212">
        <f>SUM(E15+E16)</f>
        <v>283.60000000000002</v>
      </c>
      <c r="F17" s="213">
        <f>SUM(E17*24/100)</f>
        <v>68.064000000000007</v>
      </c>
      <c r="G17" s="213">
        <v>504.5</v>
      </c>
      <c r="H17" s="214">
        <f t="shared" si="0"/>
        <v>34.338287999999999</v>
      </c>
      <c r="I17" s="21">
        <f>F17/12*G17</f>
        <v>2861.5240000000003</v>
      </c>
      <c r="J17" s="200"/>
      <c r="K17" s="201"/>
      <c r="L17" s="201"/>
      <c r="M17" s="201"/>
      <c r="N17" s="201"/>
      <c r="O17" s="201"/>
      <c r="P17" s="201"/>
      <c r="Q17" s="201"/>
      <c r="R17" s="201"/>
      <c r="S17" s="201"/>
      <c r="T17" s="205"/>
      <c r="U17" s="205"/>
    </row>
    <row r="18" spans="1:21" hidden="1">
      <c r="A18" s="210"/>
      <c r="B18" s="176" t="s">
        <v>149</v>
      </c>
      <c r="C18" s="211" t="s">
        <v>150</v>
      </c>
      <c r="D18" s="176" t="s">
        <v>151</v>
      </c>
      <c r="E18" s="212">
        <v>40</v>
      </c>
      <c r="F18" s="213">
        <f>SUM(E18/10)</f>
        <v>4</v>
      </c>
      <c r="G18" s="213">
        <v>170.16</v>
      </c>
      <c r="H18" s="214">
        <f t="shared" si="0"/>
        <v>0.68064000000000002</v>
      </c>
      <c r="I18" s="21">
        <v>0</v>
      </c>
      <c r="J18" s="200"/>
      <c r="K18" s="201"/>
      <c r="L18" s="201"/>
      <c r="M18" s="201"/>
      <c r="N18" s="201"/>
      <c r="O18" s="201"/>
      <c r="P18" s="201"/>
      <c r="Q18" s="201"/>
      <c r="R18" s="201"/>
      <c r="S18" s="201"/>
      <c r="T18" s="205"/>
      <c r="U18" s="205"/>
    </row>
    <row r="19" spans="1:21" hidden="1">
      <c r="A19" s="210"/>
      <c r="B19" s="176" t="s">
        <v>152</v>
      </c>
      <c r="C19" s="211" t="s">
        <v>145</v>
      </c>
      <c r="D19" s="176" t="s">
        <v>66</v>
      </c>
      <c r="E19" s="212">
        <v>10.5</v>
      </c>
      <c r="F19" s="213">
        <f t="shared" ref="F19:F24" si="1">SUM(E19/100)</f>
        <v>0.105</v>
      </c>
      <c r="G19" s="213">
        <v>217.88</v>
      </c>
      <c r="H19" s="214">
        <f t="shared" si="0"/>
        <v>2.2877399999999999E-2</v>
      </c>
      <c r="I19" s="21">
        <v>0</v>
      </c>
      <c r="J19" s="200"/>
      <c r="K19" s="201"/>
      <c r="L19" s="201"/>
      <c r="M19" s="201"/>
      <c r="N19" s="201"/>
      <c r="O19" s="201"/>
      <c r="P19" s="201"/>
      <c r="Q19" s="201"/>
      <c r="R19" s="201"/>
      <c r="S19" s="201"/>
      <c r="T19" s="205"/>
      <c r="U19" s="205"/>
    </row>
    <row r="20" spans="1:21" hidden="1">
      <c r="A20" s="210"/>
      <c r="B20" s="176" t="s">
        <v>153</v>
      </c>
      <c r="C20" s="211" t="s">
        <v>145</v>
      </c>
      <c r="D20" s="176" t="s">
        <v>66</v>
      </c>
      <c r="E20" s="212">
        <v>2.7</v>
      </c>
      <c r="F20" s="213">
        <f t="shared" si="1"/>
        <v>2.7000000000000003E-2</v>
      </c>
      <c r="G20" s="213">
        <v>216.12</v>
      </c>
      <c r="H20" s="214">
        <f t="shared" si="0"/>
        <v>5.8352400000000002E-3</v>
      </c>
      <c r="I20" s="21">
        <v>0</v>
      </c>
      <c r="J20" s="200"/>
      <c r="K20" s="201"/>
      <c r="L20" s="201"/>
      <c r="M20" s="201"/>
      <c r="N20" s="201"/>
      <c r="O20" s="201"/>
      <c r="P20" s="201"/>
      <c r="Q20" s="201"/>
      <c r="R20" s="201"/>
      <c r="S20" s="201"/>
      <c r="T20" s="205"/>
      <c r="U20" s="205"/>
    </row>
    <row r="21" spans="1:21" hidden="1">
      <c r="A21" s="210"/>
      <c r="B21" s="176" t="s">
        <v>154</v>
      </c>
      <c r="C21" s="211" t="s">
        <v>65</v>
      </c>
      <c r="D21" s="176" t="s">
        <v>151</v>
      </c>
      <c r="E21" s="212">
        <v>357</v>
      </c>
      <c r="F21" s="213">
        <f t="shared" si="1"/>
        <v>3.57</v>
      </c>
      <c r="G21" s="213">
        <v>269.26</v>
      </c>
      <c r="H21" s="214">
        <f t="shared" si="0"/>
        <v>0.96125819999999984</v>
      </c>
      <c r="I21" s="21">
        <v>0</v>
      </c>
      <c r="J21" s="200"/>
      <c r="K21" s="201"/>
      <c r="L21" s="201"/>
      <c r="M21" s="201"/>
      <c r="N21" s="201"/>
      <c r="O21" s="201"/>
      <c r="P21" s="201"/>
      <c r="Q21" s="201"/>
      <c r="R21" s="201"/>
      <c r="S21" s="201"/>
      <c r="T21" s="205"/>
      <c r="U21" s="205"/>
    </row>
    <row r="22" spans="1:21" hidden="1">
      <c r="A22" s="210"/>
      <c r="B22" s="176" t="s">
        <v>155</v>
      </c>
      <c r="C22" s="211" t="s">
        <v>65</v>
      </c>
      <c r="D22" s="176" t="s">
        <v>151</v>
      </c>
      <c r="E22" s="216">
        <v>38.64</v>
      </c>
      <c r="F22" s="213">
        <f t="shared" si="1"/>
        <v>0.38640000000000002</v>
      </c>
      <c r="G22" s="213">
        <v>44.29</v>
      </c>
      <c r="H22" s="214">
        <f t="shared" si="0"/>
        <v>1.7113655999999998E-2</v>
      </c>
      <c r="I22" s="21">
        <v>0</v>
      </c>
      <c r="J22" s="200"/>
      <c r="K22" s="201"/>
      <c r="L22" s="201"/>
      <c r="M22" s="201"/>
      <c r="N22" s="201"/>
      <c r="O22" s="201"/>
      <c r="P22" s="201"/>
      <c r="Q22" s="201"/>
      <c r="R22" s="201"/>
      <c r="S22" s="201"/>
      <c r="T22" s="205"/>
      <c r="U22" s="205"/>
    </row>
    <row r="23" spans="1:21" hidden="1">
      <c r="A23" s="210"/>
      <c r="B23" s="176" t="s">
        <v>156</v>
      </c>
      <c r="C23" s="211" t="s">
        <v>65</v>
      </c>
      <c r="D23" s="217" t="s">
        <v>151</v>
      </c>
      <c r="E23" s="27">
        <v>15</v>
      </c>
      <c r="F23" s="218">
        <f t="shared" si="1"/>
        <v>0.15</v>
      </c>
      <c r="G23" s="213">
        <v>389.72</v>
      </c>
      <c r="H23" s="214">
        <f t="shared" si="0"/>
        <v>5.8457999999999996E-2</v>
      </c>
      <c r="I23" s="21">
        <v>0</v>
      </c>
      <c r="J23" s="200"/>
      <c r="K23" s="201"/>
      <c r="L23" s="201"/>
      <c r="M23" s="201"/>
      <c r="N23" s="201"/>
      <c r="O23" s="201"/>
      <c r="P23" s="201"/>
      <c r="Q23" s="201"/>
      <c r="R23" s="201"/>
      <c r="S23" s="201"/>
      <c r="T23" s="205"/>
      <c r="U23" s="205"/>
    </row>
    <row r="24" spans="1:21" hidden="1">
      <c r="A24" s="210"/>
      <c r="B24" s="176" t="s">
        <v>157</v>
      </c>
      <c r="C24" s="211" t="s">
        <v>65</v>
      </c>
      <c r="D24" s="176" t="s">
        <v>151</v>
      </c>
      <c r="E24" s="219">
        <v>6.38</v>
      </c>
      <c r="F24" s="213">
        <f t="shared" si="1"/>
        <v>6.3799999999999996E-2</v>
      </c>
      <c r="G24" s="213">
        <v>520.79999999999995</v>
      </c>
      <c r="H24" s="214">
        <f t="shared" si="0"/>
        <v>3.3227039999999992E-2</v>
      </c>
      <c r="I24" s="21">
        <v>0</v>
      </c>
      <c r="J24" s="200"/>
      <c r="K24" s="201"/>
      <c r="L24" s="201"/>
      <c r="M24" s="201"/>
      <c r="N24" s="201"/>
      <c r="O24" s="201"/>
      <c r="P24" s="201"/>
      <c r="Q24" s="201"/>
      <c r="R24" s="201"/>
      <c r="S24" s="201"/>
      <c r="T24" s="205"/>
      <c r="U24" s="205"/>
    </row>
    <row r="25" spans="1:21" ht="15" customHeight="1">
      <c r="A25" s="210">
        <v>4</v>
      </c>
      <c r="B25" s="176" t="s">
        <v>79</v>
      </c>
      <c r="C25" s="211" t="s">
        <v>37</v>
      </c>
      <c r="D25" s="176" t="s">
        <v>182</v>
      </c>
      <c r="E25" s="212">
        <v>0.1</v>
      </c>
      <c r="F25" s="213">
        <f>SUM(E25*365)</f>
        <v>36.5</v>
      </c>
      <c r="G25" s="213">
        <v>147.03</v>
      </c>
      <c r="H25" s="214">
        <f>SUM(F25*G25/1000)</f>
        <v>5.3665950000000002</v>
      </c>
      <c r="I25" s="21">
        <f>F25/12*G25</f>
        <v>447.21625</v>
      </c>
      <c r="J25" s="200"/>
      <c r="K25" s="201"/>
      <c r="L25" s="201"/>
      <c r="M25" s="201"/>
      <c r="N25" s="201"/>
      <c r="O25" s="201"/>
      <c r="P25" s="201"/>
      <c r="Q25" s="201"/>
      <c r="R25" s="201"/>
      <c r="S25" s="201"/>
      <c r="T25" s="205"/>
      <c r="U25" s="205"/>
    </row>
    <row r="26" spans="1:21" ht="15" customHeight="1">
      <c r="A26" s="210">
        <v>5</v>
      </c>
      <c r="B26" s="220" t="s">
        <v>26</v>
      </c>
      <c r="C26" s="211" t="s">
        <v>27</v>
      </c>
      <c r="D26" s="220" t="s">
        <v>183</v>
      </c>
      <c r="E26" s="212">
        <v>2549.5</v>
      </c>
      <c r="F26" s="213">
        <f>SUM(E26*12)</f>
        <v>30594</v>
      </c>
      <c r="G26" s="213">
        <v>4.95</v>
      </c>
      <c r="H26" s="214">
        <f>SUM(F26*G26/1000)</f>
        <v>151.44030000000001</v>
      </c>
      <c r="I26" s="21">
        <f>F26/12*G26</f>
        <v>12620.025</v>
      </c>
      <c r="J26" s="200"/>
      <c r="K26" s="201"/>
      <c r="L26" s="201"/>
      <c r="M26" s="201"/>
      <c r="N26" s="201"/>
      <c r="O26" s="201"/>
      <c r="P26" s="201"/>
      <c r="Q26" s="201"/>
      <c r="R26" s="201"/>
      <c r="S26" s="201"/>
      <c r="T26" s="205"/>
      <c r="U26" s="205"/>
    </row>
    <row r="27" spans="1:21" ht="15" hidden="1" customHeight="1">
      <c r="A27" s="274" t="s">
        <v>218</v>
      </c>
      <c r="B27" s="282"/>
      <c r="C27" s="282"/>
      <c r="D27" s="282"/>
      <c r="E27" s="282"/>
      <c r="F27" s="282"/>
      <c r="G27" s="282"/>
      <c r="H27" s="282"/>
      <c r="I27" s="283"/>
      <c r="J27" s="200"/>
      <c r="K27" s="201"/>
      <c r="L27" s="201"/>
      <c r="M27" s="201"/>
      <c r="N27" s="201"/>
      <c r="O27" s="201"/>
      <c r="P27" s="201"/>
      <c r="Q27" s="201"/>
      <c r="R27" s="201"/>
      <c r="S27" s="201"/>
      <c r="T27" s="205"/>
      <c r="U27" s="205"/>
    </row>
    <row r="28" spans="1:21" ht="30" hidden="1" customHeight="1">
      <c r="A28" s="210"/>
      <c r="B28" s="176" t="s">
        <v>184</v>
      </c>
      <c r="C28" s="211" t="s">
        <v>185</v>
      </c>
      <c r="D28" s="176" t="s">
        <v>186</v>
      </c>
      <c r="E28" s="213">
        <v>704.3</v>
      </c>
      <c r="F28" s="213">
        <f>SUM(E28*52/1000)</f>
        <v>36.623599999999996</v>
      </c>
      <c r="G28" s="213">
        <v>155.88999999999999</v>
      </c>
      <c r="H28" s="214">
        <f t="shared" ref="H28:H33" si="2">SUM(F28*G28/1000)</f>
        <v>5.7092530039999989</v>
      </c>
      <c r="I28" s="21">
        <v>0</v>
      </c>
      <c r="J28" s="200"/>
      <c r="K28" s="201"/>
      <c r="L28" s="201"/>
      <c r="M28" s="201"/>
      <c r="N28" s="201"/>
      <c r="O28" s="201"/>
      <c r="P28" s="201"/>
      <c r="Q28" s="201"/>
      <c r="R28" s="201"/>
      <c r="S28" s="201"/>
      <c r="T28" s="205"/>
      <c r="U28" s="205"/>
    </row>
    <row r="29" spans="1:21" ht="30" hidden="1" customHeight="1">
      <c r="A29" s="210"/>
      <c r="B29" s="176" t="s">
        <v>187</v>
      </c>
      <c r="C29" s="211" t="s">
        <v>185</v>
      </c>
      <c r="D29" s="176" t="s">
        <v>188</v>
      </c>
      <c r="E29" s="213">
        <v>70.430000000000007</v>
      </c>
      <c r="F29" s="213">
        <f>SUM(E29*78/1000)</f>
        <v>5.4935400000000012</v>
      </c>
      <c r="G29" s="213">
        <v>258.63</v>
      </c>
      <c r="H29" s="214">
        <f t="shared" si="2"/>
        <v>1.4207942502000004</v>
      </c>
      <c r="I29" s="21">
        <v>0</v>
      </c>
      <c r="J29" s="200"/>
      <c r="K29" s="201"/>
      <c r="L29" s="201"/>
      <c r="M29" s="201"/>
      <c r="N29" s="201"/>
      <c r="O29" s="201"/>
      <c r="P29" s="201"/>
      <c r="Q29" s="201"/>
      <c r="R29" s="201"/>
      <c r="S29" s="201"/>
      <c r="T29" s="205"/>
      <c r="U29" s="205"/>
    </row>
    <row r="30" spans="1:21" ht="15.75" hidden="1" customHeight="1">
      <c r="A30" s="210"/>
      <c r="B30" s="176" t="s">
        <v>32</v>
      </c>
      <c r="C30" s="211" t="s">
        <v>185</v>
      </c>
      <c r="D30" s="176" t="s">
        <v>66</v>
      </c>
      <c r="E30" s="213">
        <v>704.3</v>
      </c>
      <c r="F30" s="213">
        <f>SUM(E30/1000)</f>
        <v>0.70429999999999993</v>
      </c>
      <c r="G30" s="213">
        <v>3020.33</v>
      </c>
      <c r="H30" s="214">
        <f t="shared" si="2"/>
        <v>2.1272184189999996</v>
      </c>
      <c r="I30" s="21">
        <v>0</v>
      </c>
      <c r="J30" s="200"/>
      <c r="K30" s="201"/>
      <c r="L30" s="201"/>
      <c r="M30" s="201"/>
      <c r="N30" s="201"/>
      <c r="O30" s="201"/>
      <c r="P30" s="201"/>
      <c r="Q30" s="201"/>
      <c r="R30" s="201"/>
      <c r="S30" s="201"/>
      <c r="T30" s="205"/>
      <c r="U30" s="205"/>
    </row>
    <row r="31" spans="1:21" ht="15.75" hidden="1" customHeight="1">
      <c r="A31" s="210"/>
      <c r="B31" s="176" t="s">
        <v>189</v>
      </c>
      <c r="C31" s="211" t="s">
        <v>35</v>
      </c>
      <c r="D31" s="176" t="s">
        <v>78</v>
      </c>
      <c r="E31" s="221">
        <v>0.33333333333333331</v>
      </c>
      <c r="F31" s="213">
        <f>155/3</f>
        <v>51.666666666666664</v>
      </c>
      <c r="G31" s="213">
        <v>56.69</v>
      </c>
      <c r="H31" s="214">
        <f>SUM(G31*155/3/1000)</f>
        <v>2.9289833333333331</v>
      </c>
      <c r="I31" s="21">
        <v>0</v>
      </c>
      <c r="J31" s="200"/>
      <c r="K31" s="201"/>
      <c r="L31" s="201"/>
      <c r="M31" s="201"/>
      <c r="N31" s="201"/>
      <c r="O31" s="201"/>
      <c r="P31" s="201"/>
      <c r="Q31" s="201"/>
      <c r="R31" s="201"/>
      <c r="S31" s="201"/>
      <c r="T31" s="205"/>
      <c r="U31" s="205"/>
    </row>
    <row r="32" spans="1:21" ht="15" hidden="1" customHeight="1">
      <c r="A32" s="210"/>
      <c r="B32" s="176" t="s">
        <v>80</v>
      </c>
      <c r="C32" s="211" t="s">
        <v>37</v>
      </c>
      <c r="D32" s="176" t="s">
        <v>81</v>
      </c>
      <c r="E32" s="212"/>
      <c r="F32" s="213">
        <v>3</v>
      </c>
      <c r="G32" s="213">
        <v>191.32</v>
      </c>
      <c r="H32" s="214">
        <f t="shared" si="2"/>
        <v>0.57396000000000003</v>
      </c>
      <c r="I32" s="21">
        <v>0</v>
      </c>
      <c r="J32" s="200"/>
      <c r="K32" s="201"/>
      <c r="L32" s="201"/>
      <c r="M32" s="201"/>
      <c r="N32" s="201"/>
      <c r="O32" s="201"/>
      <c r="P32" s="201"/>
      <c r="Q32" s="201"/>
      <c r="R32" s="201"/>
      <c r="S32" s="201"/>
      <c r="T32" s="205"/>
      <c r="U32" s="205"/>
    </row>
    <row r="33" spans="1:21" ht="15" hidden="1" customHeight="1">
      <c r="A33" s="210"/>
      <c r="B33" s="176" t="s">
        <v>190</v>
      </c>
      <c r="C33" s="211" t="s">
        <v>36</v>
      </c>
      <c r="D33" s="176" t="s">
        <v>81</v>
      </c>
      <c r="E33" s="212"/>
      <c r="F33" s="213">
        <v>2</v>
      </c>
      <c r="G33" s="213">
        <v>1136.33</v>
      </c>
      <c r="H33" s="214">
        <f t="shared" si="2"/>
        <v>2.2726599999999997</v>
      </c>
      <c r="I33" s="21">
        <v>0</v>
      </c>
      <c r="J33" s="200"/>
      <c r="K33" s="201"/>
      <c r="L33" s="201"/>
      <c r="M33" s="201"/>
      <c r="N33" s="201"/>
      <c r="O33" s="201"/>
      <c r="P33" s="201"/>
      <c r="Q33" s="201"/>
      <c r="R33" s="201"/>
      <c r="S33" s="201"/>
      <c r="T33" s="205"/>
      <c r="U33" s="205"/>
    </row>
    <row r="34" spans="1:21" ht="15" customHeight="1">
      <c r="A34" s="274" t="s">
        <v>220</v>
      </c>
      <c r="B34" s="282"/>
      <c r="C34" s="282"/>
      <c r="D34" s="282"/>
      <c r="E34" s="282"/>
      <c r="F34" s="282"/>
      <c r="G34" s="282"/>
      <c r="H34" s="282"/>
      <c r="I34" s="283"/>
      <c r="J34" s="200"/>
      <c r="K34" s="201"/>
      <c r="L34" s="201"/>
      <c r="M34" s="201"/>
      <c r="N34" s="201"/>
      <c r="O34" s="201"/>
      <c r="P34" s="201"/>
      <c r="Q34" s="201"/>
      <c r="R34" s="201"/>
      <c r="S34" s="201"/>
      <c r="T34" s="205"/>
      <c r="U34" s="205"/>
    </row>
    <row r="35" spans="1:21" ht="15" customHeight="1">
      <c r="A35" s="210">
        <v>6</v>
      </c>
      <c r="B35" s="176" t="s">
        <v>30</v>
      </c>
      <c r="C35" s="211" t="s">
        <v>36</v>
      </c>
      <c r="D35" s="176"/>
      <c r="E35" s="212"/>
      <c r="F35" s="213">
        <v>8</v>
      </c>
      <c r="G35" s="213">
        <v>1527.22</v>
      </c>
      <c r="H35" s="214">
        <f t="shared" ref="H35:H42" si="3">SUM(F35*G35/1000)</f>
        <v>12.21776</v>
      </c>
      <c r="I35" s="21">
        <f>F35/6*G35</f>
        <v>2036.2933333333333</v>
      </c>
      <c r="J35" s="200"/>
      <c r="K35" s="201"/>
      <c r="L35" s="201"/>
      <c r="M35" s="201"/>
      <c r="N35" s="201"/>
      <c r="O35" s="201"/>
      <c r="P35" s="201"/>
      <c r="Q35" s="201"/>
      <c r="R35" s="201"/>
      <c r="S35" s="201"/>
      <c r="T35" s="205"/>
      <c r="U35" s="205"/>
    </row>
    <row r="36" spans="1:21" ht="15" customHeight="1">
      <c r="A36" s="210">
        <v>7</v>
      </c>
      <c r="B36" s="176" t="s">
        <v>191</v>
      </c>
      <c r="C36" s="211" t="s">
        <v>33</v>
      </c>
      <c r="D36" s="176" t="s">
        <v>192</v>
      </c>
      <c r="E36" s="212">
        <v>315</v>
      </c>
      <c r="F36" s="213">
        <f>E36*12/1000</f>
        <v>3.78</v>
      </c>
      <c r="G36" s="213">
        <v>2102.71</v>
      </c>
      <c r="H36" s="214">
        <f>G36*F36/1000</f>
        <v>7.9482437999999993</v>
      </c>
      <c r="I36" s="21">
        <f>F36/6*G36</f>
        <v>1324.7073</v>
      </c>
      <c r="J36" s="200"/>
      <c r="K36" s="201"/>
      <c r="L36" s="201"/>
      <c r="M36" s="201"/>
      <c r="N36" s="201"/>
      <c r="O36" s="201"/>
      <c r="P36" s="201"/>
      <c r="Q36" s="201"/>
      <c r="R36" s="201"/>
      <c r="S36" s="201"/>
      <c r="T36" s="205"/>
      <c r="U36" s="205"/>
    </row>
    <row r="37" spans="1:21" ht="15" customHeight="1">
      <c r="A37" s="210">
        <v>8</v>
      </c>
      <c r="B37" s="176" t="s">
        <v>193</v>
      </c>
      <c r="C37" s="211" t="s">
        <v>33</v>
      </c>
      <c r="D37" s="176" t="s">
        <v>194</v>
      </c>
      <c r="E37" s="212">
        <v>70.430000000000007</v>
      </c>
      <c r="F37" s="213">
        <f>E37*30/1000</f>
        <v>2.1129000000000002</v>
      </c>
      <c r="G37" s="213">
        <v>2102.71</v>
      </c>
      <c r="H37" s="214">
        <f>G37*F37/1000</f>
        <v>4.4428159590000007</v>
      </c>
      <c r="I37" s="21">
        <f>F37/6*G37</f>
        <v>740.46932650000008</v>
      </c>
      <c r="J37" s="200"/>
      <c r="K37" s="201"/>
      <c r="L37" s="201"/>
      <c r="M37" s="201"/>
      <c r="N37" s="201"/>
      <c r="O37" s="201"/>
      <c r="P37" s="201"/>
      <c r="Q37" s="201"/>
      <c r="R37" s="201"/>
      <c r="S37" s="201"/>
      <c r="T37" s="205"/>
      <c r="U37" s="205"/>
    </row>
    <row r="38" spans="1:21" ht="15" hidden="1" customHeight="1">
      <c r="A38" s="210">
        <v>9</v>
      </c>
      <c r="B38" s="176" t="s">
        <v>195</v>
      </c>
      <c r="C38" s="211" t="s">
        <v>196</v>
      </c>
      <c r="D38" s="176" t="s">
        <v>81</v>
      </c>
      <c r="E38" s="212"/>
      <c r="F38" s="213">
        <v>80</v>
      </c>
      <c r="G38" s="213">
        <v>213.2</v>
      </c>
      <c r="H38" s="214">
        <f>G38*F38/1000</f>
        <v>17.056000000000001</v>
      </c>
      <c r="I38" s="21">
        <v>0</v>
      </c>
      <c r="J38" s="200"/>
      <c r="K38" s="201"/>
      <c r="L38" s="201"/>
      <c r="M38" s="201"/>
      <c r="N38" s="201"/>
      <c r="O38" s="201"/>
      <c r="P38" s="201"/>
      <c r="Q38" s="201"/>
      <c r="R38" s="201"/>
      <c r="S38" s="201"/>
      <c r="T38" s="205"/>
      <c r="U38" s="205"/>
    </row>
    <row r="39" spans="1:21" ht="15" customHeight="1">
      <c r="A39" s="210">
        <v>9</v>
      </c>
      <c r="B39" s="176" t="s">
        <v>83</v>
      </c>
      <c r="C39" s="211" t="s">
        <v>33</v>
      </c>
      <c r="D39" s="176" t="s">
        <v>197</v>
      </c>
      <c r="E39" s="213">
        <v>70.430000000000007</v>
      </c>
      <c r="F39" s="213">
        <f>SUM(E39*155/1000)</f>
        <v>10.916650000000001</v>
      </c>
      <c r="G39" s="213">
        <v>350.75</v>
      </c>
      <c r="H39" s="214">
        <f t="shared" si="3"/>
        <v>3.8290149875000004</v>
      </c>
      <c r="I39" s="21">
        <f>F39/6*G39</f>
        <v>638.16916458333344</v>
      </c>
      <c r="J39" s="200"/>
      <c r="K39" s="201"/>
      <c r="L39" s="201"/>
      <c r="M39" s="201"/>
      <c r="N39" s="201"/>
      <c r="O39" s="201"/>
      <c r="P39" s="201"/>
      <c r="Q39" s="201"/>
      <c r="R39" s="201"/>
      <c r="S39" s="201"/>
      <c r="T39" s="205"/>
      <c r="U39" s="205"/>
    </row>
    <row r="40" spans="1:21" ht="45" customHeight="1">
      <c r="A40" s="210">
        <v>10</v>
      </c>
      <c r="B40" s="176" t="s">
        <v>106</v>
      </c>
      <c r="C40" s="211" t="s">
        <v>185</v>
      </c>
      <c r="D40" s="176" t="s">
        <v>198</v>
      </c>
      <c r="E40" s="213">
        <v>70.430000000000007</v>
      </c>
      <c r="F40" s="213">
        <f>SUM(E40*24/1000)</f>
        <v>1.6903200000000003</v>
      </c>
      <c r="G40" s="213">
        <v>5803.28</v>
      </c>
      <c r="H40" s="214">
        <f t="shared" si="3"/>
        <v>9.8094002496000012</v>
      </c>
      <c r="I40" s="21">
        <f>F40/6*G40</f>
        <v>1634.9000416000001</v>
      </c>
      <c r="J40" s="200"/>
      <c r="K40" s="201"/>
      <c r="L40" s="201"/>
      <c r="M40" s="201"/>
      <c r="N40" s="201"/>
      <c r="O40" s="201"/>
      <c r="P40" s="201"/>
      <c r="Q40" s="201"/>
      <c r="R40" s="201"/>
      <c r="S40" s="201"/>
      <c r="T40" s="205"/>
      <c r="U40" s="205"/>
    </row>
    <row r="41" spans="1:21" ht="15" customHeight="1">
      <c r="A41" s="210">
        <v>11</v>
      </c>
      <c r="B41" s="176" t="s">
        <v>199</v>
      </c>
      <c r="C41" s="211" t="s">
        <v>185</v>
      </c>
      <c r="D41" s="176" t="s">
        <v>84</v>
      </c>
      <c r="E41" s="213">
        <v>70.430000000000007</v>
      </c>
      <c r="F41" s="213">
        <f>SUM(E41*45/1000)</f>
        <v>3.1693500000000006</v>
      </c>
      <c r="G41" s="213">
        <v>428.7</v>
      </c>
      <c r="H41" s="214">
        <f t="shared" si="3"/>
        <v>1.3587003450000001</v>
      </c>
      <c r="I41" s="21">
        <f>F41/6*G41</f>
        <v>226.45005750000001</v>
      </c>
      <c r="J41" s="200"/>
      <c r="K41" s="201"/>
      <c r="L41" s="201"/>
      <c r="M41" s="201"/>
      <c r="N41" s="201"/>
      <c r="O41" s="201"/>
      <c r="P41" s="201"/>
      <c r="Q41" s="201"/>
      <c r="R41" s="201"/>
      <c r="S41" s="201"/>
      <c r="T41" s="205"/>
      <c r="U41" s="205"/>
    </row>
    <row r="42" spans="1:21" ht="15" customHeight="1">
      <c r="A42" s="210">
        <v>12</v>
      </c>
      <c r="B42" s="176" t="s">
        <v>85</v>
      </c>
      <c r="C42" s="211" t="s">
        <v>37</v>
      </c>
      <c r="D42" s="176"/>
      <c r="E42" s="212"/>
      <c r="F42" s="213">
        <v>0.8</v>
      </c>
      <c r="G42" s="213">
        <v>798</v>
      </c>
      <c r="H42" s="214">
        <f t="shared" si="3"/>
        <v>0.63840000000000008</v>
      </c>
      <c r="I42" s="21">
        <f>F42/6*G42</f>
        <v>106.39999999999999</v>
      </c>
      <c r="J42" s="200"/>
      <c r="K42" s="201"/>
      <c r="L42" s="201"/>
      <c r="M42" s="201"/>
      <c r="N42" s="201"/>
      <c r="O42" s="201"/>
      <c r="P42" s="201"/>
      <c r="Q42" s="201"/>
      <c r="R42" s="201"/>
      <c r="S42" s="201"/>
      <c r="T42" s="205"/>
      <c r="U42" s="205"/>
    </row>
    <row r="43" spans="1:21" ht="15" customHeight="1">
      <c r="A43" s="284" t="s">
        <v>221</v>
      </c>
      <c r="B43" s="285"/>
      <c r="C43" s="285"/>
      <c r="D43" s="285"/>
      <c r="E43" s="285"/>
      <c r="F43" s="285"/>
      <c r="G43" s="285"/>
      <c r="H43" s="285"/>
      <c r="I43" s="286"/>
      <c r="J43" s="200"/>
      <c r="K43" s="201"/>
      <c r="L43" s="201"/>
      <c r="M43" s="201"/>
      <c r="N43" s="201"/>
      <c r="O43" s="201"/>
      <c r="P43" s="201"/>
      <c r="Q43" s="201"/>
      <c r="R43" s="201"/>
      <c r="S43" s="201"/>
      <c r="T43" s="205"/>
      <c r="U43" s="205"/>
    </row>
    <row r="44" spans="1:21" ht="15" hidden="1" customHeight="1">
      <c r="A44" s="210"/>
      <c r="B44" s="176" t="s">
        <v>200</v>
      </c>
      <c r="C44" s="211" t="s">
        <v>185</v>
      </c>
      <c r="D44" s="176" t="s">
        <v>52</v>
      </c>
      <c r="E44" s="212">
        <v>1111.75</v>
      </c>
      <c r="F44" s="213">
        <f>SUM(E44*2/1000)</f>
        <v>2.2235</v>
      </c>
      <c r="G44" s="21">
        <v>809.74</v>
      </c>
      <c r="H44" s="214">
        <f t="shared" ref="H44:H54" si="4">SUM(F44*G44/1000)</f>
        <v>1.8004568900000002</v>
      </c>
      <c r="I44" s="21">
        <v>0</v>
      </c>
      <c r="J44" s="200"/>
      <c r="K44" s="201"/>
      <c r="L44" s="201"/>
      <c r="M44" s="201"/>
      <c r="N44" s="201"/>
      <c r="O44" s="201"/>
      <c r="P44" s="201"/>
      <c r="Q44" s="201"/>
      <c r="R44" s="201"/>
      <c r="S44" s="201"/>
      <c r="T44" s="205"/>
      <c r="U44" s="205"/>
    </row>
    <row r="45" spans="1:21" ht="15" hidden="1" customHeight="1">
      <c r="A45" s="210"/>
      <c r="B45" s="176" t="s">
        <v>41</v>
      </c>
      <c r="C45" s="211" t="s">
        <v>185</v>
      </c>
      <c r="D45" s="176" t="s">
        <v>52</v>
      </c>
      <c r="E45" s="212">
        <v>88</v>
      </c>
      <c r="F45" s="213">
        <f>E45*2/1000</f>
        <v>0.17599999999999999</v>
      </c>
      <c r="G45" s="21">
        <v>579.48</v>
      </c>
      <c r="H45" s="214">
        <f t="shared" si="4"/>
        <v>0.10198847999999999</v>
      </c>
      <c r="I45" s="21">
        <v>0</v>
      </c>
      <c r="J45" s="200"/>
      <c r="K45" s="201"/>
      <c r="L45" s="201"/>
      <c r="M45" s="201"/>
      <c r="N45" s="201"/>
      <c r="O45" s="201"/>
      <c r="P45" s="201"/>
      <c r="Q45" s="201"/>
      <c r="R45" s="201"/>
      <c r="S45" s="201"/>
      <c r="T45" s="205"/>
      <c r="U45" s="205"/>
    </row>
    <row r="46" spans="1:21" ht="15" hidden="1" customHeight="1">
      <c r="A46" s="210"/>
      <c r="B46" s="176" t="s">
        <v>42</v>
      </c>
      <c r="C46" s="211" t="s">
        <v>185</v>
      </c>
      <c r="D46" s="176" t="s">
        <v>52</v>
      </c>
      <c r="E46" s="212">
        <v>1250.6199999999999</v>
      </c>
      <c r="F46" s="213">
        <f>SUM(E46*2/1000)</f>
        <v>2.5012399999999997</v>
      </c>
      <c r="G46" s="21">
        <v>579.48</v>
      </c>
      <c r="H46" s="214">
        <f t="shared" si="4"/>
        <v>1.4494185551999998</v>
      </c>
      <c r="I46" s="21">
        <v>0</v>
      </c>
      <c r="J46" s="200"/>
      <c r="K46" s="201"/>
      <c r="L46" s="201"/>
      <c r="M46" s="201"/>
      <c r="N46" s="201"/>
      <c r="O46" s="201"/>
      <c r="P46" s="201"/>
      <c r="Q46" s="201"/>
      <c r="R46" s="201"/>
      <c r="S46" s="201"/>
      <c r="T46" s="205"/>
      <c r="U46" s="205"/>
    </row>
    <row r="47" spans="1:21" ht="15" hidden="1" customHeight="1">
      <c r="A47" s="210"/>
      <c r="B47" s="176" t="s">
        <v>43</v>
      </c>
      <c r="C47" s="211" t="s">
        <v>185</v>
      </c>
      <c r="D47" s="176" t="s">
        <v>52</v>
      </c>
      <c r="E47" s="212">
        <v>1295.68</v>
      </c>
      <c r="F47" s="213">
        <f>SUM(E47*2/1000)</f>
        <v>2.5913600000000003</v>
      </c>
      <c r="G47" s="21">
        <v>606.77</v>
      </c>
      <c r="H47" s="214">
        <f t="shared" si="4"/>
        <v>1.5723595072000001</v>
      </c>
      <c r="I47" s="21">
        <v>0</v>
      </c>
      <c r="J47" s="200"/>
      <c r="K47" s="201"/>
      <c r="L47" s="201"/>
      <c r="M47" s="201"/>
      <c r="N47" s="201"/>
      <c r="O47" s="201"/>
      <c r="P47" s="201"/>
      <c r="Q47" s="201"/>
      <c r="R47" s="201"/>
      <c r="S47" s="201"/>
      <c r="T47" s="205"/>
      <c r="U47" s="205"/>
    </row>
    <row r="48" spans="1:21" ht="15" hidden="1" customHeight="1">
      <c r="A48" s="210"/>
      <c r="B48" s="176" t="s">
        <v>39</v>
      </c>
      <c r="C48" s="211" t="s">
        <v>40</v>
      </c>
      <c r="D48" s="176" t="s">
        <v>52</v>
      </c>
      <c r="E48" s="212">
        <v>85.84</v>
      </c>
      <c r="F48" s="213">
        <f>E48*2/100</f>
        <v>1.7168000000000001</v>
      </c>
      <c r="G48" s="21">
        <v>72.81</v>
      </c>
      <c r="H48" s="214">
        <f>G48*F48/1000</f>
        <v>0.125000208</v>
      </c>
      <c r="I48" s="21">
        <v>0</v>
      </c>
      <c r="J48" s="200"/>
      <c r="K48" s="201"/>
      <c r="L48" s="201"/>
      <c r="M48" s="201"/>
      <c r="N48" s="201"/>
      <c r="O48" s="201"/>
      <c r="P48" s="201"/>
      <c r="Q48" s="201"/>
      <c r="R48" s="201"/>
      <c r="S48" s="201"/>
      <c r="T48" s="205"/>
      <c r="U48" s="205"/>
    </row>
    <row r="49" spans="1:21" ht="30" customHeight="1">
      <c r="A49" s="210">
        <v>13</v>
      </c>
      <c r="B49" s="176" t="s">
        <v>72</v>
      </c>
      <c r="C49" s="211" t="s">
        <v>185</v>
      </c>
      <c r="D49" s="176" t="s">
        <v>219</v>
      </c>
      <c r="E49" s="212">
        <v>897</v>
      </c>
      <c r="F49" s="213">
        <f>SUM(E49*5/1000)</f>
        <v>4.4850000000000003</v>
      </c>
      <c r="G49" s="21">
        <v>1213.55</v>
      </c>
      <c r="H49" s="214">
        <f t="shared" si="4"/>
        <v>5.4427717499999995</v>
      </c>
      <c r="I49" s="21">
        <f>F49/5*G49</f>
        <v>1088.5543499999999</v>
      </c>
      <c r="J49" s="200"/>
      <c r="K49" s="201"/>
      <c r="L49" s="201"/>
      <c r="M49" s="201"/>
      <c r="N49" s="201"/>
      <c r="O49" s="201"/>
      <c r="P49" s="201"/>
      <c r="Q49" s="201"/>
      <c r="R49" s="201"/>
      <c r="S49" s="201"/>
      <c r="T49" s="205"/>
      <c r="U49" s="205"/>
    </row>
    <row r="50" spans="1:21" ht="30" hidden="1" customHeight="1">
      <c r="A50" s="210"/>
      <c r="B50" s="176" t="s">
        <v>201</v>
      </c>
      <c r="C50" s="211" t="s">
        <v>185</v>
      </c>
      <c r="D50" s="176" t="s">
        <v>52</v>
      </c>
      <c r="E50" s="212">
        <v>897</v>
      </c>
      <c r="F50" s="213">
        <f>SUM(E50*2/1000)</f>
        <v>1.794</v>
      </c>
      <c r="G50" s="21">
        <v>1213.55</v>
      </c>
      <c r="H50" s="214">
        <f t="shared" si="4"/>
        <v>2.1771086999999998</v>
      </c>
      <c r="I50" s="21">
        <v>0</v>
      </c>
      <c r="J50" s="200"/>
      <c r="K50" s="201"/>
      <c r="L50" s="201"/>
      <c r="M50" s="201"/>
      <c r="N50" s="201"/>
      <c r="O50" s="201"/>
      <c r="P50" s="201"/>
      <c r="Q50" s="201"/>
      <c r="R50" s="201"/>
      <c r="S50" s="201"/>
      <c r="T50" s="205"/>
      <c r="U50" s="205"/>
    </row>
    <row r="51" spans="1:21" ht="30" hidden="1" customHeight="1">
      <c r="A51" s="210"/>
      <c r="B51" s="176" t="s">
        <v>202</v>
      </c>
      <c r="C51" s="211" t="s">
        <v>46</v>
      </c>
      <c r="D51" s="176" t="s">
        <v>52</v>
      </c>
      <c r="E51" s="212">
        <v>16</v>
      </c>
      <c r="F51" s="213">
        <f>SUM(E51*2/100)</f>
        <v>0.32</v>
      </c>
      <c r="G51" s="21">
        <v>2730.49</v>
      </c>
      <c r="H51" s="214">
        <f t="shared" si="4"/>
        <v>0.8737568</v>
      </c>
      <c r="I51" s="21">
        <v>0</v>
      </c>
      <c r="J51" s="200"/>
      <c r="K51" s="201"/>
      <c r="L51" s="201"/>
      <c r="M51" s="201"/>
      <c r="N51" s="201"/>
      <c r="O51" s="201"/>
      <c r="P51" s="201"/>
      <c r="Q51" s="201"/>
      <c r="R51" s="201"/>
      <c r="S51" s="201"/>
      <c r="T51" s="205"/>
      <c r="U51" s="205"/>
    </row>
    <row r="52" spans="1:21" ht="15.75" hidden="1" customHeight="1">
      <c r="A52" s="210"/>
      <c r="B52" s="176" t="s">
        <v>47</v>
      </c>
      <c r="C52" s="211" t="s">
        <v>48</v>
      </c>
      <c r="D52" s="176" t="s">
        <v>52</v>
      </c>
      <c r="E52" s="212">
        <v>1</v>
      </c>
      <c r="F52" s="213">
        <v>0.02</v>
      </c>
      <c r="G52" s="21">
        <v>5652.13</v>
      </c>
      <c r="H52" s="214">
        <f t="shared" si="4"/>
        <v>0.11304260000000001</v>
      </c>
      <c r="I52" s="21">
        <v>0</v>
      </c>
      <c r="J52" s="200"/>
      <c r="K52" s="201"/>
      <c r="L52" s="201"/>
      <c r="M52" s="201"/>
      <c r="N52" s="201"/>
      <c r="O52" s="201"/>
      <c r="P52" s="201"/>
      <c r="Q52" s="201"/>
      <c r="R52" s="201"/>
      <c r="S52" s="201"/>
      <c r="T52" s="205"/>
      <c r="U52" s="205"/>
    </row>
    <row r="53" spans="1:21" ht="15.75" hidden="1" customHeight="1">
      <c r="A53" s="210">
        <v>14</v>
      </c>
      <c r="B53" s="176" t="s">
        <v>203</v>
      </c>
      <c r="C53" s="211" t="s">
        <v>159</v>
      </c>
      <c r="D53" s="176" t="s">
        <v>86</v>
      </c>
      <c r="E53" s="212">
        <v>64</v>
      </c>
      <c r="F53" s="213">
        <f>E53*3</f>
        <v>192</v>
      </c>
      <c r="G53" s="21">
        <v>141.12</v>
      </c>
      <c r="H53" s="214">
        <f>F53*G53/1000</f>
        <v>27.095040000000001</v>
      </c>
      <c r="I53" s="21">
        <f>E53*G53</f>
        <v>9031.68</v>
      </c>
      <c r="J53" s="200"/>
      <c r="K53" s="201"/>
      <c r="L53" s="201"/>
      <c r="M53" s="201"/>
      <c r="N53" s="201"/>
      <c r="O53" s="201"/>
      <c r="P53" s="201"/>
      <c r="Q53" s="201"/>
      <c r="R53" s="201"/>
      <c r="S53" s="201"/>
      <c r="T53" s="205"/>
      <c r="U53" s="205"/>
    </row>
    <row r="54" spans="1:21" ht="15.75" hidden="1" customHeight="1">
      <c r="A54" s="210">
        <v>15</v>
      </c>
      <c r="B54" s="176" t="s">
        <v>51</v>
      </c>
      <c r="C54" s="211" t="s">
        <v>159</v>
      </c>
      <c r="D54" s="176" t="s">
        <v>86</v>
      </c>
      <c r="E54" s="212">
        <v>128</v>
      </c>
      <c r="F54" s="213">
        <f>SUM(E54)*3</f>
        <v>384</v>
      </c>
      <c r="G54" s="21">
        <v>65.67</v>
      </c>
      <c r="H54" s="214">
        <f t="shared" si="4"/>
        <v>25.217279999999999</v>
      </c>
      <c r="I54" s="21">
        <f>E54*G54</f>
        <v>8405.76</v>
      </c>
      <c r="J54" s="200"/>
      <c r="K54" s="201"/>
      <c r="L54" s="201"/>
      <c r="M54" s="201"/>
      <c r="N54" s="201"/>
      <c r="O54" s="201"/>
      <c r="P54" s="201"/>
      <c r="Q54" s="201"/>
      <c r="R54" s="201"/>
      <c r="S54" s="201"/>
      <c r="T54" s="205"/>
      <c r="U54" s="205"/>
    </row>
    <row r="55" spans="1:21" ht="15.75" customHeight="1">
      <c r="A55" s="274" t="s">
        <v>222</v>
      </c>
      <c r="B55" s="275"/>
      <c r="C55" s="275"/>
      <c r="D55" s="275"/>
      <c r="E55" s="275"/>
      <c r="F55" s="275"/>
      <c r="G55" s="275"/>
      <c r="H55" s="275"/>
      <c r="I55" s="276"/>
      <c r="J55" s="200"/>
      <c r="K55" s="201"/>
      <c r="L55" s="201"/>
      <c r="M55" s="201"/>
      <c r="N55" s="201"/>
      <c r="O55" s="201"/>
      <c r="P55" s="201"/>
      <c r="Q55" s="201"/>
      <c r="R55" s="201"/>
      <c r="S55" s="201"/>
      <c r="T55" s="205"/>
      <c r="U55" s="205"/>
    </row>
    <row r="56" spans="1:21" ht="15" customHeight="1">
      <c r="A56" s="210"/>
      <c r="B56" s="251" t="s">
        <v>53</v>
      </c>
      <c r="C56" s="250"/>
      <c r="D56" s="249"/>
      <c r="E56" s="212"/>
      <c r="F56" s="213"/>
      <c r="G56" s="213"/>
      <c r="H56" s="214"/>
      <c r="I56" s="21"/>
      <c r="J56" s="200"/>
      <c r="K56" s="201"/>
      <c r="L56" s="201"/>
      <c r="M56" s="201"/>
      <c r="N56" s="201"/>
      <c r="O56" s="201"/>
      <c r="P56" s="201"/>
      <c r="Q56" s="201"/>
      <c r="R56" s="201"/>
      <c r="S56" s="201"/>
      <c r="T56" s="205"/>
      <c r="U56" s="205"/>
    </row>
    <row r="57" spans="1:21" ht="30" customHeight="1">
      <c r="A57" s="210">
        <v>14</v>
      </c>
      <c r="B57" s="176" t="s">
        <v>204</v>
      </c>
      <c r="C57" s="211" t="s">
        <v>145</v>
      </c>
      <c r="D57" s="176" t="s">
        <v>205</v>
      </c>
      <c r="E57" s="212">
        <v>123.175</v>
      </c>
      <c r="F57" s="213">
        <f>SUM(E57*6/100)</f>
        <v>7.3904999999999994</v>
      </c>
      <c r="G57" s="21">
        <v>1547.28</v>
      </c>
      <c r="H57" s="214">
        <f>SUM(F57*G57/1000)</f>
        <v>11.43517284</v>
      </c>
      <c r="I57" s="21">
        <f>F57/6*G57</f>
        <v>1905.8621399999997</v>
      </c>
      <c r="J57" s="200"/>
      <c r="K57" s="201"/>
      <c r="L57" s="201"/>
      <c r="M57" s="201"/>
      <c r="N57" s="201"/>
      <c r="O57" s="201"/>
      <c r="P57" s="201"/>
      <c r="Q57" s="201"/>
      <c r="R57" s="201"/>
      <c r="S57" s="201"/>
      <c r="T57" s="205"/>
      <c r="U57" s="205"/>
    </row>
    <row r="58" spans="1:21" ht="15" hidden="1" customHeight="1">
      <c r="A58" s="223"/>
      <c r="B58" s="251" t="s">
        <v>54</v>
      </c>
      <c r="C58" s="250"/>
      <c r="D58" s="249"/>
      <c r="E58" s="226"/>
      <c r="F58" s="227"/>
      <c r="G58" s="21"/>
      <c r="H58" s="228"/>
      <c r="I58" s="21"/>
      <c r="J58" s="200"/>
      <c r="K58" s="201"/>
      <c r="L58" s="201"/>
      <c r="M58" s="201"/>
      <c r="N58" s="201"/>
      <c r="O58" s="201"/>
      <c r="P58" s="201"/>
      <c r="Q58" s="201"/>
      <c r="R58" s="201"/>
      <c r="S58" s="201"/>
      <c r="T58" s="205"/>
      <c r="U58" s="205"/>
    </row>
    <row r="59" spans="1:21" ht="15" hidden="1" customHeight="1">
      <c r="A59" s="223"/>
      <c r="B59" s="225" t="s">
        <v>206</v>
      </c>
      <c r="C59" s="224" t="s">
        <v>65</v>
      </c>
      <c r="D59" s="225" t="s">
        <v>66</v>
      </c>
      <c r="E59" s="226">
        <v>897</v>
      </c>
      <c r="F59" s="227">
        <v>8.9700000000000006</v>
      </c>
      <c r="G59" s="21">
        <v>793.61</v>
      </c>
      <c r="H59" s="228">
        <f>F59*G59/1000</f>
        <v>7.1186817000000007</v>
      </c>
      <c r="I59" s="21">
        <v>0</v>
      </c>
      <c r="J59" s="200"/>
      <c r="K59" s="201"/>
      <c r="L59" s="201"/>
      <c r="M59" s="201"/>
      <c r="N59" s="201"/>
      <c r="O59" s="201"/>
      <c r="P59" s="201"/>
      <c r="Q59" s="201"/>
      <c r="R59" s="201"/>
      <c r="S59" s="201"/>
      <c r="T59" s="205"/>
      <c r="U59" s="205"/>
    </row>
    <row r="60" spans="1:21" ht="15" customHeight="1">
      <c r="A60" s="223"/>
      <c r="B60" s="251" t="s">
        <v>56</v>
      </c>
      <c r="C60" s="250"/>
      <c r="D60" s="250"/>
      <c r="E60" s="226"/>
      <c r="F60" s="229"/>
      <c r="G60" s="229"/>
      <c r="H60" s="227" t="s">
        <v>183</v>
      </c>
      <c r="I60" s="21"/>
      <c r="J60" s="200"/>
      <c r="K60" s="201"/>
      <c r="L60" s="201"/>
      <c r="M60" s="201"/>
      <c r="N60" s="201"/>
      <c r="O60" s="201"/>
      <c r="P60" s="201"/>
      <c r="Q60" s="201"/>
      <c r="R60" s="201"/>
      <c r="S60" s="201"/>
      <c r="T60" s="205"/>
      <c r="U60" s="205"/>
    </row>
    <row r="61" spans="1:21" ht="15" customHeight="1">
      <c r="A61" s="25">
        <v>15</v>
      </c>
      <c r="B61" s="32" t="s">
        <v>57</v>
      </c>
      <c r="C61" s="33" t="s">
        <v>159</v>
      </c>
      <c r="D61" s="252" t="s">
        <v>81</v>
      </c>
      <c r="E61" s="27">
        <v>15</v>
      </c>
      <c r="F61" s="213">
        <v>15</v>
      </c>
      <c r="G61" s="21">
        <v>222.4</v>
      </c>
      <c r="H61" s="215">
        <f t="shared" ref="H61:H74" si="5">SUM(F61*G61/1000)</f>
        <v>3.3359999999999999</v>
      </c>
      <c r="I61" s="21">
        <f>G61*2</f>
        <v>444.8</v>
      </c>
      <c r="J61" s="200"/>
      <c r="K61" s="201"/>
      <c r="L61" s="201"/>
      <c r="M61" s="201"/>
      <c r="N61" s="201"/>
      <c r="O61" s="201"/>
      <c r="P61" s="201"/>
      <c r="Q61" s="201"/>
      <c r="R61" s="201"/>
      <c r="S61" s="201"/>
      <c r="T61" s="205"/>
      <c r="U61" s="205"/>
    </row>
    <row r="62" spans="1:21" ht="15" hidden="1" customHeight="1">
      <c r="A62" s="25"/>
      <c r="B62" s="23" t="s">
        <v>58</v>
      </c>
      <c r="C62" s="25" t="s">
        <v>159</v>
      </c>
      <c r="D62" s="176" t="s">
        <v>81</v>
      </c>
      <c r="E62" s="27">
        <v>5</v>
      </c>
      <c r="F62" s="213">
        <v>5</v>
      </c>
      <c r="G62" s="21">
        <v>76.25</v>
      </c>
      <c r="H62" s="215">
        <f t="shared" si="5"/>
        <v>0.38124999999999998</v>
      </c>
      <c r="I62" s="21">
        <v>0</v>
      </c>
      <c r="J62" s="200"/>
      <c r="K62" s="201"/>
      <c r="L62" s="201"/>
      <c r="M62" s="201"/>
      <c r="N62" s="201"/>
      <c r="O62" s="201"/>
      <c r="P62" s="201"/>
      <c r="Q62" s="201"/>
      <c r="R62" s="201"/>
      <c r="S62" s="201"/>
      <c r="T62" s="205"/>
      <c r="U62" s="205"/>
    </row>
    <row r="63" spans="1:21" ht="15" hidden="1" customHeight="1">
      <c r="A63" s="25"/>
      <c r="B63" s="23" t="s">
        <v>59</v>
      </c>
      <c r="C63" s="25" t="s">
        <v>160</v>
      </c>
      <c r="D63" s="23" t="s">
        <v>66</v>
      </c>
      <c r="E63" s="212">
        <v>10052</v>
      </c>
      <c r="F63" s="21">
        <f>SUM(E63/100)</f>
        <v>100.52</v>
      </c>
      <c r="G63" s="21">
        <v>212.15</v>
      </c>
      <c r="H63" s="215">
        <f t="shared" si="5"/>
        <v>21.325317999999999</v>
      </c>
      <c r="I63" s="21">
        <v>0</v>
      </c>
      <c r="J63" s="200"/>
      <c r="K63" s="201"/>
      <c r="L63" s="201"/>
      <c r="M63" s="201"/>
      <c r="N63" s="201"/>
      <c r="O63" s="201"/>
      <c r="P63" s="201"/>
      <c r="Q63" s="201"/>
      <c r="R63" s="201"/>
      <c r="S63" s="201"/>
      <c r="T63" s="205"/>
      <c r="U63" s="205"/>
    </row>
    <row r="64" spans="1:21" ht="15" hidden="1" customHeight="1">
      <c r="A64" s="25"/>
      <c r="B64" s="23" t="s">
        <v>60</v>
      </c>
      <c r="C64" s="25" t="s">
        <v>161</v>
      </c>
      <c r="D64" s="23"/>
      <c r="E64" s="212">
        <v>10052</v>
      </c>
      <c r="F64" s="21">
        <f>SUM(E64/1000)</f>
        <v>10.052</v>
      </c>
      <c r="G64" s="21">
        <v>165.21</v>
      </c>
      <c r="H64" s="215">
        <f t="shared" si="5"/>
        <v>1.66069092</v>
      </c>
      <c r="I64" s="21">
        <v>0</v>
      </c>
      <c r="J64" s="200"/>
      <c r="K64" s="201"/>
      <c r="L64" s="201"/>
      <c r="M64" s="201"/>
      <c r="N64" s="201"/>
      <c r="O64" s="201"/>
      <c r="P64" s="201"/>
      <c r="Q64" s="201"/>
      <c r="R64" s="201"/>
      <c r="S64" s="201"/>
      <c r="T64" s="205"/>
      <c r="U64" s="205"/>
    </row>
    <row r="65" spans="1:21" ht="15" hidden="1" customHeight="1">
      <c r="A65" s="25"/>
      <c r="B65" s="23" t="s">
        <v>61</v>
      </c>
      <c r="C65" s="25" t="s">
        <v>93</v>
      </c>
      <c r="D65" s="23" t="s">
        <v>66</v>
      </c>
      <c r="E65" s="212">
        <v>2200</v>
      </c>
      <c r="F65" s="21">
        <f>SUM(E65/100)</f>
        <v>22</v>
      </c>
      <c r="G65" s="21">
        <v>2074.63</v>
      </c>
      <c r="H65" s="215">
        <f t="shared" si="5"/>
        <v>45.641860000000001</v>
      </c>
      <c r="I65" s="21">
        <v>0</v>
      </c>
      <c r="J65" s="200"/>
      <c r="K65" s="201"/>
      <c r="L65" s="201"/>
      <c r="M65" s="201"/>
      <c r="N65" s="201"/>
      <c r="O65" s="201"/>
      <c r="P65" s="201"/>
      <c r="Q65" s="201"/>
      <c r="R65" s="201"/>
      <c r="S65" s="201"/>
      <c r="T65" s="205"/>
      <c r="U65" s="205"/>
    </row>
    <row r="66" spans="1:21" ht="15" hidden="1" customHeight="1">
      <c r="A66" s="25"/>
      <c r="B66" s="230" t="s">
        <v>162</v>
      </c>
      <c r="C66" s="25" t="s">
        <v>37</v>
      </c>
      <c r="D66" s="23"/>
      <c r="E66" s="212">
        <v>9.4</v>
      </c>
      <c r="F66" s="21">
        <f>SUM(E66)</f>
        <v>9.4</v>
      </c>
      <c r="G66" s="21">
        <v>42.67</v>
      </c>
      <c r="H66" s="215">
        <f t="shared" si="5"/>
        <v>0.40109800000000001</v>
      </c>
      <c r="I66" s="21">
        <v>0</v>
      </c>
      <c r="J66" s="200"/>
      <c r="K66" s="201"/>
      <c r="L66" s="201"/>
      <c r="M66" s="201"/>
      <c r="N66" s="201"/>
      <c r="O66" s="201"/>
      <c r="P66" s="201"/>
      <c r="Q66" s="201"/>
      <c r="R66" s="201"/>
      <c r="S66" s="201"/>
      <c r="T66" s="205"/>
      <c r="U66" s="205"/>
    </row>
    <row r="67" spans="1:21" ht="15" hidden="1" customHeight="1">
      <c r="A67" s="231"/>
      <c r="B67" s="230" t="s">
        <v>163</v>
      </c>
      <c r="C67" s="25" t="s">
        <v>37</v>
      </c>
      <c r="D67" s="23"/>
      <c r="E67" s="212">
        <v>9.4</v>
      </c>
      <c r="F67" s="21">
        <f>SUM(E67)</f>
        <v>9.4</v>
      </c>
      <c r="G67" s="21">
        <v>39.81</v>
      </c>
      <c r="H67" s="215">
        <f t="shared" si="5"/>
        <v>0.37421400000000005</v>
      </c>
      <c r="I67" s="21">
        <v>0</v>
      </c>
      <c r="J67" s="200"/>
      <c r="K67" s="201"/>
      <c r="L67" s="201"/>
      <c r="M67" s="201"/>
      <c r="N67" s="201"/>
      <c r="O67" s="201"/>
      <c r="P67" s="201"/>
      <c r="Q67" s="201"/>
      <c r="R67" s="201"/>
      <c r="S67" s="201"/>
      <c r="T67" s="205"/>
      <c r="U67" s="205"/>
    </row>
    <row r="68" spans="1:21" ht="15" hidden="1" customHeight="1">
      <c r="A68" s="25"/>
      <c r="B68" s="23" t="s">
        <v>73</v>
      </c>
      <c r="C68" s="25" t="s">
        <v>74</v>
      </c>
      <c r="D68" s="23" t="s">
        <v>66</v>
      </c>
      <c r="E68" s="27">
        <v>5</v>
      </c>
      <c r="F68" s="213">
        <v>5</v>
      </c>
      <c r="G68" s="21">
        <v>49.88</v>
      </c>
      <c r="H68" s="215">
        <f t="shared" si="5"/>
        <v>0.24940000000000001</v>
      </c>
      <c r="I68" s="21">
        <v>0</v>
      </c>
      <c r="J68" s="200"/>
      <c r="K68" s="201"/>
      <c r="L68" s="201"/>
      <c r="M68" s="201"/>
      <c r="N68" s="201"/>
      <c r="O68" s="201"/>
      <c r="P68" s="201"/>
      <c r="Q68" s="201"/>
      <c r="R68" s="201"/>
      <c r="S68" s="201"/>
      <c r="T68" s="205"/>
      <c r="U68" s="205"/>
    </row>
    <row r="69" spans="1:21" ht="15" hidden="1" customHeight="1">
      <c r="A69" s="231"/>
      <c r="B69" s="188" t="s">
        <v>87</v>
      </c>
      <c r="C69" s="253"/>
      <c r="D69" s="253"/>
      <c r="E69" s="27"/>
      <c r="F69" s="21"/>
      <c r="G69" s="21"/>
      <c r="H69" s="215" t="s">
        <v>183</v>
      </c>
      <c r="I69" s="21"/>
      <c r="J69" s="200"/>
      <c r="K69" s="201"/>
      <c r="L69" s="201"/>
      <c r="M69" s="201"/>
      <c r="N69" s="201"/>
      <c r="O69" s="201"/>
      <c r="P69" s="201"/>
      <c r="Q69" s="201"/>
      <c r="R69" s="201"/>
      <c r="S69" s="201"/>
      <c r="T69" s="205"/>
      <c r="U69" s="205"/>
    </row>
    <row r="70" spans="1:21" ht="15" hidden="1" customHeight="1">
      <c r="A70" s="25"/>
      <c r="B70" s="23" t="s">
        <v>88</v>
      </c>
      <c r="C70" s="25" t="s">
        <v>90</v>
      </c>
      <c r="D70" s="23"/>
      <c r="E70" s="27">
        <v>3</v>
      </c>
      <c r="F70" s="21">
        <v>0.3</v>
      </c>
      <c r="G70" s="21">
        <v>501.62</v>
      </c>
      <c r="H70" s="215">
        <f t="shared" si="5"/>
        <v>0.15048599999999998</v>
      </c>
      <c r="I70" s="21">
        <v>0</v>
      </c>
      <c r="J70" s="200"/>
      <c r="K70" s="201"/>
      <c r="L70" s="201"/>
      <c r="M70" s="201"/>
      <c r="N70" s="201"/>
      <c r="O70" s="201"/>
      <c r="P70" s="201"/>
      <c r="Q70" s="201"/>
      <c r="R70" s="201"/>
      <c r="S70" s="201"/>
      <c r="T70" s="205"/>
      <c r="U70" s="205"/>
    </row>
    <row r="71" spans="1:21" ht="15" hidden="1" customHeight="1">
      <c r="A71" s="25"/>
      <c r="B71" s="23" t="s">
        <v>89</v>
      </c>
      <c r="C71" s="25" t="s">
        <v>35</v>
      </c>
      <c r="D71" s="23"/>
      <c r="E71" s="27">
        <v>1</v>
      </c>
      <c r="F71" s="232">
        <v>1</v>
      </c>
      <c r="G71" s="21">
        <v>852.99</v>
      </c>
      <c r="H71" s="215">
        <f>F71*G71/1000</f>
        <v>0.85299000000000003</v>
      </c>
      <c r="I71" s="21">
        <v>0</v>
      </c>
      <c r="J71" s="200"/>
      <c r="K71" s="201"/>
      <c r="L71" s="201"/>
      <c r="M71" s="201"/>
      <c r="N71" s="201"/>
      <c r="O71" s="201"/>
      <c r="P71" s="201"/>
      <c r="Q71" s="201"/>
      <c r="R71" s="201"/>
      <c r="S71" s="201"/>
      <c r="T71" s="205"/>
      <c r="U71" s="205"/>
    </row>
    <row r="72" spans="1:21" ht="15" hidden="1" customHeight="1">
      <c r="A72" s="25"/>
      <c r="B72" s="23" t="s">
        <v>126</v>
      </c>
      <c r="C72" s="25" t="s">
        <v>35</v>
      </c>
      <c r="D72" s="23"/>
      <c r="E72" s="27">
        <v>1</v>
      </c>
      <c r="F72" s="21">
        <v>1</v>
      </c>
      <c r="G72" s="21">
        <v>358.51</v>
      </c>
      <c r="H72" s="215">
        <f>G72*F72/1000</f>
        <v>0.35851</v>
      </c>
      <c r="I72" s="21">
        <v>0</v>
      </c>
      <c r="J72" s="200"/>
      <c r="K72" s="201"/>
      <c r="L72" s="201"/>
      <c r="M72" s="201"/>
      <c r="N72" s="201"/>
      <c r="O72" s="201"/>
      <c r="P72" s="201"/>
      <c r="Q72" s="201"/>
      <c r="R72" s="201"/>
      <c r="S72" s="201"/>
      <c r="T72" s="205"/>
      <c r="U72" s="205"/>
    </row>
    <row r="73" spans="1:21" ht="15" hidden="1" customHeight="1">
      <c r="A73" s="231"/>
      <c r="B73" s="234" t="s">
        <v>91</v>
      </c>
      <c r="C73" s="253"/>
      <c r="D73" s="253"/>
      <c r="E73" s="27"/>
      <c r="F73" s="21"/>
      <c r="G73" s="21" t="s">
        <v>183</v>
      </c>
      <c r="H73" s="215" t="s">
        <v>183</v>
      </c>
      <c r="I73" s="21"/>
      <c r="J73" s="200"/>
      <c r="K73" s="201"/>
      <c r="L73" s="201"/>
      <c r="M73" s="201"/>
      <c r="N73" s="201"/>
      <c r="O73" s="201"/>
      <c r="P73" s="201"/>
      <c r="Q73" s="201"/>
      <c r="R73" s="201"/>
      <c r="S73" s="201"/>
      <c r="T73" s="205"/>
      <c r="U73" s="205"/>
    </row>
    <row r="74" spans="1:21" ht="15" hidden="1" customHeight="1">
      <c r="A74" s="25"/>
      <c r="B74" s="85" t="s">
        <v>92</v>
      </c>
      <c r="C74" s="25" t="s">
        <v>93</v>
      </c>
      <c r="D74" s="23"/>
      <c r="E74" s="27"/>
      <c r="F74" s="21">
        <v>1</v>
      </c>
      <c r="G74" s="21">
        <v>2579.44</v>
      </c>
      <c r="H74" s="215">
        <f t="shared" si="5"/>
        <v>2.57944</v>
      </c>
      <c r="I74" s="21">
        <v>0</v>
      </c>
      <c r="J74" s="200"/>
      <c r="K74" s="201"/>
      <c r="L74" s="201"/>
      <c r="M74" s="201"/>
      <c r="N74" s="201"/>
      <c r="O74" s="201"/>
      <c r="P74" s="201"/>
      <c r="Q74" s="201"/>
      <c r="R74" s="201"/>
      <c r="S74" s="201"/>
      <c r="T74" s="205"/>
      <c r="U74" s="205"/>
    </row>
    <row r="75" spans="1:21" ht="15" hidden="1" customHeight="1">
      <c r="A75" s="248"/>
      <c r="B75" s="188" t="s">
        <v>165</v>
      </c>
      <c r="C75" s="254"/>
      <c r="D75" s="254"/>
      <c r="E75" s="237"/>
      <c r="F75" s="21"/>
      <c r="G75" s="21"/>
      <c r="H75" s="215"/>
      <c r="I75" s="21"/>
      <c r="J75" s="200"/>
      <c r="K75" s="201"/>
      <c r="L75" s="201"/>
      <c r="M75" s="201"/>
      <c r="N75" s="201"/>
      <c r="O75" s="201"/>
      <c r="P75" s="201"/>
      <c r="Q75" s="201"/>
      <c r="R75" s="201"/>
      <c r="S75" s="201"/>
      <c r="T75" s="205"/>
      <c r="U75" s="205"/>
    </row>
    <row r="76" spans="1:21" ht="15" hidden="1" customHeight="1">
      <c r="A76" s="236"/>
      <c r="B76" s="252" t="s">
        <v>166</v>
      </c>
      <c r="C76" s="33"/>
      <c r="D76" s="32"/>
      <c r="E76" s="237"/>
      <c r="F76" s="21">
        <v>1</v>
      </c>
      <c r="G76" s="21">
        <v>20950</v>
      </c>
      <c r="H76" s="215">
        <f>G76*F76/1000</f>
        <v>20.95</v>
      </c>
      <c r="I76" s="21">
        <v>0</v>
      </c>
      <c r="J76" s="200"/>
      <c r="K76" s="201"/>
      <c r="L76" s="201"/>
      <c r="M76" s="201"/>
      <c r="N76" s="201"/>
      <c r="O76" s="201"/>
      <c r="P76" s="201"/>
      <c r="Q76" s="201"/>
      <c r="R76" s="201"/>
      <c r="S76" s="201"/>
      <c r="T76" s="205"/>
      <c r="U76" s="205"/>
    </row>
    <row r="77" spans="1:21" ht="15" customHeight="1">
      <c r="A77" s="274" t="s">
        <v>227</v>
      </c>
      <c r="B77" s="275"/>
      <c r="C77" s="275"/>
      <c r="D77" s="275"/>
      <c r="E77" s="275"/>
      <c r="F77" s="275"/>
      <c r="G77" s="275"/>
      <c r="H77" s="275"/>
      <c r="I77" s="276"/>
      <c r="J77" s="200"/>
      <c r="K77" s="201"/>
      <c r="L77" s="201"/>
      <c r="M77" s="201"/>
      <c r="N77" s="201"/>
      <c r="O77" s="201"/>
      <c r="P77" s="201"/>
      <c r="Q77" s="201"/>
      <c r="R77" s="201"/>
      <c r="S77" s="201"/>
      <c r="T77" s="205"/>
      <c r="U77" s="205"/>
    </row>
    <row r="78" spans="1:21" ht="15" customHeight="1">
      <c r="A78" s="25">
        <v>16</v>
      </c>
      <c r="B78" s="176" t="s">
        <v>207</v>
      </c>
      <c r="C78" s="25" t="s">
        <v>70</v>
      </c>
      <c r="D78" s="238"/>
      <c r="E78" s="21">
        <v>2549.5</v>
      </c>
      <c r="F78" s="21">
        <f>SUM(E78*12)</f>
        <v>30594</v>
      </c>
      <c r="G78" s="21">
        <v>2.1</v>
      </c>
      <c r="H78" s="215">
        <f>SUM(F78*G78/1000)</f>
        <v>64.247399999999999</v>
      </c>
      <c r="I78" s="21">
        <f>F78/12*G78</f>
        <v>5353.95</v>
      </c>
      <c r="J78" s="200"/>
      <c r="K78" s="201"/>
      <c r="L78" s="201"/>
      <c r="M78" s="201"/>
      <c r="N78" s="201"/>
      <c r="O78" s="201"/>
      <c r="P78" s="201"/>
      <c r="Q78" s="201"/>
      <c r="R78" s="201"/>
      <c r="S78" s="201"/>
      <c r="T78" s="205"/>
      <c r="U78" s="205"/>
    </row>
    <row r="79" spans="1:21" ht="30" customHeight="1">
      <c r="A79" s="255">
        <v>17</v>
      </c>
      <c r="B79" s="23" t="s">
        <v>94</v>
      </c>
      <c r="C79" s="25"/>
      <c r="D79" s="85"/>
      <c r="E79" s="212">
        <f>E78</f>
        <v>2549.5</v>
      </c>
      <c r="F79" s="21">
        <f>E79*12</f>
        <v>30594</v>
      </c>
      <c r="G79" s="21">
        <v>1.63</v>
      </c>
      <c r="H79" s="215">
        <f>F79*G79/1000</f>
        <v>49.868219999999994</v>
      </c>
      <c r="I79" s="21">
        <f>F79/12*G79</f>
        <v>4155.6849999999995</v>
      </c>
      <c r="J79" s="200"/>
      <c r="K79" s="201"/>
      <c r="L79" s="201"/>
      <c r="M79" s="201"/>
      <c r="N79" s="201"/>
      <c r="O79" s="201"/>
      <c r="P79" s="201"/>
      <c r="Q79" s="201"/>
      <c r="R79" s="201"/>
      <c r="S79" s="201"/>
      <c r="T79" s="205"/>
      <c r="U79" s="205"/>
    </row>
    <row r="80" spans="1:21" ht="15" customHeight="1">
      <c r="A80" s="239"/>
      <c r="B80" s="73" t="s">
        <v>99</v>
      </c>
      <c r="C80" s="234"/>
      <c r="D80" s="233"/>
      <c r="E80" s="235"/>
      <c r="F80" s="235"/>
      <c r="G80" s="235"/>
      <c r="H80" s="222">
        <f>H79</f>
        <v>49.868219999999994</v>
      </c>
      <c r="I80" s="235">
        <f>I15+I16+I17+I25+I26+I35+I36+I37+I39+I40+I41+I42+I49+I57+I61+I78+I79</f>
        <v>40434.438343516667</v>
      </c>
      <c r="J80" s="202"/>
      <c r="K80" s="203"/>
      <c r="L80" s="203"/>
      <c r="M80" s="203"/>
      <c r="N80" s="203"/>
      <c r="O80" s="203"/>
      <c r="P80" s="203"/>
      <c r="Q80" s="203"/>
      <c r="R80" s="203"/>
      <c r="S80" s="203"/>
      <c r="T80" s="205"/>
      <c r="U80" s="205"/>
    </row>
    <row r="81" spans="1:22" ht="15" customHeight="1">
      <c r="A81" s="239"/>
      <c r="B81" s="145" t="s">
        <v>75</v>
      </c>
      <c r="C81" s="25"/>
      <c r="D81" s="85"/>
      <c r="E81" s="21"/>
      <c r="F81" s="21"/>
      <c r="G81" s="21"/>
      <c r="H81" s="222" t="e">
        <f>SUM(H80+#REF!+#REF!+#REF!+#REF!+#REF!+#REF!)</f>
        <v>#REF!</v>
      </c>
      <c r="I81" s="21"/>
      <c r="J81" s="200"/>
      <c r="K81" s="201"/>
      <c r="L81" s="201"/>
      <c r="M81" s="201"/>
      <c r="N81" s="201"/>
      <c r="O81" s="201"/>
      <c r="P81" s="201"/>
      <c r="Q81" s="201"/>
      <c r="R81" s="201"/>
      <c r="S81" s="201"/>
      <c r="T81" s="205"/>
      <c r="U81" s="205"/>
    </row>
    <row r="82" spans="1:22" ht="15" customHeight="1">
      <c r="A82" s="240">
        <v>18</v>
      </c>
      <c r="B82" s="146" t="s">
        <v>209</v>
      </c>
      <c r="C82" s="240" t="s">
        <v>210</v>
      </c>
      <c r="D82" s="23"/>
      <c r="E82" s="27"/>
      <c r="F82" s="21">
        <v>1</v>
      </c>
      <c r="G82" s="21">
        <v>195.95</v>
      </c>
      <c r="H82" s="215">
        <f t="shared" ref="H82" si="6">G82*F82/1000</f>
        <v>0.19594999999999999</v>
      </c>
      <c r="I82" s="260">
        <f>G82</f>
        <v>195.95</v>
      </c>
      <c r="J82" s="200"/>
      <c r="K82" s="201"/>
      <c r="L82" s="201"/>
      <c r="M82" s="201"/>
      <c r="N82" s="201"/>
      <c r="O82" s="201"/>
      <c r="P82" s="201"/>
      <c r="Q82" s="201"/>
      <c r="R82" s="201"/>
      <c r="S82" s="201"/>
      <c r="T82" s="205"/>
      <c r="U82" s="205"/>
    </row>
    <row r="83" spans="1:22" ht="15" customHeight="1">
      <c r="A83" s="25"/>
      <c r="B83" s="247" t="s">
        <v>216</v>
      </c>
      <c r="C83" s="246"/>
      <c r="D83" s="246"/>
      <c r="E83" s="21"/>
      <c r="F83" s="21"/>
      <c r="G83" s="21"/>
      <c r="H83" s="222">
        <f>SUM(H82:H82)</f>
        <v>0.19594999999999999</v>
      </c>
      <c r="I83" s="235">
        <f>I82</f>
        <v>195.95</v>
      </c>
      <c r="J83" s="200"/>
      <c r="K83" s="201"/>
      <c r="L83" s="201"/>
      <c r="M83" s="201"/>
      <c r="N83" s="201"/>
      <c r="O83" s="201"/>
      <c r="P83" s="201"/>
      <c r="Q83" s="201"/>
      <c r="R83" s="201"/>
      <c r="S83" s="201"/>
      <c r="T83" s="205"/>
      <c r="U83" s="205"/>
    </row>
    <row r="84" spans="1:22" ht="15" customHeight="1">
      <c r="A84" s="51"/>
      <c r="B84" s="85" t="s">
        <v>95</v>
      </c>
      <c r="C84" s="24"/>
      <c r="D84" s="24"/>
      <c r="E84" s="77"/>
      <c r="F84" s="77"/>
      <c r="G84" s="78"/>
      <c r="H84" s="78"/>
      <c r="I84" s="26">
        <v>0</v>
      </c>
      <c r="J84" s="204"/>
      <c r="K84" s="205"/>
      <c r="L84" s="29"/>
      <c r="M84" s="30"/>
      <c r="N84" s="31"/>
      <c r="O84" s="205"/>
      <c r="P84" s="205"/>
      <c r="Q84" s="205"/>
      <c r="R84" s="205"/>
      <c r="S84" s="205"/>
      <c r="T84" s="205"/>
      <c r="U84" s="205"/>
    </row>
    <row r="85" spans="1:22" ht="15" customHeight="1">
      <c r="A85" s="51"/>
      <c r="B85" s="81" t="s">
        <v>64</v>
      </c>
      <c r="C85" s="24"/>
      <c r="D85" s="24"/>
      <c r="E85" s="77"/>
      <c r="F85" s="77"/>
      <c r="G85" s="78"/>
      <c r="H85" s="78"/>
      <c r="I85" s="79">
        <f>I80+I83</f>
        <v>40630.388343516664</v>
      </c>
      <c r="J85" s="204"/>
      <c r="K85" s="205"/>
      <c r="L85" s="29"/>
      <c r="M85" s="30"/>
      <c r="N85" s="31"/>
      <c r="O85" s="205"/>
      <c r="P85" s="205"/>
      <c r="Q85" s="205"/>
      <c r="R85" s="205"/>
      <c r="S85" s="205"/>
      <c r="T85" s="205"/>
      <c r="U85" s="205"/>
    </row>
    <row r="86" spans="1:22" ht="15.75">
      <c r="A86" s="263" t="s">
        <v>226</v>
      </c>
      <c r="B86" s="263"/>
      <c r="C86" s="263"/>
      <c r="D86" s="263"/>
      <c r="E86" s="263"/>
      <c r="F86" s="263"/>
      <c r="G86" s="263"/>
      <c r="H86" s="263"/>
      <c r="I86" s="263"/>
      <c r="J86" s="205"/>
      <c r="K86" s="205"/>
      <c r="L86" s="205"/>
      <c r="M86" s="205"/>
      <c r="N86" s="205"/>
      <c r="O86" s="205"/>
      <c r="P86" s="205"/>
      <c r="Q86" s="205"/>
      <c r="R86" s="205"/>
      <c r="S86" s="205"/>
      <c r="T86" s="205"/>
      <c r="U86" s="205"/>
    </row>
    <row r="87" spans="1:22" ht="15.75">
      <c r="A87" s="13"/>
      <c r="B87" s="264" t="s">
        <v>231</v>
      </c>
      <c r="C87" s="264"/>
      <c r="D87" s="264"/>
      <c r="E87" s="264"/>
      <c r="F87" s="264"/>
      <c r="G87" s="264"/>
      <c r="H87" s="186"/>
      <c r="I87" s="4"/>
      <c r="J87" s="205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</row>
    <row r="88" spans="1:22" ht="15.75">
      <c r="A88" s="187"/>
      <c r="B88" s="280" t="s">
        <v>7</v>
      </c>
      <c r="C88" s="280"/>
      <c r="D88" s="280"/>
      <c r="E88" s="280"/>
      <c r="F88" s="280"/>
      <c r="G88" s="280"/>
      <c r="H88" s="199"/>
      <c r="I88" s="123"/>
      <c r="J88" s="205"/>
      <c r="K88" s="205"/>
      <c r="L88" s="205"/>
      <c r="M88" s="205"/>
      <c r="N88" s="205"/>
      <c r="O88" s="205"/>
      <c r="P88" s="205"/>
      <c r="Q88" s="205"/>
      <c r="R88" s="205"/>
      <c r="S88" s="205"/>
      <c r="T88" s="205"/>
      <c r="U88" s="205"/>
    </row>
    <row r="89" spans="1:22" ht="15.75" customHeight="1">
      <c r="A89" s="124"/>
      <c r="B89" s="124"/>
      <c r="C89" s="124"/>
      <c r="D89" s="124"/>
      <c r="E89" s="124"/>
      <c r="F89" s="124"/>
      <c r="G89" s="124"/>
      <c r="H89" s="124"/>
      <c r="I89" s="124"/>
      <c r="J89" s="4"/>
      <c r="K89" s="4"/>
      <c r="L89" s="4"/>
      <c r="M89" s="4"/>
      <c r="N89" s="4"/>
      <c r="O89" s="4"/>
      <c r="P89" s="4"/>
      <c r="Q89" s="206"/>
      <c r="R89" s="206"/>
      <c r="S89" s="206"/>
      <c r="T89" s="206"/>
      <c r="U89" s="206"/>
      <c r="V89" s="12"/>
    </row>
    <row r="90" spans="1:22" ht="15.75" customHeight="1">
      <c r="A90" s="281" t="s">
        <v>8</v>
      </c>
      <c r="B90" s="281"/>
      <c r="C90" s="281"/>
      <c r="D90" s="281"/>
      <c r="E90" s="281"/>
      <c r="F90" s="281"/>
      <c r="G90" s="281"/>
      <c r="H90" s="281"/>
      <c r="I90" s="281"/>
      <c r="J90" s="43"/>
      <c r="K90" s="43"/>
      <c r="L90" s="4"/>
      <c r="M90" s="4"/>
      <c r="N90" s="4"/>
      <c r="O90" s="4"/>
      <c r="P90" s="4"/>
      <c r="Q90" s="206"/>
      <c r="R90" s="206"/>
      <c r="S90" s="206"/>
      <c r="T90" s="206"/>
      <c r="U90" s="206"/>
    </row>
    <row r="91" spans="1:22" ht="15.75">
      <c r="A91" s="281" t="s">
        <v>9</v>
      </c>
      <c r="B91" s="281"/>
      <c r="C91" s="281"/>
      <c r="D91" s="281"/>
      <c r="E91" s="281"/>
      <c r="F91" s="281"/>
      <c r="G91" s="281"/>
      <c r="H91" s="281"/>
      <c r="I91" s="281"/>
      <c r="J91" s="4"/>
      <c r="K91" s="4"/>
      <c r="L91" s="4"/>
      <c r="M91" s="4"/>
      <c r="N91" s="4"/>
      <c r="O91" s="4"/>
      <c r="P91" s="4"/>
      <c r="Q91" s="206"/>
      <c r="R91" s="205"/>
      <c r="S91" s="206"/>
      <c r="T91" s="206"/>
      <c r="U91" s="206"/>
    </row>
    <row r="92" spans="1:22" ht="15.75">
      <c r="A92" s="263" t="s">
        <v>10</v>
      </c>
      <c r="B92" s="263"/>
      <c r="C92" s="263"/>
      <c r="D92" s="263"/>
      <c r="E92" s="263"/>
      <c r="F92" s="263"/>
      <c r="G92" s="263"/>
      <c r="H92" s="263"/>
      <c r="I92" s="263"/>
      <c r="J92" s="6"/>
      <c r="K92" s="6"/>
      <c r="L92" s="6"/>
      <c r="M92" s="6"/>
      <c r="N92" s="6"/>
      <c r="O92" s="6"/>
      <c r="P92" s="6"/>
      <c r="Q92" s="207"/>
      <c r="R92" s="261"/>
      <c r="S92" s="261"/>
      <c r="T92" s="261"/>
      <c r="U92" s="261"/>
    </row>
    <row r="93" spans="1:22" ht="15.75">
      <c r="A93" s="15"/>
      <c r="B93" s="121"/>
      <c r="C93" s="121"/>
      <c r="D93" s="121"/>
      <c r="E93" s="121"/>
      <c r="F93" s="121"/>
      <c r="G93" s="121"/>
      <c r="H93" s="121"/>
      <c r="I93" s="121"/>
      <c r="J93" s="14"/>
      <c r="K93" s="14"/>
      <c r="L93" s="14"/>
      <c r="M93" s="14"/>
      <c r="N93" s="14"/>
      <c r="O93" s="14"/>
      <c r="P93" s="14"/>
      <c r="Q93" s="208"/>
      <c r="R93" s="208"/>
      <c r="S93" s="208"/>
      <c r="T93" s="208"/>
      <c r="U93" s="208"/>
    </row>
    <row r="94" spans="1:22" ht="15.75">
      <c r="A94" s="15"/>
      <c r="B94" s="121"/>
      <c r="C94" s="121"/>
      <c r="D94" s="121"/>
      <c r="E94" s="121"/>
      <c r="F94" s="121"/>
      <c r="G94" s="121"/>
      <c r="H94" s="121"/>
      <c r="I94" s="121"/>
    </row>
    <row r="95" spans="1:22" ht="15.75">
      <c r="A95" s="262" t="s">
        <v>11</v>
      </c>
      <c r="B95" s="262"/>
      <c r="C95" s="262"/>
      <c r="D95" s="262"/>
      <c r="E95" s="262"/>
      <c r="F95" s="262"/>
      <c r="G95" s="262"/>
      <c r="H95" s="262"/>
      <c r="I95" s="262"/>
    </row>
    <row r="96" spans="1:22" ht="15.75" customHeight="1">
      <c r="A96" s="5"/>
    </row>
    <row r="97" spans="1:9" ht="15.75">
      <c r="A97" s="263" t="s">
        <v>12</v>
      </c>
      <c r="B97" s="263"/>
      <c r="C97" s="287" t="s">
        <v>133</v>
      </c>
      <c r="D97" s="287"/>
      <c r="E97" s="287"/>
      <c r="F97" s="197"/>
      <c r="I97" s="185"/>
    </row>
    <row r="98" spans="1:9">
      <c r="A98" s="183"/>
      <c r="C98" s="277" t="s">
        <v>13</v>
      </c>
      <c r="D98" s="277"/>
      <c r="E98" s="277"/>
      <c r="F98" s="42"/>
      <c r="I98" s="184" t="s">
        <v>14</v>
      </c>
    </row>
    <row r="99" spans="1:9" ht="15.75">
      <c r="A99" s="43"/>
      <c r="C99" s="16"/>
      <c r="D99" s="16"/>
      <c r="G99" s="16"/>
      <c r="H99" s="16"/>
    </row>
    <row r="100" spans="1:9" ht="15.75" customHeight="1">
      <c r="A100" s="263" t="s">
        <v>15</v>
      </c>
      <c r="B100" s="263"/>
      <c r="C100" s="278"/>
      <c r="D100" s="278"/>
      <c r="E100" s="278"/>
      <c r="F100" s="198"/>
      <c r="I100" s="185"/>
    </row>
    <row r="101" spans="1:9">
      <c r="A101" s="183"/>
      <c r="C101" s="279" t="s">
        <v>13</v>
      </c>
      <c r="D101" s="279"/>
      <c r="E101" s="279"/>
      <c r="F101" s="183"/>
      <c r="I101" s="184" t="s">
        <v>14</v>
      </c>
    </row>
    <row r="102" spans="1:9" ht="15.75">
      <c r="A102" s="5" t="s">
        <v>16</v>
      </c>
    </row>
    <row r="103" spans="1:9">
      <c r="A103" s="288" t="s">
        <v>17</v>
      </c>
      <c r="B103" s="288"/>
      <c r="C103" s="288"/>
      <c r="D103" s="288"/>
      <c r="E103" s="288"/>
      <c r="F103" s="288"/>
      <c r="G103" s="288"/>
      <c r="H103" s="288"/>
      <c r="I103" s="288"/>
    </row>
    <row r="104" spans="1:9" ht="47.25" customHeight="1">
      <c r="A104" s="289" t="s">
        <v>18</v>
      </c>
      <c r="B104" s="289"/>
      <c r="C104" s="289"/>
      <c r="D104" s="289"/>
      <c r="E104" s="289"/>
      <c r="F104" s="289"/>
      <c r="G104" s="289"/>
      <c r="H104" s="289"/>
      <c r="I104" s="289"/>
    </row>
    <row r="105" spans="1:9" ht="31.5" customHeight="1">
      <c r="A105" s="289" t="s">
        <v>19</v>
      </c>
      <c r="B105" s="289"/>
      <c r="C105" s="289"/>
      <c r="D105" s="289"/>
      <c r="E105" s="289"/>
      <c r="F105" s="289"/>
      <c r="G105" s="289"/>
      <c r="H105" s="289"/>
      <c r="I105" s="289"/>
    </row>
    <row r="106" spans="1:9" ht="31.5" customHeight="1">
      <c r="A106" s="289" t="s">
        <v>24</v>
      </c>
      <c r="B106" s="289"/>
      <c r="C106" s="289"/>
      <c r="D106" s="289"/>
      <c r="E106" s="289"/>
      <c r="F106" s="289"/>
      <c r="G106" s="289"/>
      <c r="H106" s="289"/>
      <c r="I106" s="289"/>
    </row>
    <row r="107" spans="1:9" ht="15.75">
      <c r="A107" s="289" t="s">
        <v>23</v>
      </c>
      <c r="B107" s="289"/>
      <c r="C107" s="289"/>
      <c r="D107" s="289"/>
      <c r="E107" s="289"/>
      <c r="F107" s="289"/>
      <c r="G107" s="289"/>
      <c r="H107" s="289"/>
      <c r="I107" s="289"/>
    </row>
  </sheetData>
  <autoFilter ref="I14:I87"/>
  <mergeCells count="30">
    <mergeCell ref="A107:I107"/>
    <mergeCell ref="A95:I95"/>
    <mergeCell ref="A97:B97"/>
    <mergeCell ref="C97:E97"/>
    <mergeCell ref="C98:E98"/>
    <mergeCell ref="A100:B100"/>
    <mergeCell ref="C100:E100"/>
    <mergeCell ref="C101:E101"/>
    <mergeCell ref="A103:I103"/>
    <mergeCell ref="A104:I104"/>
    <mergeCell ref="A105:I105"/>
    <mergeCell ref="A106:I106"/>
    <mergeCell ref="R92:U92"/>
    <mergeCell ref="A27:I27"/>
    <mergeCell ref="A34:I34"/>
    <mergeCell ref="A43:I43"/>
    <mergeCell ref="A55:I55"/>
    <mergeCell ref="A77:I77"/>
    <mergeCell ref="A86:I86"/>
    <mergeCell ref="B87:G87"/>
    <mergeCell ref="B88:G88"/>
    <mergeCell ref="A90:I90"/>
    <mergeCell ref="A91:I91"/>
    <mergeCell ref="A92:I92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21" ht="15.75" customHeight="1">
      <c r="B1" s="57" t="s">
        <v>113</v>
      </c>
      <c r="I1" s="56"/>
    </row>
    <row r="2" spans="1:21" ht="15.75" customHeight="1">
      <c r="B2" s="46" t="s">
        <v>77</v>
      </c>
      <c r="J2" s="1"/>
      <c r="K2" s="1"/>
      <c r="L2" s="1"/>
      <c r="M2" s="1"/>
    </row>
    <row r="3" spans="1:21" ht="15.75" customHeight="1">
      <c r="A3" s="265" t="s">
        <v>228</v>
      </c>
      <c r="B3" s="265"/>
      <c r="C3" s="265"/>
      <c r="D3" s="265"/>
      <c r="E3" s="265"/>
      <c r="F3" s="265"/>
      <c r="G3" s="265"/>
      <c r="H3" s="265"/>
      <c r="I3" s="265"/>
      <c r="J3" s="2"/>
      <c r="K3" s="2"/>
      <c r="L3" s="2"/>
      <c r="M3" s="2"/>
    </row>
    <row r="4" spans="1:21" ht="33.75" customHeight="1">
      <c r="A4" s="266" t="s">
        <v>142</v>
      </c>
      <c r="B4" s="266"/>
      <c r="C4" s="266"/>
      <c r="D4" s="266"/>
      <c r="E4" s="266"/>
      <c r="F4" s="266"/>
      <c r="G4" s="266"/>
      <c r="H4" s="266"/>
      <c r="I4" s="266"/>
      <c r="J4" s="3"/>
      <c r="K4" s="3"/>
      <c r="L4" s="3"/>
      <c r="M4" s="3"/>
    </row>
    <row r="5" spans="1:21" ht="15.75" customHeight="1">
      <c r="A5" s="267" t="s">
        <v>102</v>
      </c>
      <c r="B5" s="268"/>
      <c r="C5" s="268"/>
      <c r="D5" s="268"/>
      <c r="E5" s="268"/>
      <c r="F5" s="268"/>
      <c r="G5" s="268"/>
      <c r="H5" s="268"/>
      <c r="I5" s="268"/>
      <c r="J5" s="4"/>
      <c r="K5" s="4"/>
      <c r="L5" s="4"/>
    </row>
    <row r="6" spans="1:21" ht="15.75" customHeight="1">
      <c r="A6" s="3"/>
      <c r="B6" s="181"/>
      <c r="C6" s="181"/>
      <c r="D6" s="181"/>
      <c r="E6" s="181"/>
      <c r="F6" s="181"/>
      <c r="G6" s="181"/>
      <c r="H6" s="181"/>
      <c r="I6" s="256">
        <v>42460</v>
      </c>
    </row>
    <row r="7" spans="1:21" ht="15.75">
      <c r="B7" s="182"/>
      <c r="C7" s="182"/>
      <c r="D7" s="182"/>
      <c r="E7" s="4"/>
      <c r="F7" s="4"/>
      <c r="G7" s="4"/>
      <c r="H7" s="4"/>
      <c r="J7" s="3"/>
      <c r="K7" s="3"/>
      <c r="L7" s="3"/>
      <c r="M7" s="3"/>
    </row>
    <row r="8" spans="1:21" ht="78.75" customHeight="1">
      <c r="A8" s="269" t="s">
        <v>275</v>
      </c>
      <c r="B8" s="269"/>
      <c r="C8" s="269"/>
      <c r="D8" s="269"/>
      <c r="E8" s="269"/>
      <c r="F8" s="269"/>
      <c r="G8" s="269"/>
      <c r="H8" s="269"/>
      <c r="I8" s="269"/>
      <c r="J8" s="3"/>
      <c r="K8" s="3"/>
      <c r="L8" s="3"/>
      <c r="M8" s="3"/>
    </row>
    <row r="9" spans="1:21" ht="15.75">
      <c r="A9" s="5"/>
      <c r="J9" s="4"/>
      <c r="K9" s="4"/>
      <c r="L9" s="4"/>
      <c r="M9" s="4"/>
    </row>
    <row r="10" spans="1:21" ht="47.25" customHeight="1">
      <c r="A10" s="270" t="s">
        <v>144</v>
      </c>
      <c r="B10" s="270"/>
      <c r="C10" s="270"/>
      <c r="D10" s="270"/>
      <c r="E10" s="270"/>
      <c r="F10" s="270"/>
      <c r="G10" s="270"/>
      <c r="H10" s="270"/>
      <c r="I10" s="270"/>
      <c r="J10" s="6"/>
      <c r="K10" s="6"/>
      <c r="L10" s="6"/>
      <c r="M10" s="6"/>
    </row>
    <row r="11" spans="1:21" ht="15.75" customHeight="1">
      <c r="A11" s="5"/>
      <c r="J11" s="3"/>
      <c r="K11" s="3"/>
      <c r="L11" s="3"/>
      <c r="M11" s="3"/>
    </row>
    <row r="12" spans="1:21" ht="51">
      <c r="A12" s="7" t="s">
        <v>0</v>
      </c>
      <c r="B12" s="7" t="s">
        <v>1</v>
      </c>
      <c r="C12" s="7" t="s">
        <v>2</v>
      </c>
      <c r="D12" s="7" t="s">
        <v>20</v>
      </c>
      <c r="E12" s="7" t="s">
        <v>21</v>
      </c>
      <c r="F12" s="7"/>
      <c r="G12" s="7" t="s">
        <v>25</v>
      </c>
      <c r="H12" s="7"/>
      <c r="I12" s="7" t="s">
        <v>3</v>
      </c>
      <c r="J12" s="4"/>
    </row>
    <row r="13" spans="1:21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21">
      <c r="A14" s="271" t="s">
        <v>4</v>
      </c>
      <c r="B14" s="272"/>
      <c r="C14" s="272"/>
      <c r="D14" s="272"/>
      <c r="E14" s="272"/>
      <c r="F14" s="272"/>
      <c r="G14" s="272"/>
      <c r="H14" s="272"/>
      <c r="I14" s="273"/>
      <c r="Q14" s="205"/>
      <c r="R14" s="205"/>
      <c r="S14" s="205"/>
      <c r="T14" s="205"/>
      <c r="U14" s="205"/>
    </row>
    <row r="15" spans="1:21" ht="30" customHeight="1">
      <c r="A15" s="210">
        <v>1</v>
      </c>
      <c r="B15" s="176" t="s">
        <v>117</v>
      </c>
      <c r="C15" s="211" t="s">
        <v>145</v>
      </c>
      <c r="D15" s="176" t="s">
        <v>180</v>
      </c>
      <c r="E15" s="212">
        <v>70.900000000000006</v>
      </c>
      <c r="F15" s="213">
        <f>SUM(E15*156/100)</f>
        <v>110.60400000000001</v>
      </c>
      <c r="G15" s="213">
        <v>175.38</v>
      </c>
      <c r="H15" s="214">
        <f t="shared" ref="H15:H24" si="0">SUM(F15*G15/1000)</f>
        <v>19.397729520000002</v>
      </c>
      <c r="I15" s="21">
        <f>F15/12*G15</f>
        <v>1616.4774600000001</v>
      </c>
      <c r="J15" s="200"/>
      <c r="K15" s="201"/>
      <c r="L15" s="201"/>
      <c r="M15" s="201"/>
      <c r="N15" s="201"/>
      <c r="O15" s="201"/>
      <c r="P15" s="201"/>
      <c r="Q15" s="201"/>
      <c r="R15" s="201"/>
      <c r="S15" s="201"/>
      <c r="T15" s="205"/>
      <c r="U15" s="205"/>
    </row>
    <row r="16" spans="1:21" ht="30" customHeight="1">
      <c r="A16" s="210">
        <v>2</v>
      </c>
      <c r="B16" s="176" t="s">
        <v>118</v>
      </c>
      <c r="C16" s="211" t="s">
        <v>145</v>
      </c>
      <c r="D16" s="176" t="s">
        <v>181</v>
      </c>
      <c r="E16" s="212">
        <v>212.7</v>
      </c>
      <c r="F16" s="213">
        <f>SUM(E16*104/100)</f>
        <v>221.208</v>
      </c>
      <c r="G16" s="213">
        <v>175.38</v>
      </c>
      <c r="H16" s="214">
        <f t="shared" si="0"/>
        <v>38.795459040000004</v>
      </c>
      <c r="I16" s="21">
        <f>F16/12*G16</f>
        <v>3232.9549200000001</v>
      </c>
      <c r="J16" s="200"/>
      <c r="K16" s="201"/>
      <c r="L16" s="201"/>
      <c r="M16" s="201"/>
      <c r="N16" s="201"/>
      <c r="O16" s="201"/>
      <c r="P16" s="201"/>
      <c r="Q16" s="201"/>
      <c r="R16" s="201"/>
      <c r="S16" s="201"/>
      <c r="T16" s="205"/>
      <c r="U16" s="205"/>
    </row>
    <row r="17" spans="1:21" ht="30" customHeight="1">
      <c r="A17" s="210">
        <v>3</v>
      </c>
      <c r="B17" s="176" t="s">
        <v>119</v>
      </c>
      <c r="C17" s="211" t="s">
        <v>145</v>
      </c>
      <c r="D17" s="176" t="s">
        <v>217</v>
      </c>
      <c r="E17" s="212">
        <f>SUM(E15+E16)</f>
        <v>283.60000000000002</v>
      </c>
      <c r="F17" s="213">
        <f>SUM(E17*24/100)</f>
        <v>68.064000000000007</v>
      </c>
      <c r="G17" s="213">
        <v>504.5</v>
      </c>
      <c r="H17" s="214">
        <f t="shared" si="0"/>
        <v>34.338287999999999</v>
      </c>
      <c r="I17" s="21">
        <f>F17/12*G17</f>
        <v>2861.5240000000003</v>
      </c>
      <c r="J17" s="200"/>
      <c r="K17" s="201"/>
      <c r="L17" s="201"/>
      <c r="M17" s="201"/>
      <c r="N17" s="201"/>
      <c r="O17" s="201"/>
      <c r="P17" s="201"/>
      <c r="Q17" s="201"/>
      <c r="R17" s="201"/>
      <c r="S17" s="201"/>
      <c r="T17" s="205"/>
      <c r="U17" s="205"/>
    </row>
    <row r="18" spans="1:21" hidden="1">
      <c r="A18" s="210"/>
      <c r="B18" s="176" t="s">
        <v>149</v>
      </c>
      <c r="C18" s="211" t="s">
        <v>150</v>
      </c>
      <c r="D18" s="176" t="s">
        <v>151</v>
      </c>
      <c r="E18" s="212">
        <v>40</v>
      </c>
      <c r="F18" s="213">
        <f>SUM(E18/10)</f>
        <v>4</v>
      </c>
      <c r="G18" s="213">
        <v>170.16</v>
      </c>
      <c r="H18" s="214">
        <f t="shared" si="0"/>
        <v>0.68064000000000002</v>
      </c>
      <c r="I18" s="21">
        <v>0</v>
      </c>
      <c r="J18" s="200"/>
      <c r="K18" s="201"/>
      <c r="L18" s="201"/>
      <c r="M18" s="201"/>
      <c r="N18" s="201"/>
      <c r="O18" s="201"/>
      <c r="P18" s="201"/>
      <c r="Q18" s="201"/>
      <c r="R18" s="201"/>
      <c r="S18" s="201"/>
      <c r="T18" s="205"/>
      <c r="U18" s="205"/>
    </row>
    <row r="19" spans="1:21" hidden="1">
      <c r="A19" s="210"/>
      <c r="B19" s="176" t="s">
        <v>152</v>
      </c>
      <c r="C19" s="211" t="s">
        <v>145</v>
      </c>
      <c r="D19" s="176" t="s">
        <v>66</v>
      </c>
      <c r="E19" s="212">
        <v>10.5</v>
      </c>
      <c r="F19" s="213">
        <f t="shared" ref="F19:F24" si="1">SUM(E19/100)</f>
        <v>0.105</v>
      </c>
      <c r="G19" s="213">
        <v>217.88</v>
      </c>
      <c r="H19" s="214">
        <f t="shared" si="0"/>
        <v>2.2877399999999999E-2</v>
      </c>
      <c r="I19" s="21">
        <v>0</v>
      </c>
      <c r="J19" s="200"/>
      <c r="K19" s="201"/>
      <c r="L19" s="201"/>
      <c r="M19" s="201"/>
      <c r="N19" s="201"/>
      <c r="O19" s="201"/>
      <c r="P19" s="201"/>
      <c r="Q19" s="201"/>
      <c r="R19" s="201"/>
      <c r="S19" s="201"/>
      <c r="T19" s="205"/>
      <c r="U19" s="205"/>
    </row>
    <row r="20" spans="1:21" hidden="1">
      <c r="A20" s="210"/>
      <c r="B20" s="176" t="s">
        <v>153</v>
      </c>
      <c r="C20" s="211" t="s">
        <v>145</v>
      </c>
      <c r="D20" s="176" t="s">
        <v>66</v>
      </c>
      <c r="E20" s="212">
        <v>2.7</v>
      </c>
      <c r="F20" s="213">
        <f t="shared" si="1"/>
        <v>2.7000000000000003E-2</v>
      </c>
      <c r="G20" s="213">
        <v>216.12</v>
      </c>
      <c r="H20" s="214">
        <f t="shared" si="0"/>
        <v>5.8352400000000002E-3</v>
      </c>
      <c r="I20" s="21">
        <v>0</v>
      </c>
      <c r="J20" s="200"/>
      <c r="K20" s="201"/>
      <c r="L20" s="201"/>
      <c r="M20" s="201"/>
      <c r="N20" s="201"/>
      <c r="O20" s="201"/>
      <c r="P20" s="201"/>
      <c r="Q20" s="201"/>
      <c r="R20" s="201"/>
      <c r="S20" s="201"/>
      <c r="T20" s="205"/>
      <c r="U20" s="205"/>
    </row>
    <row r="21" spans="1:21" hidden="1">
      <c r="A21" s="210"/>
      <c r="B21" s="176" t="s">
        <v>154</v>
      </c>
      <c r="C21" s="211" t="s">
        <v>65</v>
      </c>
      <c r="D21" s="176" t="s">
        <v>151</v>
      </c>
      <c r="E21" s="212">
        <v>357</v>
      </c>
      <c r="F21" s="213">
        <f t="shared" si="1"/>
        <v>3.57</v>
      </c>
      <c r="G21" s="213">
        <v>269.26</v>
      </c>
      <c r="H21" s="214">
        <f t="shared" si="0"/>
        <v>0.96125819999999984</v>
      </c>
      <c r="I21" s="21">
        <v>0</v>
      </c>
      <c r="J21" s="200"/>
      <c r="K21" s="201"/>
      <c r="L21" s="201"/>
      <c r="M21" s="201"/>
      <c r="N21" s="201"/>
      <c r="O21" s="201"/>
      <c r="P21" s="201"/>
      <c r="Q21" s="201"/>
      <c r="R21" s="201"/>
      <c r="S21" s="201"/>
      <c r="T21" s="205"/>
      <c r="U21" s="205"/>
    </row>
    <row r="22" spans="1:21" hidden="1">
      <c r="A22" s="210"/>
      <c r="B22" s="176" t="s">
        <v>155</v>
      </c>
      <c r="C22" s="211" t="s">
        <v>65</v>
      </c>
      <c r="D22" s="176" t="s">
        <v>151</v>
      </c>
      <c r="E22" s="216">
        <v>38.64</v>
      </c>
      <c r="F22" s="213">
        <f t="shared" si="1"/>
        <v>0.38640000000000002</v>
      </c>
      <c r="G22" s="213">
        <v>44.29</v>
      </c>
      <c r="H22" s="214">
        <f t="shared" si="0"/>
        <v>1.7113655999999998E-2</v>
      </c>
      <c r="I22" s="21">
        <v>0</v>
      </c>
      <c r="J22" s="200"/>
      <c r="K22" s="201"/>
      <c r="L22" s="201"/>
      <c r="M22" s="201"/>
      <c r="N22" s="201"/>
      <c r="O22" s="201"/>
      <c r="P22" s="201"/>
      <c r="Q22" s="201"/>
      <c r="R22" s="201"/>
      <c r="S22" s="201"/>
      <c r="T22" s="205"/>
      <c r="U22" s="205"/>
    </row>
    <row r="23" spans="1:21" hidden="1">
      <c r="A23" s="210"/>
      <c r="B23" s="176" t="s">
        <v>156</v>
      </c>
      <c r="C23" s="211" t="s">
        <v>65</v>
      </c>
      <c r="D23" s="217" t="s">
        <v>151</v>
      </c>
      <c r="E23" s="27">
        <v>15</v>
      </c>
      <c r="F23" s="218">
        <f t="shared" si="1"/>
        <v>0.15</v>
      </c>
      <c r="G23" s="213">
        <v>389.72</v>
      </c>
      <c r="H23" s="214">
        <f t="shared" si="0"/>
        <v>5.8457999999999996E-2</v>
      </c>
      <c r="I23" s="21">
        <v>0</v>
      </c>
      <c r="J23" s="200"/>
      <c r="K23" s="201"/>
      <c r="L23" s="201"/>
      <c r="M23" s="201"/>
      <c r="N23" s="201"/>
      <c r="O23" s="201"/>
      <c r="P23" s="201"/>
      <c r="Q23" s="201"/>
      <c r="R23" s="201"/>
      <c r="S23" s="201"/>
      <c r="T23" s="205"/>
      <c r="U23" s="205"/>
    </row>
    <row r="24" spans="1:21" hidden="1">
      <c r="A24" s="210"/>
      <c r="B24" s="176" t="s">
        <v>157</v>
      </c>
      <c r="C24" s="211" t="s">
        <v>65</v>
      </c>
      <c r="D24" s="176" t="s">
        <v>151</v>
      </c>
      <c r="E24" s="219">
        <v>6.38</v>
      </c>
      <c r="F24" s="213">
        <f t="shared" si="1"/>
        <v>6.3799999999999996E-2</v>
      </c>
      <c r="G24" s="213">
        <v>520.79999999999995</v>
      </c>
      <c r="H24" s="214">
        <f t="shared" si="0"/>
        <v>3.3227039999999992E-2</v>
      </c>
      <c r="I24" s="21">
        <v>0</v>
      </c>
      <c r="J24" s="200"/>
      <c r="K24" s="201"/>
      <c r="L24" s="201"/>
      <c r="M24" s="201"/>
      <c r="N24" s="201"/>
      <c r="O24" s="201"/>
      <c r="P24" s="201"/>
      <c r="Q24" s="201"/>
      <c r="R24" s="201"/>
      <c r="S24" s="201"/>
      <c r="T24" s="205"/>
      <c r="U24" s="205"/>
    </row>
    <row r="25" spans="1:21" ht="15" customHeight="1">
      <c r="A25" s="210">
        <v>4</v>
      </c>
      <c r="B25" s="176" t="s">
        <v>79</v>
      </c>
      <c r="C25" s="211" t="s">
        <v>37</v>
      </c>
      <c r="D25" s="176" t="s">
        <v>182</v>
      </c>
      <c r="E25" s="212">
        <v>0.1</v>
      </c>
      <c r="F25" s="213">
        <f>SUM(E25*365)</f>
        <v>36.5</v>
      </c>
      <c r="G25" s="213">
        <v>147.03</v>
      </c>
      <c r="H25" s="214">
        <f>SUM(F25*G25/1000)</f>
        <v>5.3665950000000002</v>
      </c>
      <c r="I25" s="21">
        <f>F25/12*G25</f>
        <v>447.21625</v>
      </c>
      <c r="J25" s="200"/>
      <c r="K25" s="201"/>
      <c r="L25" s="201"/>
      <c r="M25" s="201"/>
      <c r="N25" s="201"/>
      <c r="O25" s="201"/>
      <c r="P25" s="201"/>
      <c r="Q25" s="201"/>
      <c r="R25" s="201"/>
      <c r="S25" s="201"/>
      <c r="T25" s="205"/>
      <c r="U25" s="205"/>
    </row>
    <row r="26" spans="1:21" ht="15" customHeight="1">
      <c r="A26" s="210">
        <v>5</v>
      </c>
      <c r="B26" s="220" t="s">
        <v>26</v>
      </c>
      <c r="C26" s="211" t="s">
        <v>27</v>
      </c>
      <c r="D26" s="220" t="s">
        <v>183</v>
      </c>
      <c r="E26" s="212">
        <v>2549.5</v>
      </c>
      <c r="F26" s="213">
        <f>SUM(E26*12)</f>
        <v>30594</v>
      </c>
      <c r="G26" s="213">
        <v>4.95</v>
      </c>
      <c r="H26" s="214">
        <f>SUM(F26*G26/1000)</f>
        <v>151.44030000000001</v>
      </c>
      <c r="I26" s="21">
        <f>F26/12*G26</f>
        <v>12620.025</v>
      </c>
      <c r="J26" s="200"/>
      <c r="K26" s="201"/>
      <c r="L26" s="201"/>
      <c r="M26" s="201"/>
      <c r="N26" s="201"/>
      <c r="O26" s="201"/>
      <c r="P26" s="201"/>
      <c r="Q26" s="201"/>
      <c r="R26" s="201"/>
      <c r="S26" s="201"/>
      <c r="T26" s="205"/>
      <c r="U26" s="205"/>
    </row>
    <row r="27" spans="1:21" ht="15" hidden="1" customHeight="1">
      <c r="A27" s="274" t="s">
        <v>218</v>
      </c>
      <c r="B27" s="282"/>
      <c r="C27" s="282"/>
      <c r="D27" s="282"/>
      <c r="E27" s="282"/>
      <c r="F27" s="282"/>
      <c r="G27" s="282"/>
      <c r="H27" s="282"/>
      <c r="I27" s="283"/>
      <c r="J27" s="200"/>
      <c r="K27" s="201"/>
      <c r="L27" s="201"/>
      <c r="M27" s="201"/>
      <c r="N27" s="201"/>
      <c r="O27" s="201"/>
      <c r="P27" s="201"/>
      <c r="Q27" s="201"/>
      <c r="R27" s="201"/>
      <c r="S27" s="201"/>
      <c r="T27" s="205"/>
      <c r="U27" s="205"/>
    </row>
    <row r="28" spans="1:21" ht="30" hidden="1" customHeight="1">
      <c r="A28" s="210"/>
      <c r="B28" s="176" t="s">
        <v>184</v>
      </c>
      <c r="C28" s="211" t="s">
        <v>185</v>
      </c>
      <c r="D28" s="176" t="s">
        <v>186</v>
      </c>
      <c r="E28" s="213">
        <v>704.3</v>
      </c>
      <c r="F28" s="213">
        <f>SUM(E28*52/1000)</f>
        <v>36.623599999999996</v>
      </c>
      <c r="G28" s="213">
        <v>155.88999999999999</v>
      </c>
      <c r="H28" s="214">
        <f t="shared" ref="H28:H33" si="2">SUM(F28*G28/1000)</f>
        <v>5.7092530039999989</v>
      </c>
      <c r="I28" s="21">
        <v>0</v>
      </c>
      <c r="J28" s="200"/>
      <c r="K28" s="201"/>
      <c r="L28" s="201"/>
      <c r="M28" s="201"/>
      <c r="N28" s="201"/>
      <c r="O28" s="201"/>
      <c r="P28" s="201"/>
      <c r="Q28" s="201"/>
      <c r="R28" s="201"/>
      <c r="S28" s="201"/>
      <c r="T28" s="205"/>
      <c r="U28" s="205"/>
    </row>
    <row r="29" spans="1:21" ht="30" hidden="1" customHeight="1">
      <c r="A29" s="210"/>
      <c r="B29" s="176" t="s">
        <v>187</v>
      </c>
      <c r="C29" s="211" t="s">
        <v>185</v>
      </c>
      <c r="D29" s="176" t="s">
        <v>188</v>
      </c>
      <c r="E29" s="213">
        <v>70.430000000000007</v>
      </c>
      <c r="F29" s="213">
        <f>SUM(E29*78/1000)</f>
        <v>5.4935400000000012</v>
      </c>
      <c r="G29" s="213">
        <v>258.63</v>
      </c>
      <c r="H29" s="214">
        <f t="shared" si="2"/>
        <v>1.4207942502000004</v>
      </c>
      <c r="I29" s="21">
        <v>0</v>
      </c>
      <c r="J29" s="200"/>
      <c r="K29" s="201"/>
      <c r="L29" s="201"/>
      <c r="M29" s="201"/>
      <c r="N29" s="201"/>
      <c r="O29" s="201"/>
      <c r="P29" s="201"/>
      <c r="Q29" s="201"/>
      <c r="R29" s="201"/>
      <c r="S29" s="201"/>
      <c r="T29" s="205"/>
      <c r="U29" s="205"/>
    </row>
    <row r="30" spans="1:21" ht="15.75" hidden="1" customHeight="1">
      <c r="A30" s="210"/>
      <c r="B30" s="176" t="s">
        <v>32</v>
      </c>
      <c r="C30" s="211" t="s">
        <v>185</v>
      </c>
      <c r="D30" s="176" t="s">
        <v>66</v>
      </c>
      <c r="E30" s="213">
        <v>704.3</v>
      </c>
      <c r="F30" s="213">
        <f>SUM(E30/1000)</f>
        <v>0.70429999999999993</v>
      </c>
      <c r="G30" s="213">
        <v>3020.33</v>
      </c>
      <c r="H30" s="214">
        <f t="shared" si="2"/>
        <v>2.1272184189999996</v>
      </c>
      <c r="I30" s="21">
        <v>0</v>
      </c>
      <c r="J30" s="200"/>
      <c r="K30" s="201"/>
      <c r="L30" s="201"/>
      <c r="M30" s="201"/>
      <c r="N30" s="201"/>
      <c r="O30" s="201"/>
      <c r="P30" s="201"/>
      <c r="Q30" s="201"/>
      <c r="R30" s="201"/>
      <c r="S30" s="201"/>
      <c r="T30" s="205"/>
      <c r="U30" s="205"/>
    </row>
    <row r="31" spans="1:21" ht="15.75" hidden="1" customHeight="1">
      <c r="A31" s="210"/>
      <c r="B31" s="176" t="s">
        <v>189</v>
      </c>
      <c r="C31" s="211" t="s">
        <v>35</v>
      </c>
      <c r="D31" s="176" t="s">
        <v>78</v>
      </c>
      <c r="E31" s="221">
        <v>0.33333333333333331</v>
      </c>
      <c r="F31" s="213">
        <f>155/3</f>
        <v>51.666666666666664</v>
      </c>
      <c r="G31" s="213">
        <v>56.69</v>
      </c>
      <c r="H31" s="214">
        <f>SUM(G31*155/3/1000)</f>
        <v>2.9289833333333331</v>
      </c>
      <c r="I31" s="21">
        <v>0</v>
      </c>
      <c r="J31" s="200"/>
      <c r="K31" s="201"/>
      <c r="L31" s="201"/>
      <c r="M31" s="201"/>
      <c r="N31" s="201"/>
      <c r="O31" s="201"/>
      <c r="P31" s="201"/>
      <c r="Q31" s="201"/>
      <c r="R31" s="201"/>
      <c r="S31" s="201"/>
      <c r="T31" s="205"/>
      <c r="U31" s="205"/>
    </row>
    <row r="32" spans="1:21" ht="15" hidden="1" customHeight="1">
      <c r="A32" s="210"/>
      <c r="B32" s="176" t="s">
        <v>80</v>
      </c>
      <c r="C32" s="211" t="s">
        <v>37</v>
      </c>
      <c r="D32" s="176" t="s">
        <v>81</v>
      </c>
      <c r="E32" s="212"/>
      <c r="F32" s="213">
        <v>3</v>
      </c>
      <c r="G32" s="213">
        <v>191.32</v>
      </c>
      <c r="H32" s="214">
        <f t="shared" si="2"/>
        <v>0.57396000000000003</v>
      </c>
      <c r="I32" s="21">
        <v>0</v>
      </c>
      <c r="J32" s="200"/>
      <c r="K32" s="201"/>
      <c r="L32" s="201"/>
      <c r="M32" s="201"/>
      <c r="N32" s="201"/>
      <c r="O32" s="201"/>
      <c r="P32" s="201"/>
      <c r="Q32" s="201"/>
      <c r="R32" s="201"/>
      <c r="S32" s="201"/>
      <c r="T32" s="205"/>
      <c r="U32" s="205"/>
    </row>
    <row r="33" spans="1:21" ht="15" hidden="1" customHeight="1">
      <c r="A33" s="210"/>
      <c r="B33" s="176" t="s">
        <v>190</v>
      </c>
      <c r="C33" s="211" t="s">
        <v>36</v>
      </c>
      <c r="D33" s="176" t="s">
        <v>81</v>
      </c>
      <c r="E33" s="212"/>
      <c r="F33" s="213">
        <v>2</v>
      </c>
      <c r="G33" s="213">
        <v>1136.33</v>
      </c>
      <c r="H33" s="214">
        <f t="shared" si="2"/>
        <v>2.2726599999999997</v>
      </c>
      <c r="I33" s="21">
        <v>0</v>
      </c>
      <c r="J33" s="200"/>
      <c r="K33" s="201"/>
      <c r="L33" s="201"/>
      <c r="M33" s="201"/>
      <c r="N33" s="201"/>
      <c r="O33" s="201"/>
      <c r="P33" s="201"/>
      <c r="Q33" s="201"/>
      <c r="R33" s="201"/>
      <c r="S33" s="201"/>
      <c r="T33" s="205"/>
      <c r="U33" s="205"/>
    </row>
    <row r="34" spans="1:21" ht="15" customHeight="1">
      <c r="A34" s="274" t="s">
        <v>220</v>
      </c>
      <c r="B34" s="282"/>
      <c r="C34" s="282"/>
      <c r="D34" s="282"/>
      <c r="E34" s="282"/>
      <c r="F34" s="282"/>
      <c r="G34" s="282"/>
      <c r="H34" s="282"/>
      <c r="I34" s="283"/>
      <c r="J34" s="200"/>
      <c r="K34" s="201"/>
      <c r="L34" s="201"/>
      <c r="M34" s="201"/>
      <c r="N34" s="201"/>
      <c r="O34" s="201"/>
      <c r="P34" s="201"/>
      <c r="Q34" s="201"/>
      <c r="R34" s="201"/>
      <c r="S34" s="201"/>
      <c r="T34" s="205"/>
      <c r="U34" s="205"/>
    </row>
    <row r="35" spans="1:21" ht="15" customHeight="1">
      <c r="A35" s="210">
        <v>6</v>
      </c>
      <c r="B35" s="176" t="s">
        <v>30</v>
      </c>
      <c r="C35" s="211" t="s">
        <v>36</v>
      </c>
      <c r="D35" s="176"/>
      <c r="E35" s="212"/>
      <c r="F35" s="213">
        <v>8</v>
      </c>
      <c r="G35" s="213">
        <v>1527.22</v>
      </c>
      <c r="H35" s="214">
        <f t="shared" ref="H35:H42" si="3">SUM(F35*G35/1000)</f>
        <v>12.21776</v>
      </c>
      <c r="I35" s="21">
        <f>F35/6*G35</f>
        <v>2036.2933333333333</v>
      </c>
      <c r="J35" s="200"/>
      <c r="K35" s="201"/>
      <c r="L35" s="201"/>
      <c r="M35" s="201"/>
      <c r="N35" s="201"/>
      <c r="O35" s="201"/>
      <c r="P35" s="201"/>
      <c r="Q35" s="201"/>
      <c r="R35" s="201"/>
      <c r="S35" s="201"/>
      <c r="T35" s="205"/>
      <c r="U35" s="205"/>
    </row>
    <row r="36" spans="1:21" ht="15" customHeight="1">
      <c r="A36" s="210">
        <v>7</v>
      </c>
      <c r="B36" s="176" t="s">
        <v>191</v>
      </c>
      <c r="C36" s="211" t="s">
        <v>33</v>
      </c>
      <c r="D36" s="176" t="s">
        <v>192</v>
      </c>
      <c r="E36" s="212">
        <v>315</v>
      </c>
      <c r="F36" s="213">
        <f>E36*12/1000</f>
        <v>3.78</v>
      </c>
      <c r="G36" s="213">
        <v>2102.71</v>
      </c>
      <c r="H36" s="214">
        <f>G36*F36/1000</f>
        <v>7.9482437999999993</v>
      </c>
      <c r="I36" s="21">
        <f>F36/6*G36</f>
        <v>1324.7073</v>
      </c>
      <c r="J36" s="200"/>
      <c r="K36" s="201"/>
      <c r="L36" s="201"/>
      <c r="M36" s="201"/>
      <c r="N36" s="201"/>
      <c r="O36" s="201"/>
      <c r="P36" s="201"/>
      <c r="Q36" s="201"/>
      <c r="R36" s="201"/>
      <c r="S36" s="201"/>
      <c r="T36" s="205"/>
      <c r="U36" s="205"/>
    </row>
    <row r="37" spans="1:21" ht="15" customHeight="1">
      <c r="A37" s="210">
        <v>8</v>
      </c>
      <c r="B37" s="176" t="s">
        <v>193</v>
      </c>
      <c r="C37" s="211" t="s">
        <v>33</v>
      </c>
      <c r="D37" s="176" t="s">
        <v>194</v>
      </c>
      <c r="E37" s="212">
        <v>70.430000000000007</v>
      </c>
      <c r="F37" s="213">
        <f>E37*30/1000</f>
        <v>2.1129000000000002</v>
      </c>
      <c r="G37" s="213">
        <v>2102.71</v>
      </c>
      <c r="H37" s="214">
        <f>G37*F37/1000</f>
        <v>4.4428159590000007</v>
      </c>
      <c r="I37" s="21">
        <f>F37/6*G37</f>
        <v>740.46932650000008</v>
      </c>
      <c r="J37" s="200"/>
      <c r="K37" s="201"/>
      <c r="L37" s="201"/>
      <c r="M37" s="201"/>
      <c r="N37" s="201"/>
      <c r="O37" s="201"/>
      <c r="P37" s="201"/>
      <c r="Q37" s="201"/>
      <c r="R37" s="201"/>
      <c r="S37" s="201"/>
      <c r="T37" s="205"/>
      <c r="U37" s="205"/>
    </row>
    <row r="38" spans="1:21" ht="15" hidden="1" customHeight="1">
      <c r="A38" s="210">
        <v>9</v>
      </c>
      <c r="B38" s="176" t="s">
        <v>195</v>
      </c>
      <c r="C38" s="211" t="s">
        <v>196</v>
      </c>
      <c r="D38" s="176" t="s">
        <v>81</v>
      </c>
      <c r="E38" s="212"/>
      <c r="F38" s="213">
        <v>80</v>
      </c>
      <c r="G38" s="213">
        <v>213.2</v>
      </c>
      <c r="H38" s="214">
        <f>G38*F38/1000</f>
        <v>17.056000000000001</v>
      </c>
      <c r="I38" s="21">
        <v>0</v>
      </c>
      <c r="J38" s="200"/>
      <c r="K38" s="201"/>
      <c r="L38" s="201"/>
      <c r="M38" s="201"/>
      <c r="N38" s="201"/>
      <c r="O38" s="201"/>
      <c r="P38" s="201"/>
      <c r="Q38" s="201"/>
      <c r="R38" s="201"/>
      <c r="S38" s="201"/>
      <c r="T38" s="205"/>
      <c r="U38" s="205"/>
    </row>
    <row r="39" spans="1:21" ht="15" customHeight="1">
      <c r="A39" s="210">
        <v>9</v>
      </c>
      <c r="B39" s="176" t="s">
        <v>83</v>
      </c>
      <c r="C39" s="211" t="s">
        <v>33</v>
      </c>
      <c r="D39" s="176" t="s">
        <v>197</v>
      </c>
      <c r="E39" s="213">
        <v>70.430000000000007</v>
      </c>
      <c r="F39" s="213">
        <f>SUM(E39*155/1000)</f>
        <v>10.916650000000001</v>
      </c>
      <c r="G39" s="213">
        <v>350.75</v>
      </c>
      <c r="H39" s="214">
        <f t="shared" si="3"/>
        <v>3.8290149875000004</v>
      </c>
      <c r="I39" s="21">
        <f>F39/6*G39</f>
        <v>638.16916458333344</v>
      </c>
      <c r="J39" s="200"/>
      <c r="K39" s="201"/>
      <c r="L39" s="201"/>
      <c r="M39" s="201"/>
      <c r="N39" s="201"/>
      <c r="O39" s="201"/>
      <c r="P39" s="201"/>
      <c r="Q39" s="201"/>
      <c r="R39" s="201"/>
      <c r="S39" s="201"/>
      <c r="T39" s="205"/>
      <c r="U39" s="205"/>
    </row>
    <row r="40" spans="1:21" ht="45" customHeight="1">
      <c r="A40" s="210">
        <v>10</v>
      </c>
      <c r="B40" s="176" t="s">
        <v>106</v>
      </c>
      <c r="C40" s="211" t="s">
        <v>185</v>
      </c>
      <c r="D40" s="176" t="s">
        <v>198</v>
      </c>
      <c r="E40" s="213">
        <v>70.430000000000007</v>
      </c>
      <c r="F40" s="213">
        <f>SUM(E40*24/1000)</f>
        <v>1.6903200000000003</v>
      </c>
      <c r="G40" s="213">
        <v>5803.28</v>
      </c>
      <c r="H40" s="214">
        <f t="shared" si="3"/>
        <v>9.8094002496000012</v>
      </c>
      <c r="I40" s="21">
        <f>F40/6*G40</f>
        <v>1634.9000416000001</v>
      </c>
      <c r="J40" s="200"/>
      <c r="K40" s="201"/>
      <c r="L40" s="201"/>
      <c r="M40" s="201"/>
      <c r="N40" s="201"/>
      <c r="O40" s="201"/>
      <c r="P40" s="201"/>
      <c r="Q40" s="201"/>
      <c r="R40" s="201"/>
      <c r="S40" s="201"/>
      <c r="T40" s="205"/>
      <c r="U40" s="205"/>
    </row>
    <row r="41" spans="1:21" ht="15" customHeight="1">
      <c r="A41" s="210">
        <v>11</v>
      </c>
      <c r="B41" s="176" t="s">
        <v>199</v>
      </c>
      <c r="C41" s="211" t="s">
        <v>185</v>
      </c>
      <c r="D41" s="176" t="s">
        <v>84</v>
      </c>
      <c r="E41" s="213">
        <v>70.430000000000007</v>
      </c>
      <c r="F41" s="213">
        <f>SUM(E41*45/1000)</f>
        <v>3.1693500000000006</v>
      </c>
      <c r="G41" s="213">
        <v>428.7</v>
      </c>
      <c r="H41" s="214">
        <f t="shared" si="3"/>
        <v>1.3587003450000001</v>
      </c>
      <c r="I41" s="21">
        <f>F41/6*G41</f>
        <v>226.45005750000001</v>
      </c>
      <c r="J41" s="200"/>
      <c r="K41" s="201"/>
      <c r="L41" s="201"/>
      <c r="M41" s="201"/>
      <c r="N41" s="201"/>
      <c r="O41" s="201"/>
      <c r="P41" s="201"/>
      <c r="Q41" s="201"/>
      <c r="R41" s="201"/>
      <c r="S41" s="201"/>
      <c r="T41" s="205"/>
      <c r="U41" s="205"/>
    </row>
    <row r="42" spans="1:21" ht="15" customHeight="1">
      <c r="A42" s="210">
        <v>12</v>
      </c>
      <c r="B42" s="176" t="s">
        <v>85</v>
      </c>
      <c r="C42" s="211" t="s">
        <v>37</v>
      </c>
      <c r="D42" s="176"/>
      <c r="E42" s="212"/>
      <c r="F42" s="213">
        <v>0.8</v>
      </c>
      <c r="G42" s="213">
        <v>798</v>
      </c>
      <c r="H42" s="214">
        <f t="shared" si="3"/>
        <v>0.63840000000000008</v>
      </c>
      <c r="I42" s="21">
        <f>F42/6*G42</f>
        <v>106.39999999999999</v>
      </c>
      <c r="J42" s="200"/>
      <c r="K42" s="201"/>
      <c r="L42" s="201"/>
      <c r="M42" s="201"/>
      <c r="N42" s="201"/>
      <c r="O42" s="201"/>
      <c r="P42" s="201"/>
      <c r="Q42" s="201"/>
      <c r="R42" s="201"/>
      <c r="S42" s="201"/>
      <c r="T42" s="205"/>
      <c r="U42" s="205"/>
    </row>
    <row r="43" spans="1:21" ht="15" customHeight="1">
      <c r="A43" s="284" t="s">
        <v>221</v>
      </c>
      <c r="B43" s="285"/>
      <c r="C43" s="285"/>
      <c r="D43" s="285"/>
      <c r="E43" s="285"/>
      <c r="F43" s="285"/>
      <c r="G43" s="285"/>
      <c r="H43" s="285"/>
      <c r="I43" s="286"/>
      <c r="J43" s="200"/>
      <c r="K43" s="201"/>
      <c r="L43" s="201"/>
      <c r="M43" s="201"/>
      <c r="N43" s="201"/>
      <c r="O43" s="201"/>
      <c r="P43" s="201"/>
      <c r="Q43" s="201"/>
      <c r="R43" s="201"/>
      <c r="S43" s="201"/>
      <c r="T43" s="205"/>
      <c r="U43" s="205"/>
    </row>
    <row r="44" spans="1:21" ht="15" hidden="1" customHeight="1">
      <c r="A44" s="210"/>
      <c r="B44" s="176" t="s">
        <v>200</v>
      </c>
      <c r="C44" s="211" t="s">
        <v>185</v>
      </c>
      <c r="D44" s="176" t="s">
        <v>52</v>
      </c>
      <c r="E44" s="212">
        <v>1111.75</v>
      </c>
      <c r="F44" s="213">
        <f>SUM(E44*2/1000)</f>
        <v>2.2235</v>
      </c>
      <c r="G44" s="21">
        <v>809.74</v>
      </c>
      <c r="H44" s="214">
        <f t="shared" ref="H44:H54" si="4">SUM(F44*G44/1000)</f>
        <v>1.8004568900000002</v>
      </c>
      <c r="I44" s="21">
        <v>0</v>
      </c>
      <c r="J44" s="200"/>
      <c r="K44" s="201"/>
      <c r="L44" s="201"/>
      <c r="M44" s="201"/>
      <c r="N44" s="201"/>
      <c r="O44" s="201"/>
      <c r="P44" s="201"/>
      <c r="Q44" s="201"/>
      <c r="R44" s="201"/>
      <c r="S44" s="201"/>
      <c r="T44" s="205"/>
      <c r="U44" s="205"/>
    </row>
    <row r="45" spans="1:21" ht="15" hidden="1" customHeight="1">
      <c r="A45" s="210"/>
      <c r="B45" s="176" t="s">
        <v>41</v>
      </c>
      <c r="C45" s="211" t="s">
        <v>185</v>
      </c>
      <c r="D45" s="176" t="s">
        <v>52</v>
      </c>
      <c r="E45" s="212">
        <v>88</v>
      </c>
      <c r="F45" s="213">
        <f>E45*2/1000</f>
        <v>0.17599999999999999</v>
      </c>
      <c r="G45" s="21">
        <v>579.48</v>
      </c>
      <c r="H45" s="214">
        <f t="shared" si="4"/>
        <v>0.10198847999999999</v>
      </c>
      <c r="I45" s="21">
        <v>0</v>
      </c>
      <c r="J45" s="200"/>
      <c r="K45" s="201"/>
      <c r="L45" s="201"/>
      <c r="M45" s="201"/>
      <c r="N45" s="201"/>
      <c r="O45" s="201"/>
      <c r="P45" s="201"/>
      <c r="Q45" s="201"/>
      <c r="R45" s="201"/>
      <c r="S45" s="201"/>
      <c r="T45" s="205"/>
      <c r="U45" s="205"/>
    </row>
    <row r="46" spans="1:21" ht="15" hidden="1" customHeight="1">
      <c r="A46" s="210"/>
      <c r="B46" s="176" t="s">
        <v>42</v>
      </c>
      <c r="C46" s="211" t="s">
        <v>185</v>
      </c>
      <c r="D46" s="176" t="s">
        <v>52</v>
      </c>
      <c r="E46" s="212">
        <v>1250.6199999999999</v>
      </c>
      <c r="F46" s="213">
        <f>SUM(E46*2/1000)</f>
        <v>2.5012399999999997</v>
      </c>
      <c r="G46" s="21">
        <v>579.48</v>
      </c>
      <c r="H46" s="214">
        <f t="shared" si="4"/>
        <v>1.4494185551999998</v>
      </c>
      <c r="I46" s="21">
        <v>0</v>
      </c>
      <c r="J46" s="200"/>
      <c r="K46" s="201"/>
      <c r="L46" s="201"/>
      <c r="M46" s="201"/>
      <c r="N46" s="201"/>
      <c r="O46" s="201"/>
      <c r="P46" s="201"/>
      <c r="Q46" s="201"/>
      <c r="R46" s="201"/>
      <c r="S46" s="201"/>
      <c r="T46" s="205"/>
      <c r="U46" s="205"/>
    </row>
    <row r="47" spans="1:21" ht="15" hidden="1" customHeight="1">
      <c r="A47" s="210"/>
      <c r="B47" s="176" t="s">
        <v>43</v>
      </c>
      <c r="C47" s="211" t="s">
        <v>185</v>
      </c>
      <c r="D47" s="176" t="s">
        <v>52</v>
      </c>
      <c r="E47" s="212">
        <v>1295.68</v>
      </c>
      <c r="F47" s="213">
        <f>SUM(E47*2/1000)</f>
        <v>2.5913600000000003</v>
      </c>
      <c r="G47" s="21">
        <v>606.77</v>
      </c>
      <c r="H47" s="214">
        <f t="shared" si="4"/>
        <v>1.5723595072000001</v>
      </c>
      <c r="I47" s="21">
        <v>0</v>
      </c>
      <c r="J47" s="200"/>
      <c r="K47" s="201"/>
      <c r="L47" s="201"/>
      <c r="M47" s="201"/>
      <c r="N47" s="201"/>
      <c r="O47" s="201"/>
      <c r="P47" s="201"/>
      <c r="Q47" s="201"/>
      <c r="R47" s="201"/>
      <c r="S47" s="201"/>
      <c r="T47" s="205"/>
      <c r="U47" s="205"/>
    </row>
    <row r="48" spans="1:21" ht="15" hidden="1" customHeight="1">
      <c r="A48" s="210"/>
      <c r="B48" s="176" t="s">
        <v>39</v>
      </c>
      <c r="C48" s="211" t="s">
        <v>40</v>
      </c>
      <c r="D48" s="176" t="s">
        <v>52</v>
      </c>
      <c r="E48" s="212">
        <v>85.84</v>
      </c>
      <c r="F48" s="213">
        <f>E48*2/100</f>
        <v>1.7168000000000001</v>
      </c>
      <c r="G48" s="21">
        <v>72.81</v>
      </c>
      <c r="H48" s="214">
        <f>G48*F48/1000</f>
        <v>0.125000208</v>
      </c>
      <c r="I48" s="21">
        <v>0</v>
      </c>
      <c r="J48" s="200"/>
      <c r="K48" s="201"/>
      <c r="L48" s="201"/>
      <c r="M48" s="201"/>
      <c r="N48" s="201"/>
      <c r="O48" s="201"/>
      <c r="P48" s="201"/>
      <c r="Q48" s="201"/>
      <c r="R48" s="201"/>
      <c r="S48" s="201"/>
      <c r="T48" s="205"/>
      <c r="U48" s="205"/>
    </row>
    <row r="49" spans="1:21" ht="30" hidden="1" customHeight="1">
      <c r="A49" s="210">
        <v>13</v>
      </c>
      <c r="B49" s="176" t="s">
        <v>72</v>
      </c>
      <c r="C49" s="211" t="s">
        <v>185</v>
      </c>
      <c r="D49" s="176" t="s">
        <v>219</v>
      </c>
      <c r="E49" s="212">
        <v>897</v>
      </c>
      <c r="F49" s="213">
        <f>SUM(E49*5/1000)</f>
        <v>4.4850000000000003</v>
      </c>
      <c r="G49" s="21">
        <v>1213.55</v>
      </c>
      <c r="H49" s="214">
        <f t="shared" si="4"/>
        <v>5.4427717499999995</v>
      </c>
      <c r="I49" s="21">
        <f>F49/5*G49</f>
        <v>1088.5543499999999</v>
      </c>
      <c r="J49" s="200"/>
      <c r="K49" s="201"/>
      <c r="L49" s="201"/>
      <c r="M49" s="201"/>
      <c r="N49" s="201"/>
      <c r="O49" s="201"/>
      <c r="P49" s="201"/>
      <c r="Q49" s="201"/>
      <c r="R49" s="201"/>
      <c r="S49" s="201"/>
      <c r="T49" s="205"/>
      <c r="U49" s="205"/>
    </row>
    <row r="50" spans="1:21" ht="30" customHeight="1">
      <c r="A50" s="210">
        <v>13</v>
      </c>
      <c r="B50" s="176" t="s">
        <v>201</v>
      </c>
      <c r="C50" s="211" t="s">
        <v>185</v>
      </c>
      <c r="D50" s="176" t="s">
        <v>52</v>
      </c>
      <c r="E50" s="212">
        <v>897</v>
      </c>
      <c r="F50" s="213">
        <f>SUM(E50*2/1000)</f>
        <v>1.794</v>
      </c>
      <c r="G50" s="21">
        <v>1213.55</v>
      </c>
      <c r="H50" s="214">
        <f t="shared" si="4"/>
        <v>2.1771086999999998</v>
      </c>
      <c r="I50" s="21">
        <f>F50/2*G50</f>
        <v>1088.5543499999999</v>
      </c>
      <c r="J50" s="200"/>
      <c r="K50" s="201"/>
      <c r="L50" s="201"/>
      <c r="M50" s="201"/>
      <c r="N50" s="201"/>
      <c r="O50" s="201"/>
      <c r="P50" s="201"/>
      <c r="Q50" s="201"/>
      <c r="R50" s="201"/>
      <c r="S50" s="201"/>
      <c r="T50" s="205"/>
      <c r="U50" s="205"/>
    </row>
    <row r="51" spans="1:21" ht="30" customHeight="1">
      <c r="A51" s="210">
        <v>14</v>
      </c>
      <c r="B51" s="176" t="s">
        <v>202</v>
      </c>
      <c r="C51" s="211" t="s">
        <v>46</v>
      </c>
      <c r="D51" s="176" t="s">
        <v>52</v>
      </c>
      <c r="E51" s="212">
        <v>16</v>
      </c>
      <c r="F51" s="213">
        <f>SUM(E51*2/100)</f>
        <v>0.32</v>
      </c>
      <c r="G51" s="21">
        <v>2730.49</v>
      </c>
      <c r="H51" s="214">
        <f t="shared" si="4"/>
        <v>0.8737568</v>
      </c>
      <c r="I51" s="21">
        <f t="shared" ref="I51:I52" si="5">F51/2*G51</f>
        <v>436.8784</v>
      </c>
      <c r="J51" s="200"/>
      <c r="K51" s="201"/>
      <c r="L51" s="201"/>
      <c r="M51" s="201"/>
      <c r="N51" s="201"/>
      <c r="O51" s="201"/>
      <c r="P51" s="201"/>
      <c r="Q51" s="201"/>
      <c r="R51" s="201"/>
      <c r="S51" s="201"/>
      <c r="T51" s="205"/>
      <c r="U51" s="205"/>
    </row>
    <row r="52" spans="1:21" ht="15.75" customHeight="1">
      <c r="A52" s="210">
        <v>15</v>
      </c>
      <c r="B52" s="176" t="s">
        <v>47</v>
      </c>
      <c r="C52" s="211" t="s">
        <v>48</v>
      </c>
      <c r="D52" s="176" t="s">
        <v>52</v>
      </c>
      <c r="E52" s="212">
        <v>1</v>
      </c>
      <c r="F52" s="213">
        <v>0.02</v>
      </c>
      <c r="G52" s="21">
        <v>5652.13</v>
      </c>
      <c r="H52" s="214">
        <f t="shared" si="4"/>
        <v>0.11304260000000001</v>
      </c>
      <c r="I52" s="21">
        <f t="shared" si="5"/>
        <v>56.521300000000004</v>
      </c>
      <c r="J52" s="200"/>
      <c r="K52" s="201"/>
      <c r="L52" s="201"/>
      <c r="M52" s="201"/>
      <c r="N52" s="201"/>
      <c r="O52" s="201"/>
      <c r="P52" s="201"/>
      <c r="Q52" s="201"/>
      <c r="R52" s="201"/>
      <c r="S52" s="201"/>
      <c r="T52" s="205"/>
      <c r="U52" s="205"/>
    </row>
    <row r="53" spans="1:21" ht="15.75" hidden="1" customHeight="1">
      <c r="A53" s="210">
        <v>14</v>
      </c>
      <c r="B53" s="176" t="s">
        <v>203</v>
      </c>
      <c r="C53" s="211" t="s">
        <v>159</v>
      </c>
      <c r="D53" s="176" t="s">
        <v>86</v>
      </c>
      <c r="E53" s="212">
        <v>64</v>
      </c>
      <c r="F53" s="213">
        <f>E53*3</f>
        <v>192</v>
      </c>
      <c r="G53" s="21">
        <v>141.12</v>
      </c>
      <c r="H53" s="214">
        <f>F53*G53/1000</f>
        <v>27.095040000000001</v>
      </c>
      <c r="I53" s="21">
        <f>E53*G53</f>
        <v>9031.68</v>
      </c>
      <c r="J53" s="200"/>
      <c r="K53" s="201"/>
      <c r="L53" s="201"/>
      <c r="M53" s="201"/>
      <c r="N53" s="201"/>
      <c r="O53" s="201"/>
      <c r="P53" s="201"/>
      <c r="Q53" s="201"/>
      <c r="R53" s="201"/>
      <c r="S53" s="201"/>
      <c r="T53" s="205"/>
      <c r="U53" s="205"/>
    </row>
    <row r="54" spans="1:21" ht="15.75" hidden="1" customHeight="1">
      <c r="A54" s="210">
        <v>15</v>
      </c>
      <c r="B54" s="176" t="s">
        <v>51</v>
      </c>
      <c r="C54" s="211" t="s">
        <v>159</v>
      </c>
      <c r="D54" s="176" t="s">
        <v>86</v>
      </c>
      <c r="E54" s="212">
        <v>128</v>
      </c>
      <c r="F54" s="213">
        <f>SUM(E54)*3</f>
        <v>384</v>
      </c>
      <c r="G54" s="21">
        <v>65.67</v>
      </c>
      <c r="H54" s="214">
        <f t="shared" si="4"/>
        <v>25.217279999999999</v>
      </c>
      <c r="I54" s="21">
        <f>E54*G54</f>
        <v>8405.76</v>
      </c>
      <c r="J54" s="200"/>
      <c r="K54" s="201"/>
      <c r="L54" s="201"/>
      <c r="M54" s="201"/>
      <c r="N54" s="201"/>
      <c r="O54" s="201"/>
      <c r="P54" s="201"/>
      <c r="Q54" s="201"/>
      <c r="R54" s="201"/>
      <c r="S54" s="201"/>
      <c r="T54" s="205"/>
      <c r="U54" s="205"/>
    </row>
    <row r="55" spans="1:21" ht="15.75" customHeight="1">
      <c r="A55" s="274" t="s">
        <v>222</v>
      </c>
      <c r="B55" s="275"/>
      <c r="C55" s="275"/>
      <c r="D55" s="275"/>
      <c r="E55" s="275"/>
      <c r="F55" s="275"/>
      <c r="G55" s="275"/>
      <c r="H55" s="275"/>
      <c r="I55" s="276"/>
      <c r="J55" s="200"/>
      <c r="K55" s="201"/>
      <c r="L55" s="201"/>
      <c r="M55" s="201"/>
      <c r="N55" s="201"/>
      <c r="O55" s="201"/>
      <c r="P55" s="201"/>
      <c r="Q55" s="201"/>
      <c r="R55" s="201"/>
      <c r="S55" s="201"/>
      <c r="T55" s="205"/>
      <c r="U55" s="205"/>
    </row>
    <row r="56" spans="1:21" ht="15" customHeight="1">
      <c r="A56" s="210"/>
      <c r="B56" s="251" t="s">
        <v>53</v>
      </c>
      <c r="C56" s="250"/>
      <c r="D56" s="249"/>
      <c r="E56" s="212"/>
      <c r="F56" s="213"/>
      <c r="G56" s="213"/>
      <c r="H56" s="214"/>
      <c r="I56" s="21"/>
      <c r="J56" s="200"/>
      <c r="K56" s="201"/>
      <c r="L56" s="201"/>
      <c r="M56" s="201"/>
      <c r="N56" s="201"/>
      <c r="O56" s="201"/>
      <c r="P56" s="201"/>
      <c r="Q56" s="201"/>
      <c r="R56" s="201"/>
      <c r="S56" s="201"/>
      <c r="T56" s="205"/>
      <c r="U56" s="205"/>
    </row>
    <row r="57" spans="1:21" ht="30" customHeight="1">
      <c r="A57" s="210">
        <v>16</v>
      </c>
      <c r="B57" s="176" t="s">
        <v>204</v>
      </c>
      <c r="C57" s="211" t="s">
        <v>145</v>
      </c>
      <c r="D57" s="176" t="s">
        <v>205</v>
      </c>
      <c r="E57" s="212">
        <v>123.175</v>
      </c>
      <c r="F57" s="213">
        <f>SUM(E57*6/100)</f>
        <v>7.3904999999999994</v>
      </c>
      <c r="G57" s="21">
        <v>1547.28</v>
      </c>
      <c r="H57" s="214">
        <f>SUM(F57*G57/1000)</f>
        <v>11.43517284</v>
      </c>
      <c r="I57" s="21">
        <f>F57/6*G57</f>
        <v>1905.8621399999997</v>
      </c>
      <c r="J57" s="200"/>
      <c r="K57" s="201"/>
      <c r="L57" s="201"/>
      <c r="M57" s="201"/>
      <c r="N57" s="201"/>
      <c r="O57" s="201"/>
      <c r="P57" s="201"/>
      <c r="Q57" s="201"/>
      <c r="R57" s="201"/>
      <c r="S57" s="201"/>
      <c r="T57" s="205"/>
      <c r="U57" s="205"/>
    </row>
    <row r="58" spans="1:21" ht="15" hidden="1" customHeight="1">
      <c r="A58" s="223"/>
      <c r="B58" s="251" t="s">
        <v>54</v>
      </c>
      <c r="C58" s="250"/>
      <c r="D58" s="249"/>
      <c r="E58" s="226"/>
      <c r="F58" s="227"/>
      <c r="G58" s="21"/>
      <c r="H58" s="228"/>
      <c r="I58" s="21"/>
      <c r="J58" s="200"/>
      <c r="K58" s="201"/>
      <c r="L58" s="201"/>
      <c r="M58" s="201"/>
      <c r="N58" s="201"/>
      <c r="O58" s="201"/>
      <c r="P58" s="201"/>
      <c r="Q58" s="201"/>
      <c r="R58" s="201"/>
      <c r="S58" s="201"/>
      <c r="T58" s="205"/>
      <c r="U58" s="205"/>
    </row>
    <row r="59" spans="1:21" ht="15" hidden="1" customHeight="1">
      <c r="A59" s="223"/>
      <c r="B59" s="225" t="s">
        <v>206</v>
      </c>
      <c r="C59" s="224" t="s">
        <v>65</v>
      </c>
      <c r="D59" s="225" t="s">
        <v>66</v>
      </c>
      <c r="E59" s="226">
        <v>897</v>
      </c>
      <c r="F59" s="227">
        <v>8.9700000000000006</v>
      </c>
      <c r="G59" s="21">
        <v>793.61</v>
      </c>
      <c r="H59" s="228">
        <f>F59*G59/1000</f>
        <v>7.1186817000000007</v>
      </c>
      <c r="I59" s="21">
        <v>0</v>
      </c>
      <c r="J59" s="200"/>
      <c r="K59" s="201"/>
      <c r="L59" s="201"/>
      <c r="M59" s="201"/>
      <c r="N59" s="201"/>
      <c r="O59" s="201"/>
      <c r="P59" s="201"/>
      <c r="Q59" s="201"/>
      <c r="R59" s="201"/>
      <c r="S59" s="201"/>
      <c r="T59" s="205"/>
      <c r="U59" s="205"/>
    </row>
    <row r="60" spans="1:21" ht="15" hidden="1" customHeight="1">
      <c r="A60" s="223"/>
      <c r="B60" s="251" t="s">
        <v>56</v>
      </c>
      <c r="C60" s="250"/>
      <c r="D60" s="250"/>
      <c r="E60" s="226"/>
      <c r="F60" s="229"/>
      <c r="G60" s="229"/>
      <c r="H60" s="227" t="s">
        <v>183</v>
      </c>
      <c r="I60" s="21"/>
      <c r="J60" s="200"/>
      <c r="K60" s="201"/>
      <c r="L60" s="201"/>
      <c r="M60" s="201"/>
      <c r="N60" s="201"/>
      <c r="O60" s="201"/>
      <c r="P60" s="201"/>
      <c r="Q60" s="201"/>
      <c r="R60" s="201"/>
      <c r="S60" s="201"/>
      <c r="T60" s="205"/>
      <c r="U60" s="205"/>
    </row>
    <row r="61" spans="1:21" ht="15" hidden="1" customHeight="1">
      <c r="A61" s="25">
        <v>17</v>
      </c>
      <c r="B61" s="32" t="s">
        <v>57</v>
      </c>
      <c r="C61" s="33" t="s">
        <v>159</v>
      </c>
      <c r="D61" s="252" t="s">
        <v>81</v>
      </c>
      <c r="E61" s="27">
        <v>15</v>
      </c>
      <c r="F61" s="213">
        <v>15</v>
      </c>
      <c r="G61" s="21">
        <v>222.4</v>
      </c>
      <c r="H61" s="215">
        <f t="shared" ref="H61:H74" si="6">SUM(F61*G61/1000)</f>
        <v>3.3359999999999999</v>
      </c>
      <c r="I61" s="21">
        <f>G61*2</f>
        <v>444.8</v>
      </c>
      <c r="J61" s="200"/>
      <c r="K61" s="201"/>
      <c r="L61" s="201"/>
      <c r="M61" s="201"/>
      <c r="N61" s="201"/>
      <c r="O61" s="201"/>
      <c r="P61" s="201"/>
      <c r="Q61" s="201"/>
      <c r="R61" s="201"/>
      <c r="S61" s="201"/>
      <c r="T61" s="205"/>
      <c r="U61" s="205"/>
    </row>
    <row r="62" spans="1:21" ht="15" hidden="1" customHeight="1">
      <c r="A62" s="25"/>
      <c r="B62" s="23" t="s">
        <v>58</v>
      </c>
      <c r="C62" s="25" t="s">
        <v>159</v>
      </c>
      <c r="D62" s="176" t="s">
        <v>81</v>
      </c>
      <c r="E62" s="27">
        <v>5</v>
      </c>
      <c r="F62" s="213">
        <v>5</v>
      </c>
      <c r="G62" s="21">
        <v>76.25</v>
      </c>
      <c r="H62" s="215">
        <f t="shared" si="6"/>
        <v>0.38124999999999998</v>
      </c>
      <c r="I62" s="21">
        <v>0</v>
      </c>
      <c r="J62" s="200"/>
      <c r="K62" s="201"/>
      <c r="L62" s="201"/>
      <c r="M62" s="201"/>
      <c r="N62" s="201"/>
      <c r="O62" s="201"/>
      <c r="P62" s="201"/>
      <c r="Q62" s="201"/>
      <c r="R62" s="201"/>
      <c r="S62" s="201"/>
      <c r="T62" s="205"/>
      <c r="U62" s="205"/>
    </row>
    <row r="63" spans="1:21" ht="15" hidden="1" customHeight="1">
      <c r="A63" s="25"/>
      <c r="B63" s="23" t="s">
        <v>59</v>
      </c>
      <c r="C63" s="25" t="s">
        <v>160</v>
      </c>
      <c r="D63" s="23" t="s">
        <v>66</v>
      </c>
      <c r="E63" s="212">
        <v>10052</v>
      </c>
      <c r="F63" s="21">
        <f>SUM(E63/100)</f>
        <v>100.52</v>
      </c>
      <c r="G63" s="21">
        <v>212.15</v>
      </c>
      <c r="H63" s="215">
        <f t="shared" si="6"/>
        <v>21.325317999999999</v>
      </c>
      <c r="I63" s="21">
        <v>0</v>
      </c>
      <c r="J63" s="200"/>
      <c r="K63" s="201"/>
      <c r="L63" s="201"/>
      <c r="M63" s="201"/>
      <c r="N63" s="201"/>
      <c r="O63" s="201"/>
      <c r="P63" s="201"/>
      <c r="Q63" s="201"/>
      <c r="R63" s="201"/>
      <c r="S63" s="201"/>
      <c r="T63" s="205"/>
      <c r="U63" s="205"/>
    </row>
    <row r="64" spans="1:21" ht="15" hidden="1" customHeight="1">
      <c r="A64" s="25"/>
      <c r="B64" s="23" t="s">
        <v>60</v>
      </c>
      <c r="C64" s="25" t="s">
        <v>161</v>
      </c>
      <c r="D64" s="23"/>
      <c r="E64" s="212">
        <v>10052</v>
      </c>
      <c r="F64" s="21">
        <f>SUM(E64/1000)</f>
        <v>10.052</v>
      </c>
      <c r="G64" s="21">
        <v>165.21</v>
      </c>
      <c r="H64" s="215">
        <f t="shared" si="6"/>
        <v>1.66069092</v>
      </c>
      <c r="I64" s="21">
        <v>0</v>
      </c>
      <c r="J64" s="200"/>
      <c r="K64" s="201"/>
      <c r="L64" s="201"/>
      <c r="M64" s="201"/>
      <c r="N64" s="201"/>
      <c r="O64" s="201"/>
      <c r="P64" s="201"/>
      <c r="Q64" s="201"/>
      <c r="R64" s="201"/>
      <c r="S64" s="201"/>
      <c r="T64" s="205"/>
      <c r="U64" s="205"/>
    </row>
    <row r="65" spans="1:21" ht="15" hidden="1" customHeight="1">
      <c r="A65" s="25"/>
      <c r="B65" s="23" t="s">
        <v>61</v>
      </c>
      <c r="C65" s="25" t="s">
        <v>93</v>
      </c>
      <c r="D65" s="23" t="s">
        <v>66</v>
      </c>
      <c r="E65" s="212">
        <v>2200</v>
      </c>
      <c r="F65" s="21">
        <f>SUM(E65/100)</f>
        <v>22</v>
      </c>
      <c r="G65" s="21">
        <v>2074.63</v>
      </c>
      <c r="H65" s="215">
        <f t="shared" si="6"/>
        <v>45.641860000000001</v>
      </c>
      <c r="I65" s="21">
        <v>0</v>
      </c>
      <c r="J65" s="200"/>
      <c r="K65" s="201"/>
      <c r="L65" s="201"/>
      <c r="M65" s="201"/>
      <c r="N65" s="201"/>
      <c r="O65" s="201"/>
      <c r="P65" s="201"/>
      <c r="Q65" s="201"/>
      <c r="R65" s="201"/>
      <c r="S65" s="201"/>
      <c r="T65" s="205"/>
      <c r="U65" s="205"/>
    </row>
    <row r="66" spans="1:21" ht="15" hidden="1" customHeight="1">
      <c r="A66" s="25"/>
      <c r="B66" s="230" t="s">
        <v>162</v>
      </c>
      <c r="C66" s="25" t="s">
        <v>37</v>
      </c>
      <c r="D66" s="23"/>
      <c r="E66" s="212">
        <v>9.4</v>
      </c>
      <c r="F66" s="21">
        <f>SUM(E66)</f>
        <v>9.4</v>
      </c>
      <c r="G66" s="21">
        <v>42.67</v>
      </c>
      <c r="H66" s="215">
        <f t="shared" si="6"/>
        <v>0.40109800000000001</v>
      </c>
      <c r="I66" s="21">
        <v>0</v>
      </c>
      <c r="J66" s="200"/>
      <c r="K66" s="201"/>
      <c r="L66" s="201"/>
      <c r="M66" s="201"/>
      <c r="N66" s="201"/>
      <c r="O66" s="201"/>
      <c r="P66" s="201"/>
      <c r="Q66" s="201"/>
      <c r="R66" s="201"/>
      <c r="S66" s="201"/>
      <c r="T66" s="205"/>
      <c r="U66" s="205"/>
    </row>
    <row r="67" spans="1:21" ht="15" hidden="1" customHeight="1">
      <c r="A67" s="231"/>
      <c r="B67" s="230" t="s">
        <v>163</v>
      </c>
      <c r="C67" s="25" t="s">
        <v>37</v>
      </c>
      <c r="D67" s="23"/>
      <c r="E67" s="212">
        <v>9.4</v>
      </c>
      <c r="F67" s="21">
        <f>SUM(E67)</f>
        <v>9.4</v>
      </c>
      <c r="G67" s="21">
        <v>39.81</v>
      </c>
      <c r="H67" s="215">
        <f t="shared" si="6"/>
        <v>0.37421400000000005</v>
      </c>
      <c r="I67" s="21">
        <v>0</v>
      </c>
      <c r="J67" s="200"/>
      <c r="K67" s="201"/>
      <c r="L67" s="201"/>
      <c r="M67" s="201"/>
      <c r="N67" s="201"/>
      <c r="O67" s="201"/>
      <c r="P67" s="201"/>
      <c r="Q67" s="201"/>
      <c r="R67" s="201"/>
      <c r="S67" s="201"/>
      <c r="T67" s="205"/>
      <c r="U67" s="205"/>
    </row>
    <row r="68" spans="1:21" ht="15" hidden="1" customHeight="1">
      <c r="A68" s="25"/>
      <c r="B68" s="23" t="s">
        <v>73</v>
      </c>
      <c r="C68" s="25" t="s">
        <v>74</v>
      </c>
      <c r="D68" s="23" t="s">
        <v>66</v>
      </c>
      <c r="E68" s="27">
        <v>5</v>
      </c>
      <c r="F68" s="213">
        <v>5</v>
      </c>
      <c r="G68" s="21">
        <v>49.88</v>
      </c>
      <c r="H68" s="215">
        <f t="shared" si="6"/>
        <v>0.24940000000000001</v>
      </c>
      <c r="I68" s="21">
        <v>0</v>
      </c>
      <c r="J68" s="200"/>
      <c r="K68" s="201"/>
      <c r="L68" s="201"/>
      <c r="M68" s="201"/>
      <c r="N68" s="201"/>
      <c r="O68" s="201"/>
      <c r="P68" s="201"/>
      <c r="Q68" s="201"/>
      <c r="R68" s="201"/>
      <c r="S68" s="201"/>
      <c r="T68" s="205"/>
      <c r="U68" s="205"/>
    </row>
    <row r="69" spans="1:21" ht="15" hidden="1" customHeight="1">
      <c r="A69" s="231"/>
      <c r="B69" s="188" t="s">
        <v>87</v>
      </c>
      <c r="C69" s="253"/>
      <c r="D69" s="253"/>
      <c r="E69" s="27"/>
      <c r="F69" s="21"/>
      <c r="G69" s="21"/>
      <c r="H69" s="215" t="s">
        <v>183</v>
      </c>
      <c r="I69" s="21"/>
      <c r="J69" s="200"/>
      <c r="K69" s="201"/>
      <c r="L69" s="201"/>
      <c r="M69" s="201"/>
      <c r="N69" s="201"/>
      <c r="O69" s="201"/>
      <c r="P69" s="201"/>
      <c r="Q69" s="201"/>
      <c r="R69" s="201"/>
      <c r="S69" s="201"/>
      <c r="T69" s="205"/>
      <c r="U69" s="205"/>
    </row>
    <row r="70" spans="1:21" ht="15" hidden="1" customHeight="1">
      <c r="A70" s="25"/>
      <c r="B70" s="23" t="s">
        <v>88</v>
      </c>
      <c r="C70" s="25" t="s">
        <v>90</v>
      </c>
      <c r="D70" s="23"/>
      <c r="E70" s="27">
        <v>3</v>
      </c>
      <c r="F70" s="21">
        <v>0.3</v>
      </c>
      <c r="G70" s="21">
        <v>501.62</v>
      </c>
      <c r="H70" s="215">
        <f t="shared" si="6"/>
        <v>0.15048599999999998</v>
      </c>
      <c r="I70" s="21">
        <v>0</v>
      </c>
      <c r="J70" s="200"/>
      <c r="K70" s="201"/>
      <c r="L70" s="201"/>
      <c r="M70" s="201"/>
      <c r="N70" s="201"/>
      <c r="O70" s="201"/>
      <c r="P70" s="201"/>
      <c r="Q70" s="201"/>
      <c r="R70" s="201"/>
      <c r="S70" s="201"/>
      <c r="T70" s="205"/>
      <c r="U70" s="205"/>
    </row>
    <row r="71" spans="1:21" ht="15" hidden="1" customHeight="1">
      <c r="A71" s="25"/>
      <c r="B71" s="23" t="s">
        <v>89</v>
      </c>
      <c r="C71" s="25" t="s">
        <v>35</v>
      </c>
      <c r="D71" s="23"/>
      <c r="E71" s="27">
        <v>1</v>
      </c>
      <c r="F71" s="232">
        <v>1</v>
      </c>
      <c r="G71" s="21">
        <v>852.99</v>
      </c>
      <c r="H71" s="215">
        <f>F71*G71/1000</f>
        <v>0.85299000000000003</v>
      </c>
      <c r="I71" s="21">
        <v>0</v>
      </c>
      <c r="J71" s="200"/>
      <c r="K71" s="201"/>
      <c r="L71" s="201"/>
      <c r="M71" s="201"/>
      <c r="N71" s="201"/>
      <c r="O71" s="201"/>
      <c r="P71" s="201"/>
      <c r="Q71" s="201"/>
      <c r="R71" s="201"/>
      <c r="S71" s="201"/>
      <c r="T71" s="205"/>
      <c r="U71" s="205"/>
    </row>
    <row r="72" spans="1:21" ht="15" hidden="1" customHeight="1">
      <c r="A72" s="25"/>
      <c r="B72" s="23" t="s">
        <v>126</v>
      </c>
      <c r="C72" s="25" t="s">
        <v>35</v>
      </c>
      <c r="D72" s="23"/>
      <c r="E72" s="27">
        <v>1</v>
      </c>
      <c r="F72" s="21">
        <v>1</v>
      </c>
      <c r="G72" s="21">
        <v>358.51</v>
      </c>
      <c r="H72" s="215">
        <f>G72*F72/1000</f>
        <v>0.35851</v>
      </c>
      <c r="I72" s="21">
        <v>0</v>
      </c>
      <c r="J72" s="200"/>
      <c r="K72" s="201"/>
      <c r="L72" s="201"/>
      <c r="M72" s="201"/>
      <c r="N72" s="201"/>
      <c r="O72" s="201"/>
      <c r="P72" s="201"/>
      <c r="Q72" s="201"/>
      <c r="R72" s="201"/>
      <c r="S72" s="201"/>
      <c r="T72" s="205"/>
      <c r="U72" s="205"/>
    </row>
    <row r="73" spans="1:21" ht="15" hidden="1" customHeight="1">
      <c r="A73" s="231"/>
      <c r="B73" s="234" t="s">
        <v>91</v>
      </c>
      <c r="C73" s="253"/>
      <c r="D73" s="253"/>
      <c r="E73" s="27"/>
      <c r="F73" s="21"/>
      <c r="G73" s="21" t="s">
        <v>183</v>
      </c>
      <c r="H73" s="215" t="s">
        <v>183</v>
      </c>
      <c r="I73" s="21"/>
      <c r="J73" s="200"/>
      <c r="K73" s="201"/>
      <c r="L73" s="201"/>
      <c r="M73" s="201"/>
      <c r="N73" s="201"/>
      <c r="O73" s="201"/>
      <c r="P73" s="201"/>
      <c r="Q73" s="201"/>
      <c r="R73" s="201"/>
      <c r="S73" s="201"/>
      <c r="T73" s="205"/>
      <c r="U73" s="205"/>
    </row>
    <row r="74" spans="1:21" ht="15" hidden="1" customHeight="1">
      <c r="A74" s="25"/>
      <c r="B74" s="85" t="s">
        <v>92</v>
      </c>
      <c r="C74" s="25" t="s">
        <v>93</v>
      </c>
      <c r="D74" s="23"/>
      <c r="E74" s="27"/>
      <c r="F74" s="21">
        <v>1</v>
      </c>
      <c r="G74" s="21">
        <v>2579.44</v>
      </c>
      <c r="H74" s="215">
        <f t="shared" si="6"/>
        <v>2.57944</v>
      </c>
      <c r="I74" s="21">
        <v>0</v>
      </c>
      <c r="J74" s="200"/>
      <c r="K74" s="201"/>
      <c r="L74" s="201"/>
      <c r="M74" s="201"/>
      <c r="N74" s="201"/>
      <c r="O74" s="201"/>
      <c r="P74" s="201"/>
      <c r="Q74" s="201"/>
      <c r="R74" s="201"/>
      <c r="S74" s="201"/>
      <c r="T74" s="205"/>
      <c r="U74" s="205"/>
    </row>
    <row r="75" spans="1:21" ht="15" hidden="1" customHeight="1">
      <c r="A75" s="248"/>
      <c r="B75" s="188" t="s">
        <v>165</v>
      </c>
      <c r="C75" s="254"/>
      <c r="D75" s="254"/>
      <c r="E75" s="237"/>
      <c r="F75" s="21"/>
      <c r="G75" s="21"/>
      <c r="H75" s="215"/>
      <c r="I75" s="21"/>
      <c r="J75" s="200"/>
      <c r="K75" s="201"/>
      <c r="L75" s="201"/>
      <c r="M75" s="201"/>
      <c r="N75" s="201"/>
      <c r="O75" s="201"/>
      <c r="P75" s="201"/>
      <c r="Q75" s="201"/>
      <c r="R75" s="201"/>
      <c r="S75" s="201"/>
      <c r="T75" s="205"/>
      <c r="U75" s="205"/>
    </row>
    <row r="76" spans="1:21" ht="15" hidden="1" customHeight="1">
      <c r="A76" s="236"/>
      <c r="B76" s="252" t="s">
        <v>166</v>
      </c>
      <c r="C76" s="33"/>
      <c r="D76" s="32"/>
      <c r="E76" s="237"/>
      <c r="F76" s="21">
        <v>1</v>
      </c>
      <c r="G76" s="21">
        <v>20950</v>
      </c>
      <c r="H76" s="215">
        <f>G76*F76/1000</f>
        <v>20.95</v>
      </c>
      <c r="I76" s="21">
        <v>0</v>
      </c>
      <c r="J76" s="200"/>
      <c r="K76" s="201"/>
      <c r="L76" s="201"/>
      <c r="M76" s="201"/>
      <c r="N76" s="201"/>
      <c r="O76" s="201"/>
      <c r="P76" s="201"/>
      <c r="Q76" s="201"/>
      <c r="R76" s="201"/>
      <c r="S76" s="201"/>
      <c r="T76" s="205"/>
      <c r="U76" s="205"/>
    </row>
    <row r="77" spans="1:21" ht="15" customHeight="1">
      <c r="A77" s="274" t="s">
        <v>227</v>
      </c>
      <c r="B77" s="275"/>
      <c r="C77" s="275"/>
      <c r="D77" s="275"/>
      <c r="E77" s="275"/>
      <c r="F77" s="275"/>
      <c r="G77" s="275"/>
      <c r="H77" s="275"/>
      <c r="I77" s="276"/>
      <c r="J77" s="200"/>
      <c r="K77" s="201"/>
      <c r="L77" s="201"/>
      <c r="M77" s="201"/>
      <c r="N77" s="201"/>
      <c r="O77" s="201"/>
      <c r="P77" s="201"/>
      <c r="Q77" s="201"/>
      <c r="R77" s="201"/>
      <c r="S77" s="201"/>
      <c r="T77" s="205"/>
      <c r="U77" s="205"/>
    </row>
    <row r="78" spans="1:21" ht="15" customHeight="1">
      <c r="A78" s="25">
        <v>17</v>
      </c>
      <c r="B78" s="176" t="s">
        <v>207</v>
      </c>
      <c r="C78" s="25" t="s">
        <v>70</v>
      </c>
      <c r="D78" s="238"/>
      <c r="E78" s="21">
        <v>2549.5</v>
      </c>
      <c r="F78" s="21">
        <f>SUM(E78*12)</f>
        <v>30594</v>
      </c>
      <c r="G78" s="21">
        <v>2.1</v>
      </c>
      <c r="H78" s="215">
        <f>SUM(F78*G78/1000)</f>
        <v>64.247399999999999</v>
      </c>
      <c r="I78" s="21">
        <f>F78/12*G78</f>
        <v>5353.95</v>
      </c>
      <c r="J78" s="200"/>
      <c r="K78" s="201"/>
      <c r="L78" s="201"/>
      <c r="M78" s="201"/>
      <c r="N78" s="201"/>
      <c r="O78" s="201"/>
      <c r="P78" s="201"/>
      <c r="Q78" s="201"/>
      <c r="R78" s="201"/>
      <c r="S78" s="201"/>
      <c r="T78" s="205"/>
      <c r="U78" s="205"/>
    </row>
    <row r="79" spans="1:21" ht="30" customHeight="1">
      <c r="A79" s="255">
        <v>18</v>
      </c>
      <c r="B79" s="23" t="s">
        <v>94</v>
      </c>
      <c r="C79" s="25"/>
      <c r="D79" s="85"/>
      <c r="E79" s="212">
        <f>E78</f>
        <v>2549.5</v>
      </c>
      <c r="F79" s="21">
        <f>E79*12</f>
        <v>30594</v>
      </c>
      <c r="G79" s="21">
        <v>1.63</v>
      </c>
      <c r="H79" s="215">
        <f>F79*G79/1000</f>
        <v>49.868219999999994</v>
      </c>
      <c r="I79" s="21">
        <f>F79/12*G79</f>
        <v>4155.6849999999995</v>
      </c>
      <c r="J79" s="200"/>
      <c r="K79" s="201"/>
      <c r="L79" s="201"/>
      <c r="M79" s="201"/>
      <c r="N79" s="201"/>
      <c r="O79" s="201"/>
      <c r="P79" s="201"/>
      <c r="Q79" s="201"/>
      <c r="R79" s="201"/>
      <c r="S79" s="201"/>
      <c r="T79" s="205"/>
      <c r="U79" s="205"/>
    </row>
    <row r="80" spans="1:21" ht="15" customHeight="1">
      <c r="A80" s="239"/>
      <c r="B80" s="73" t="s">
        <v>99</v>
      </c>
      <c r="C80" s="234"/>
      <c r="D80" s="233"/>
      <c r="E80" s="235"/>
      <c r="F80" s="235"/>
      <c r="G80" s="235"/>
      <c r="H80" s="222">
        <f>H79</f>
        <v>49.868219999999994</v>
      </c>
      <c r="I80" s="235">
        <f>I15+I16+I17+I25+I26+I35+I36+I37+I39+I40+I41+I42+I50+I51+I52+I57+I78+I79</f>
        <v>40483.038043516673</v>
      </c>
      <c r="J80" s="202"/>
      <c r="K80" s="203"/>
      <c r="L80" s="203"/>
      <c r="M80" s="203"/>
      <c r="N80" s="203"/>
      <c r="O80" s="203"/>
      <c r="P80" s="203"/>
      <c r="Q80" s="203"/>
      <c r="R80" s="203"/>
      <c r="S80" s="203"/>
      <c r="T80" s="205"/>
      <c r="U80" s="205"/>
    </row>
    <row r="81" spans="1:22" ht="15" customHeight="1">
      <c r="A81" s="239"/>
      <c r="B81" s="145" t="s">
        <v>75</v>
      </c>
      <c r="C81" s="25"/>
      <c r="D81" s="85"/>
      <c r="E81" s="21"/>
      <c r="F81" s="21"/>
      <c r="G81" s="21"/>
      <c r="H81" s="222" t="e">
        <f>SUM(H80+#REF!+#REF!+#REF!+#REF!+#REF!+#REF!)</f>
        <v>#REF!</v>
      </c>
      <c r="I81" s="21"/>
      <c r="J81" s="200"/>
      <c r="K81" s="201"/>
      <c r="L81" s="201"/>
      <c r="M81" s="201"/>
      <c r="N81" s="201"/>
      <c r="O81" s="201"/>
      <c r="P81" s="201"/>
      <c r="Q81" s="201"/>
      <c r="R81" s="201"/>
      <c r="S81" s="201"/>
      <c r="T81" s="205"/>
      <c r="U81" s="205"/>
    </row>
    <row r="82" spans="1:22" ht="15" customHeight="1">
      <c r="A82" s="240">
        <v>19</v>
      </c>
      <c r="B82" s="146" t="s">
        <v>211</v>
      </c>
      <c r="C82" s="240" t="s">
        <v>107</v>
      </c>
      <c r="D82" s="23"/>
      <c r="E82" s="27"/>
      <c r="F82" s="21">
        <v>3</v>
      </c>
      <c r="G82" s="21">
        <v>185.81</v>
      </c>
      <c r="H82" s="215">
        <f t="shared" ref="H82:H84" si="7">G82*F82/1000</f>
        <v>0.55743000000000009</v>
      </c>
      <c r="I82" s="260">
        <f>G82</f>
        <v>185.81</v>
      </c>
      <c r="J82" s="200"/>
      <c r="K82" s="201"/>
      <c r="L82" s="201"/>
      <c r="M82" s="201"/>
      <c r="N82" s="201"/>
      <c r="O82" s="201"/>
      <c r="P82" s="201"/>
      <c r="Q82" s="201"/>
      <c r="R82" s="201"/>
      <c r="S82" s="201"/>
      <c r="T82" s="205"/>
      <c r="U82" s="205"/>
    </row>
    <row r="83" spans="1:22" ht="29.25" customHeight="1">
      <c r="A83" s="241">
        <v>20</v>
      </c>
      <c r="B83" s="146" t="s">
        <v>212</v>
      </c>
      <c r="C83" s="240" t="s">
        <v>159</v>
      </c>
      <c r="D83" s="23"/>
      <c r="E83" s="27"/>
      <c r="F83" s="21">
        <v>1</v>
      </c>
      <c r="G83" s="21">
        <v>2179.33</v>
      </c>
      <c r="H83" s="215">
        <f t="shared" si="7"/>
        <v>2.1793299999999998</v>
      </c>
      <c r="I83" s="260">
        <f t="shared" ref="I83" si="8">G83</f>
        <v>2179.33</v>
      </c>
      <c r="J83" s="200"/>
      <c r="K83" s="201"/>
      <c r="L83" s="201"/>
      <c r="M83" s="201"/>
      <c r="N83" s="201"/>
      <c r="O83" s="201"/>
      <c r="P83" s="201"/>
      <c r="Q83" s="201"/>
      <c r="R83" s="201"/>
      <c r="S83" s="201"/>
      <c r="T83" s="205"/>
      <c r="U83" s="205"/>
    </row>
    <row r="84" spans="1:22" ht="29.25" customHeight="1">
      <c r="A84" s="240">
        <v>21</v>
      </c>
      <c r="B84" s="146" t="s">
        <v>172</v>
      </c>
      <c r="C84" s="240" t="s">
        <v>46</v>
      </c>
      <c r="D84" s="23"/>
      <c r="E84" s="27"/>
      <c r="F84" s="21">
        <f>6/100</f>
        <v>0.06</v>
      </c>
      <c r="G84" s="21">
        <v>3397.65</v>
      </c>
      <c r="H84" s="215">
        <f t="shared" si="7"/>
        <v>0.20385900000000001</v>
      </c>
      <c r="I84" s="260">
        <f>G84*0.03</f>
        <v>101.9295</v>
      </c>
      <c r="J84" s="200"/>
      <c r="K84" s="201"/>
      <c r="L84" s="201"/>
      <c r="M84" s="201"/>
      <c r="N84" s="201"/>
      <c r="O84" s="201"/>
      <c r="P84" s="201"/>
      <c r="Q84" s="201"/>
      <c r="R84" s="201"/>
      <c r="S84" s="201"/>
      <c r="T84" s="205"/>
      <c r="U84" s="205"/>
    </row>
    <row r="85" spans="1:22" ht="15" customHeight="1">
      <c r="A85" s="25"/>
      <c r="B85" s="247" t="s">
        <v>216</v>
      </c>
      <c r="C85" s="246"/>
      <c r="D85" s="246"/>
      <c r="E85" s="21"/>
      <c r="F85" s="21"/>
      <c r="G85" s="21"/>
      <c r="H85" s="222">
        <f>SUM(H82:H84)</f>
        <v>2.9406189999999999</v>
      </c>
      <c r="I85" s="235">
        <f>I82+I83+I84</f>
        <v>2467.0695000000001</v>
      </c>
      <c r="J85" s="200"/>
      <c r="K85" s="201"/>
      <c r="L85" s="201"/>
      <c r="M85" s="201"/>
      <c r="N85" s="201"/>
      <c r="O85" s="201"/>
      <c r="P85" s="201"/>
      <c r="Q85" s="201"/>
      <c r="R85" s="201"/>
      <c r="S85" s="201"/>
      <c r="T85" s="205"/>
      <c r="U85" s="205"/>
    </row>
    <row r="86" spans="1:22" ht="15" customHeight="1">
      <c r="A86" s="51"/>
      <c r="B86" s="85" t="s">
        <v>95</v>
      </c>
      <c r="C86" s="24"/>
      <c r="D86" s="24"/>
      <c r="E86" s="77"/>
      <c r="F86" s="77"/>
      <c r="G86" s="78"/>
      <c r="H86" s="78"/>
      <c r="I86" s="26">
        <v>0</v>
      </c>
      <c r="J86" s="204"/>
      <c r="K86" s="205"/>
      <c r="L86" s="29"/>
      <c r="M86" s="30"/>
      <c r="N86" s="31"/>
      <c r="O86" s="205"/>
      <c r="P86" s="205"/>
      <c r="Q86" s="205"/>
      <c r="R86" s="205"/>
      <c r="S86" s="205"/>
      <c r="T86" s="205"/>
      <c r="U86" s="205"/>
    </row>
    <row r="87" spans="1:22" ht="15" customHeight="1">
      <c r="A87" s="51"/>
      <c r="B87" s="81" t="s">
        <v>64</v>
      </c>
      <c r="C87" s="24"/>
      <c r="D87" s="24"/>
      <c r="E87" s="77"/>
      <c r="F87" s="77"/>
      <c r="G87" s="78"/>
      <c r="H87" s="78"/>
      <c r="I87" s="79">
        <f>I80+I85</f>
        <v>42950.107543516671</v>
      </c>
      <c r="J87" s="204"/>
      <c r="K87" s="205"/>
      <c r="L87" s="29"/>
      <c r="M87" s="30"/>
      <c r="N87" s="31"/>
      <c r="O87" s="205"/>
      <c r="P87" s="205"/>
      <c r="Q87" s="205"/>
      <c r="R87" s="205"/>
      <c r="S87" s="205"/>
      <c r="T87" s="205"/>
      <c r="U87" s="205"/>
    </row>
    <row r="88" spans="1:22" ht="15.75">
      <c r="A88" s="263" t="s">
        <v>229</v>
      </c>
      <c r="B88" s="263"/>
      <c r="C88" s="263"/>
      <c r="D88" s="263"/>
      <c r="E88" s="263"/>
      <c r="F88" s="263"/>
      <c r="G88" s="263"/>
      <c r="H88" s="263"/>
      <c r="I88" s="263"/>
      <c r="J88" s="205"/>
      <c r="K88" s="205"/>
      <c r="L88" s="205"/>
      <c r="M88" s="205"/>
      <c r="N88" s="205"/>
      <c r="O88" s="205"/>
      <c r="P88" s="205"/>
      <c r="Q88" s="205"/>
      <c r="R88" s="205"/>
      <c r="S88" s="205"/>
      <c r="T88" s="205"/>
      <c r="U88" s="205"/>
    </row>
    <row r="89" spans="1:22" ht="15.75">
      <c r="A89" s="13"/>
      <c r="B89" s="264" t="s">
        <v>230</v>
      </c>
      <c r="C89" s="264"/>
      <c r="D89" s="264"/>
      <c r="E89" s="264"/>
      <c r="F89" s="264"/>
      <c r="G89" s="264"/>
      <c r="H89" s="186"/>
      <c r="I89" s="4"/>
      <c r="J89" s="205"/>
      <c r="K89" s="205"/>
      <c r="L89" s="205"/>
      <c r="M89" s="205"/>
      <c r="N89" s="205"/>
      <c r="O89" s="205"/>
      <c r="P89" s="205"/>
      <c r="Q89" s="205"/>
      <c r="R89" s="205"/>
      <c r="S89" s="205"/>
      <c r="T89" s="205"/>
      <c r="U89" s="205"/>
    </row>
    <row r="90" spans="1:22" ht="15.75">
      <c r="A90" s="187"/>
      <c r="B90" s="280" t="s">
        <v>7</v>
      </c>
      <c r="C90" s="280"/>
      <c r="D90" s="280"/>
      <c r="E90" s="280"/>
      <c r="F90" s="280"/>
      <c r="G90" s="280"/>
      <c r="H90" s="199"/>
      <c r="I90" s="123"/>
      <c r="J90" s="205"/>
      <c r="K90" s="205"/>
      <c r="L90" s="205"/>
      <c r="M90" s="205"/>
      <c r="N90" s="205"/>
      <c r="O90" s="205"/>
      <c r="P90" s="205"/>
      <c r="Q90" s="205"/>
      <c r="R90" s="205"/>
      <c r="S90" s="205"/>
      <c r="T90" s="205"/>
      <c r="U90" s="205"/>
    </row>
    <row r="91" spans="1:22" ht="15.75" customHeight="1">
      <c r="A91" s="124"/>
      <c r="B91" s="124"/>
      <c r="C91" s="124"/>
      <c r="D91" s="124"/>
      <c r="E91" s="124"/>
      <c r="F91" s="124"/>
      <c r="G91" s="124"/>
      <c r="H91" s="124"/>
      <c r="I91" s="124"/>
      <c r="J91" s="4"/>
      <c r="K91" s="4"/>
      <c r="L91" s="4"/>
      <c r="M91" s="4"/>
      <c r="N91" s="4"/>
      <c r="O91" s="4"/>
      <c r="P91" s="4"/>
      <c r="Q91" s="206"/>
      <c r="R91" s="206"/>
      <c r="S91" s="206"/>
      <c r="T91" s="206"/>
      <c r="U91" s="206"/>
      <c r="V91" s="12"/>
    </row>
    <row r="92" spans="1:22" ht="15.75" customHeight="1">
      <c r="A92" s="281" t="s">
        <v>8</v>
      </c>
      <c r="B92" s="281"/>
      <c r="C92" s="281"/>
      <c r="D92" s="281"/>
      <c r="E92" s="281"/>
      <c r="F92" s="281"/>
      <c r="G92" s="281"/>
      <c r="H92" s="281"/>
      <c r="I92" s="281"/>
      <c r="J92" s="43"/>
      <c r="K92" s="43"/>
      <c r="L92" s="4"/>
      <c r="M92" s="4"/>
      <c r="N92" s="4"/>
      <c r="O92" s="4"/>
      <c r="P92" s="4"/>
      <c r="Q92" s="206"/>
      <c r="R92" s="206"/>
      <c r="S92" s="206"/>
      <c r="T92" s="206"/>
      <c r="U92" s="206"/>
    </row>
    <row r="93" spans="1:22" ht="15.75">
      <c r="A93" s="281" t="s">
        <v>9</v>
      </c>
      <c r="B93" s="281"/>
      <c r="C93" s="281"/>
      <c r="D93" s="281"/>
      <c r="E93" s="281"/>
      <c r="F93" s="281"/>
      <c r="G93" s="281"/>
      <c r="H93" s="281"/>
      <c r="I93" s="281"/>
      <c r="J93" s="4"/>
      <c r="K93" s="4"/>
      <c r="L93" s="4"/>
      <c r="M93" s="4"/>
      <c r="N93" s="4"/>
      <c r="O93" s="4"/>
      <c r="P93" s="4"/>
      <c r="Q93" s="206"/>
      <c r="R93" s="205"/>
      <c r="S93" s="206"/>
      <c r="T93" s="206"/>
      <c r="U93" s="206"/>
    </row>
    <row r="94" spans="1:22" ht="15.75">
      <c r="A94" s="263" t="s">
        <v>10</v>
      </c>
      <c r="B94" s="263"/>
      <c r="C94" s="263"/>
      <c r="D94" s="263"/>
      <c r="E94" s="263"/>
      <c r="F94" s="263"/>
      <c r="G94" s="263"/>
      <c r="H94" s="263"/>
      <c r="I94" s="263"/>
      <c r="J94" s="6"/>
      <c r="K94" s="6"/>
      <c r="L94" s="6"/>
      <c r="M94" s="6"/>
      <c r="N94" s="6"/>
      <c r="O94" s="6"/>
      <c r="P94" s="6"/>
      <c r="Q94" s="207"/>
      <c r="R94" s="261"/>
      <c r="S94" s="261"/>
      <c r="T94" s="261"/>
      <c r="U94" s="261"/>
    </row>
    <row r="95" spans="1:22" ht="15.75">
      <c r="A95" s="15"/>
      <c r="B95" s="121"/>
      <c r="C95" s="121"/>
      <c r="D95" s="121"/>
      <c r="E95" s="121"/>
      <c r="F95" s="121"/>
      <c r="G95" s="121"/>
      <c r="H95" s="121"/>
      <c r="I95" s="121"/>
      <c r="J95" s="14"/>
      <c r="K95" s="14"/>
      <c r="L95" s="14"/>
      <c r="M95" s="14"/>
      <c r="N95" s="14"/>
      <c r="O95" s="14"/>
      <c r="P95" s="14"/>
      <c r="Q95" s="208"/>
      <c r="R95" s="208"/>
      <c r="S95" s="208"/>
      <c r="T95" s="208"/>
      <c r="U95" s="208"/>
    </row>
    <row r="96" spans="1:22" ht="15.75">
      <c r="A96" s="15"/>
      <c r="B96" s="121"/>
      <c r="C96" s="121"/>
      <c r="D96" s="121"/>
      <c r="E96" s="121"/>
      <c r="F96" s="121"/>
      <c r="G96" s="121"/>
      <c r="H96" s="121"/>
      <c r="I96" s="121"/>
    </row>
    <row r="97" spans="1:9" ht="15.75">
      <c r="A97" s="262" t="s">
        <v>11</v>
      </c>
      <c r="B97" s="262"/>
      <c r="C97" s="262"/>
      <c r="D97" s="262"/>
      <c r="E97" s="262"/>
      <c r="F97" s="262"/>
      <c r="G97" s="262"/>
      <c r="H97" s="262"/>
      <c r="I97" s="262"/>
    </row>
    <row r="98" spans="1:9" ht="15.75" customHeight="1">
      <c r="A98" s="5"/>
    </row>
    <row r="99" spans="1:9" ht="15.75">
      <c r="A99" s="263" t="s">
        <v>12</v>
      </c>
      <c r="B99" s="263"/>
      <c r="C99" s="287" t="s">
        <v>133</v>
      </c>
      <c r="D99" s="287"/>
      <c r="E99" s="287"/>
      <c r="F99" s="197"/>
      <c r="I99" s="185"/>
    </row>
    <row r="100" spans="1:9">
      <c r="A100" s="183"/>
      <c r="C100" s="277" t="s">
        <v>13</v>
      </c>
      <c r="D100" s="277"/>
      <c r="E100" s="277"/>
      <c r="F100" s="42"/>
      <c r="I100" s="184" t="s">
        <v>14</v>
      </c>
    </row>
    <row r="101" spans="1:9" ht="15.75">
      <c r="A101" s="43"/>
      <c r="C101" s="16"/>
      <c r="D101" s="16"/>
      <c r="G101" s="16"/>
      <c r="H101" s="16"/>
    </row>
    <row r="102" spans="1:9" ht="15.75" customHeight="1">
      <c r="A102" s="263" t="s">
        <v>15</v>
      </c>
      <c r="B102" s="263"/>
      <c r="C102" s="278"/>
      <c r="D102" s="278"/>
      <c r="E102" s="278"/>
      <c r="F102" s="198"/>
      <c r="I102" s="185"/>
    </row>
    <row r="103" spans="1:9">
      <c r="A103" s="183"/>
      <c r="C103" s="279" t="s">
        <v>13</v>
      </c>
      <c r="D103" s="279"/>
      <c r="E103" s="279"/>
      <c r="F103" s="183"/>
      <c r="I103" s="184" t="s">
        <v>14</v>
      </c>
    </row>
    <row r="104" spans="1:9" ht="15.75">
      <c r="A104" s="5" t="s">
        <v>16</v>
      </c>
    </row>
    <row r="105" spans="1:9">
      <c r="A105" s="288" t="s">
        <v>17</v>
      </c>
      <c r="B105" s="288"/>
      <c r="C105" s="288"/>
      <c r="D105" s="288"/>
      <c r="E105" s="288"/>
      <c r="F105" s="288"/>
      <c r="G105" s="288"/>
      <c r="H105" s="288"/>
      <c r="I105" s="288"/>
    </row>
    <row r="106" spans="1:9" ht="47.25" customHeight="1">
      <c r="A106" s="289" t="s">
        <v>18</v>
      </c>
      <c r="B106" s="289"/>
      <c r="C106" s="289"/>
      <c r="D106" s="289"/>
      <c r="E106" s="289"/>
      <c r="F106" s="289"/>
      <c r="G106" s="289"/>
      <c r="H106" s="289"/>
      <c r="I106" s="289"/>
    </row>
    <row r="107" spans="1:9" ht="31.5" customHeight="1">
      <c r="A107" s="289" t="s">
        <v>19</v>
      </c>
      <c r="B107" s="289"/>
      <c r="C107" s="289"/>
      <c r="D107" s="289"/>
      <c r="E107" s="289"/>
      <c r="F107" s="289"/>
      <c r="G107" s="289"/>
      <c r="H107" s="289"/>
      <c r="I107" s="289"/>
    </row>
    <row r="108" spans="1:9" ht="31.5" customHeight="1">
      <c r="A108" s="289" t="s">
        <v>24</v>
      </c>
      <c r="B108" s="289"/>
      <c r="C108" s="289"/>
      <c r="D108" s="289"/>
      <c r="E108" s="289"/>
      <c r="F108" s="289"/>
      <c r="G108" s="289"/>
      <c r="H108" s="289"/>
      <c r="I108" s="289"/>
    </row>
    <row r="109" spans="1:9" ht="15.75">
      <c r="A109" s="289" t="s">
        <v>23</v>
      </c>
      <c r="B109" s="289"/>
      <c r="C109" s="289"/>
      <c r="D109" s="289"/>
      <c r="E109" s="289"/>
      <c r="F109" s="289"/>
      <c r="G109" s="289"/>
      <c r="H109" s="289"/>
      <c r="I109" s="289"/>
    </row>
  </sheetData>
  <autoFilter ref="I14:I89"/>
  <mergeCells count="30">
    <mergeCell ref="A109:I109"/>
    <mergeCell ref="A97:I97"/>
    <mergeCell ref="A99:B99"/>
    <mergeCell ref="C99:E99"/>
    <mergeCell ref="C100:E100"/>
    <mergeCell ref="A102:B102"/>
    <mergeCell ref="C102:E102"/>
    <mergeCell ref="C103:E103"/>
    <mergeCell ref="A105:I105"/>
    <mergeCell ref="A106:I106"/>
    <mergeCell ref="A107:I107"/>
    <mergeCell ref="A108:I108"/>
    <mergeCell ref="R94:U94"/>
    <mergeCell ref="A27:I27"/>
    <mergeCell ref="A34:I34"/>
    <mergeCell ref="A43:I43"/>
    <mergeCell ref="A55:I55"/>
    <mergeCell ref="A77:I77"/>
    <mergeCell ref="A88:I88"/>
    <mergeCell ref="B89:G89"/>
    <mergeCell ref="B90:G90"/>
    <mergeCell ref="A92:I92"/>
    <mergeCell ref="A93:I93"/>
    <mergeCell ref="A94:I94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21" ht="15.75" customHeight="1">
      <c r="B1" s="57" t="s">
        <v>113</v>
      </c>
      <c r="I1" s="56"/>
    </row>
    <row r="2" spans="1:21" ht="15.75" customHeight="1">
      <c r="B2" s="46" t="s">
        <v>77</v>
      </c>
      <c r="J2" s="1"/>
      <c r="K2" s="1"/>
      <c r="L2" s="1"/>
      <c r="M2" s="1"/>
    </row>
    <row r="3" spans="1:21" ht="15.75" customHeight="1">
      <c r="A3" s="265" t="s">
        <v>232</v>
      </c>
      <c r="B3" s="265"/>
      <c r="C3" s="265"/>
      <c r="D3" s="265"/>
      <c r="E3" s="265"/>
      <c r="F3" s="265"/>
      <c r="G3" s="265"/>
      <c r="H3" s="265"/>
      <c r="I3" s="265"/>
      <c r="J3" s="2"/>
      <c r="K3" s="2"/>
      <c r="L3" s="2"/>
      <c r="M3" s="2"/>
    </row>
    <row r="4" spans="1:21" ht="33.75" customHeight="1">
      <c r="A4" s="266" t="s">
        <v>142</v>
      </c>
      <c r="B4" s="266"/>
      <c r="C4" s="266"/>
      <c r="D4" s="266"/>
      <c r="E4" s="266"/>
      <c r="F4" s="266"/>
      <c r="G4" s="266"/>
      <c r="H4" s="266"/>
      <c r="I4" s="266"/>
      <c r="J4" s="3"/>
      <c r="K4" s="3"/>
      <c r="L4" s="3"/>
      <c r="M4" s="3"/>
    </row>
    <row r="5" spans="1:21" ht="15.75" customHeight="1">
      <c r="A5" s="267" t="s">
        <v>103</v>
      </c>
      <c r="B5" s="268"/>
      <c r="C5" s="268"/>
      <c r="D5" s="268"/>
      <c r="E5" s="268"/>
      <c r="F5" s="268"/>
      <c r="G5" s="268"/>
      <c r="H5" s="268"/>
      <c r="I5" s="268"/>
      <c r="J5" s="4"/>
      <c r="K5" s="4"/>
      <c r="L5" s="4"/>
    </row>
    <row r="6" spans="1:21" ht="15.75" customHeight="1">
      <c r="A6" s="3"/>
      <c r="B6" s="181"/>
      <c r="C6" s="181"/>
      <c r="D6" s="181"/>
      <c r="E6" s="181"/>
      <c r="F6" s="181"/>
      <c r="G6" s="181"/>
      <c r="H6" s="181"/>
      <c r="I6" s="256">
        <v>42490</v>
      </c>
    </row>
    <row r="7" spans="1:21" ht="15.75">
      <c r="B7" s="182"/>
      <c r="C7" s="182"/>
      <c r="D7" s="182"/>
      <c r="E7" s="4"/>
      <c r="F7" s="4"/>
      <c r="G7" s="4"/>
      <c r="H7" s="4"/>
      <c r="J7" s="3"/>
      <c r="K7" s="3"/>
      <c r="L7" s="3"/>
      <c r="M7" s="3"/>
    </row>
    <row r="8" spans="1:21" ht="78.75" customHeight="1">
      <c r="A8" s="269" t="s">
        <v>275</v>
      </c>
      <c r="B8" s="269"/>
      <c r="C8" s="269"/>
      <c r="D8" s="269"/>
      <c r="E8" s="269"/>
      <c r="F8" s="269"/>
      <c r="G8" s="269"/>
      <c r="H8" s="269"/>
      <c r="I8" s="269"/>
      <c r="J8" s="3"/>
      <c r="K8" s="3"/>
      <c r="L8" s="3"/>
      <c r="M8" s="3"/>
    </row>
    <row r="9" spans="1:21" ht="15.75">
      <c r="A9" s="5"/>
      <c r="J9" s="4"/>
      <c r="K9" s="4"/>
      <c r="L9" s="4"/>
      <c r="M9" s="4"/>
    </row>
    <row r="10" spans="1:21" ht="47.25" customHeight="1">
      <c r="A10" s="270" t="s">
        <v>144</v>
      </c>
      <c r="B10" s="270"/>
      <c r="C10" s="270"/>
      <c r="D10" s="270"/>
      <c r="E10" s="270"/>
      <c r="F10" s="270"/>
      <c r="G10" s="270"/>
      <c r="H10" s="270"/>
      <c r="I10" s="270"/>
      <c r="J10" s="6"/>
      <c r="K10" s="6"/>
      <c r="L10" s="6"/>
      <c r="M10" s="6"/>
    </row>
    <row r="11" spans="1:21" ht="15.75" customHeight="1">
      <c r="A11" s="5"/>
      <c r="J11" s="3"/>
      <c r="K11" s="3"/>
      <c r="L11" s="3"/>
      <c r="M11" s="3"/>
    </row>
    <row r="12" spans="1:21" ht="51">
      <c r="A12" s="7" t="s">
        <v>0</v>
      </c>
      <c r="B12" s="7" t="s">
        <v>1</v>
      </c>
      <c r="C12" s="7" t="s">
        <v>2</v>
      </c>
      <c r="D12" s="7" t="s">
        <v>20</v>
      </c>
      <c r="E12" s="7" t="s">
        <v>21</v>
      </c>
      <c r="F12" s="7"/>
      <c r="G12" s="7" t="s">
        <v>25</v>
      </c>
      <c r="H12" s="7"/>
      <c r="I12" s="7" t="s">
        <v>3</v>
      </c>
      <c r="J12" s="4"/>
    </row>
    <row r="13" spans="1:21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21">
      <c r="A14" s="271" t="s">
        <v>4</v>
      </c>
      <c r="B14" s="272"/>
      <c r="C14" s="272"/>
      <c r="D14" s="272"/>
      <c r="E14" s="272"/>
      <c r="F14" s="272"/>
      <c r="G14" s="272"/>
      <c r="H14" s="272"/>
      <c r="I14" s="273"/>
      <c r="Q14" s="205"/>
      <c r="R14" s="205"/>
      <c r="S14" s="205"/>
      <c r="T14" s="205"/>
      <c r="U14" s="205"/>
    </row>
    <row r="15" spans="1:21" ht="30" customHeight="1">
      <c r="A15" s="210">
        <v>1</v>
      </c>
      <c r="B15" s="176" t="s">
        <v>117</v>
      </c>
      <c r="C15" s="211" t="s">
        <v>145</v>
      </c>
      <c r="D15" s="176" t="s">
        <v>180</v>
      </c>
      <c r="E15" s="212">
        <v>70.900000000000006</v>
      </c>
      <c r="F15" s="213">
        <f>SUM(E15*156/100)</f>
        <v>110.60400000000001</v>
      </c>
      <c r="G15" s="213">
        <v>175.38</v>
      </c>
      <c r="H15" s="214">
        <f t="shared" ref="H15:H24" si="0">SUM(F15*G15/1000)</f>
        <v>19.397729520000002</v>
      </c>
      <c r="I15" s="21">
        <f>F15/12*G15</f>
        <v>1616.4774600000001</v>
      </c>
      <c r="J15" s="200"/>
      <c r="K15" s="201"/>
      <c r="L15" s="201"/>
      <c r="M15" s="201"/>
      <c r="N15" s="201"/>
      <c r="O15" s="201"/>
      <c r="P15" s="201"/>
      <c r="Q15" s="201"/>
      <c r="R15" s="201"/>
      <c r="S15" s="201"/>
      <c r="T15" s="205"/>
      <c r="U15" s="205"/>
    </row>
    <row r="16" spans="1:21" ht="30" customHeight="1">
      <c r="A16" s="210">
        <v>2</v>
      </c>
      <c r="B16" s="176" t="s">
        <v>118</v>
      </c>
      <c r="C16" s="211" t="s">
        <v>145</v>
      </c>
      <c r="D16" s="176" t="s">
        <v>181</v>
      </c>
      <c r="E16" s="212">
        <v>212.7</v>
      </c>
      <c r="F16" s="213">
        <f>SUM(E16*104/100)</f>
        <v>221.208</v>
      </c>
      <c r="G16" s="213">
        <v>175.38</v>
      </c>
      <c r="H16" s="214">
        <f t="shared" si="0"/>
        <v>38.795459040000004</v>
      </c>
      <c r="I16" s="21">
        <f>F16/12*G16</f>
        <v>3232.9549200000001</v>
      </c>
      <c r="J16" s="200"/>
      <c r="K16" s="201"/>
      <c r="L16" s="201"/>
      <c r="M16" s="201"/>
      <c r="N16" s="201"/>
      <c r="O16" s="201"/>
      <c r="P16" s="201"/>
      <c r="Q16" s="201"/>
      <c r="R16" s="201"/>
      <c r="S16" s="201"/>
      <c r="T16" s="205"/>
      <c r="U16" s="205"/>
    </row>
    <row r="17" spans="1:21" ht="30" customHeight="1">
      <c r="A17" s="210">
        <v>3</v>
      </c>
      <c r="B17" s="176" t="s">
        <v>119</v>
      </c>
      <c r="C17" s="211" t="s">
        <v>145</v>
      </c>
      <c r="D17" s="176" t="s">
        <v>217</v>
      </c>
      <c r="E17" s="212">
        <f>SUM(E15+E16)</f>
        <v>283.60000000000002</v>
      </c>
      <c r="F17" s="213">
        <f>SUM(E17*24/100)</f>
        <v>68.064000000000007</v>
      </c>
      <c r="G17" s="213">
        <v>504.5</v>
      </c>
      <c r="H17" s="214">
        <f t="shared" si="0"/>
        <v>34.338287999999999</v>
      </c>
      <c r="I17" s="21">
        <f>F17/12*G17</f>
        <v>2861.5240000000003</v>
      </c>
      <c r="J17" s="200"/>
      <c r="K17" s="201"/>
      <c r="L17" s="201"/>
      <c r="M17" s="201"/>
      <c r="N17" s="201"/>
      <c r="O17" s="201"/>
      <c r="P17" s="201"/>
      <c r="Q17" s="201"/>
      <c r="R17" s="201"/>
      <c r="S17" s="201"/>
      <c r="T17" s="205"/>
      <c r="U17" s="205"/>
    </row>
    <row r="18" spans="1:21" hidden="1">
      <c r="A18" s="210"/>
      <c r="B18" s="176" t="s">
        <v>149</v>
      </c>
      <c r="C18" s="211" t="s">
        <v>150</v>
      </c>
      <c r="D18" s="176" t="s">
        <v>151</v>
      </c>
      <c r="E18" s="212">
        <v>40</v>
      </c>
      <c r="F18" s="213">
        <f>SUM(E18/10)</f>
        <v>4</v>
      </c>
      <c r="G18" s="213">
        <v>170.16</v>
      </c>
      <c r="H18" s="214">
        <f t="shared" si="0"/>
        <v>0.68064000000000002</v>
      </c>
      <c r="I18" s="21">
        <v>0</v>
      </c>
      <c r="J18" s="200"/>
      <c r="K18" s="201"/>
      <c r="L18" s="201"/>
      <c r="M18" s="201"/>
      <c r="N18" s="201"/>
      <c r="O18" s="201"/>
      <c r="P18" s="201"/>
      <c r="Q18" s="201"/>
      <c r="R18" s="201"/>
      <c r="S18" s="201"/>
      <c r="T18" s="205"/>
      <c r="U18" s="205"/>
    </row>
    <row r="19" spans="1:21" hidden="1">
      <c r="A19" s="210"/>
      <c r="B19" s="176" t="s">
        <v>152</v>
      </c>
      <c r="C19" s="211" t="s">
        <v>145</v>
      </c>
      <c r="D19" s="176" t="s">
        <v>66</v>
      </c>
      <c r="E19" s="212">
        <v>10.5</v>
      </c>
      <c r="F19" s="213">
        <f t="shared" ref="F19:F24" si="1">SUM(E19/100)</f>
        <v>0.105</v>
      </c>
      <c r="G19" s="213">
        <v>217.88</v>
      </c>
      <c r="H19" s="214">
        <f t="shared" si="0"/>
        <v>2.2877399999999999E-2</v>
      </c>
      <c r="I19" s="21">
        <v>0</v>
      </c>
      <c r="J19" s="200"/>
      <c r="K19" s="201"/>
      <c r="L19" s="201"/>
      <c r="M19" s="201"/>
      <c r="N19" s="201"/>
      <c r="O19" s="201"/>
      <c r="P19" s="201"/>
      <c r="Q19" s="201"/>
      <c r="R19" s="201"/>
      <c r="S19" s="201"/>
      <c r="T19" s="205"/>
      <c r="U19" s="205"/>
    </row>
    <row r="20" spans="1:21" hidden="1">
      <c r="A20" s="210"/>
      <c r="B20" s="176" t="s">
        <v>153</v>
      </c>
      <c r="C20" s="211" t="s">
        <v>145</v>
      </c>
      <c r="D20" s="176" t="s">
        <v>66</v>
      </c>
      <c r="E20" s="212">
        <v>2.7</v>
      </c>
      <c r="F20" s="213">
        <f t="shared" si="1"/>
        <v>2.7000000000000003E-2</v>
      </c>
      <c r="G20" s="213">
        <v>216.12</v>
      </c>
      <c r="H20" s="214">
        <f t="shared" si="0"/>
        <v>5.8352400000000002E-3</v>
      </c>
      <c r="I20" s="21">
        <v>0</v>
      </c>
      <c r="J20" s="200"/>
      <c r="K20" s="201"/>
      <c r="L20" s="201"/>
      <c r="M20" s="201"/>
      <c r="N20" s="201"/>
      <c r="O20" s="201"/>
      <c r="P20" s="201"/>
      <c r="Q20" s="201"/>
      <c r="R20" s="201"/>
      <c r="S20" s="201"/>
      <c r="T20" s="205"/>
      <c r="U20" s="205"/>
    </row>
    <row r="21" spans="1:21" hidden="1">
      <c r="A21" s="210"/>
      <c r="B21" s="176" t="s">
        <v>154</v>
      </c>
      <c r="C21" s="211" t="s">
        <v>65</v>
      </c>
      <c r="D21" s="176" t="s">
        <v>151</v>
      </c>
      <c r="E21" s="212">
        <v>357</v>
      </c>
      <c r="F21" s="213">
        <f t="shared" si="1"/>
        <v>3.57</v>
      </c>
      <c r="G21" s="213">
        <v>269.26</v>
      </c>
      <c r="H21" s="214">
        <f t="shared" si="0"/>
        <v>0.96125819999999984</v>
      </c>
      <c r="I21" s="21">
        <v>0</v>
      </c>
      <c r="J21" s="200"/>
      <c r="K21" s="201"/>
      <c r="L21" s="201"/>
      <c r="M21" s="201"/>
      <c r="N21" s="201"/>
      <c r="O21" s="201"/>
      <c r="P21" s="201"/>
      <c r="Q21" s="201"/>
      <c r="R21" s="201"/>
      <c r="S21" s="201"/>
      <c r="T21" s="205"/>
      <c r="U21" s="205"/>
    </row>
    <row r="22" spans="1:21" hidden="1">
      <c r="A22" s="210"/>
      <c r="B22" s="176" t="s">
        <v>155</v>
      </c>
      <c r="C22" s="211" t="s">
        <v>65</v>
      </c>
      <c r="D22" s="176" t="s">
        <v>151</v>
      </c>
      <c r="E22" s="216">
        <v>38.64</v>
      </c>
      <c r="F22" s="213">
        <f t="shared" si="1"/>
        <v>0.38640000000000002</v>
      </c>
      <c r="G22" s="213">
        <v>44.29</v>
      </c>
      <c r="H22" s="214">
        <f t="shared" si="0"/>
        <v>1.7113655999999998E-2</v>
      </c>
      <c r="I22" s="21">
        <v>0</v>
      </c>
      <c r="J22" s="200"/>
      <c r="K22" s="201"/>
      <c r="L22" s="201"/>
      <c r="M22" s="201"/>
      <c r="N22" s="201"/>
      <c r="O22" s="201"/>
      <c r="P22" s="201"/>
      <c r="Q22" s="201"/>
      <c r="R22" s="201"/>
      <c r="S22" s="201"/>
      <c r="T22" s="205"/>
      <c r="U22" s="205"/>
    </row>
    <row r="23" spans="1:21" hidden="1">
      <c r="A23" s="210"/>
      <c r="B23" s="176" t="s">
        <v>156</v>
      </c>
      <c r="C23" s="211" t="s">
        <v>65</v>
      </c>
      <c r="D23" s="217" t="s">
        <v>151</v>
      </c>
      <c r="E23" s="27">
        <v>15</v>
      </c>
      <c r="F23" s="218">
        <f t="shared" si="1"/>
        <v>0.15</v>
      </c>
      <c r="G23" s="213">
        <v>389.72</v>
      </c>
      <c r="H23" s="214">
        <f t="shared" si="0"/>
        <v>5.8457999999999996E-2</v>
      </c>
      <c r="I23" s="21">
        <v>0</v>
      </c>
      <c r="J23" s="200"/>
      <c r="K23" s="201"/>
      <c r="L23" s="201"/>
      <c r="M23" s="201"/>
      <c r="N23" s="201"/>
      <c r="O23" s="201"/>
      <c r="P23" s="201"/>
      <c r="Q23" s="201"/>
      <c r="R23" s="201"/>
      <c r="S23" s="201"/>
      <c r="T23" s="205"/>
      <c r="U23" s="205"/>
    </row>
    <row r="24" spans="1:21" hidden="1">
      <c r="A24" s="210"/>
      <c r="B24" s="176" t="s">
        <v>157</v>
      </c>
      <c r="C24" s="211" t="s">
        <v>65</v>
      </c>
      <c r="D24" s="176" t="s">
        <v>151</v>
      </c>
      <c r="E24" s="219">
        <v>6.38</v>
      </c>
      <c r="F24" s="213">
        <f t="shared" si="1"/>
        <v>6.3799999999999996E-2</v>
      </c>
      <c r="G24" s="213">
        <v>520.79999999999995</v>
      </c>
      <c r="H24" s="214">
        <f t="shared" si="0"/>
        <v>3.3227039999999992E-2</v>
      </c>
      <c r="I24" s="21">
        <v>0</v>
      </c>
      <c r="J24" s="200"/>
      <c r="K24" s="201"/>
      <c r="L24" s="201"/>
      <c r="M24" s="201"/>
      <c r="N24" s="201"/>
      <c r="O24" s="201"/>
      <c r="P24" s="201"/>
      <c r="Q24" s="201"/>
      <c r="R24" s="201"/>
      <c r="S24" s="201"/>
      <c r="T24" s="205"/>
      <c r="U24" s="205"/>
    </row>
    <row r="25" spans="1:21" ht="15" customHeight="1">
      <c r="A25" s="210">
        <v>4</v>
      </c>
      <c r="B25" s="176" t="s">
        <v>79</v>
      </c>
      <c r="C25" s="211" t="s">
        <v>37</v>
      </c>
      <c r="D25" s="176" t="s">
        <v>182</v>
      </c>
      <c r="E25" s="212">
        <v>0.1</v>
      </c>
      <c r="F25" s="213">
        <f>SUM(E25*365)</f>
        <v>36.5</v>
      </c>
      <c r="G25" s="213">
        <v>147.03</v>
      </c>
      <c r="H25" s="214">
        <f>SUM(F25*G25/1000)</f>
        <v>5.3665950000000002</v>
      </c>
      <c r="I25" s="21">
        <f>F25/12*G25</f>
        <v>447.21625</v>
      </c>
      <c r="J25" s="200"/>
      <c r="K25" s="201"/>
      <c r="L25" s="201"/>
      <c r="M25" s="201"/>
      <c r="N25" s="201"/>
      <c r="O25" s="201"/>
      <c r="P25" s="201"/>
      <c r="Q25" s="201"/>
      <c r="R25" s="201"/>
      <c r="S25" s="201"/>
      <c r="T25" s="205"/>
      <c r="U25" s="205"/>
    </row>
    <row r="26" spans="1:21" ht="15" customHeight="1">
      <c r="A26" s="210">
        <v>5</v>
      </c>
      <c r="B26" s="220" t="s">
        <v>26</v>
      </c>
      <c r="C26" s="211" t="s">
        <v>27</v>
      </c>
      <c r="D26" s="220" t="s">
        <v>183</v>
      </c>
      <c r="E26" s="212">
        <v>2549.5</v>
      </c>
      <c r="F26" s="213">
        <f>SUM(E26*12)</f>
        <v>30594</v>
      </c>
      <c r="G26" s="213">
        <v>4.95</v>
      </c>
      <c r="H26" s="214">
        <f>SUM(F26*G26/1000)</f>
        <v>151.44030000000001</v>
      </c>
      <c r="I26" s="21">
        <f>F26/12*G26</f>
        <v>12620.025</v>
      </c>
      <c r="J26" s="200"/>
      <c r="K26" s="201"/>
      <c r="L26" s="201"/>
      <c r="M26" s="201"/>
      <c r="N26" s="201"/>
      <c r="O26" s="201"/>
      <c r="P26" s="201"/>
      <c r="Q26" s="201"/>
      <c r="R26" s="201"/>
      <c r="S26" s="201"/>
      <c r="T26" s="205"/>
      <c r="U26" s="205"/>
    </row>
    <row r="27" spans="1:21" ht="15" hidden="1" customHeight="1">
      <c r="A27" s="274" t="s">
        <v>218</v>
      </c>
      <c r="B27" s="282"/>
      <c r="C27" s="282"/>
      <c r="D27" s="282"/>
      <c r="E27" s="282"/>
      <c r="F27" s="282"/>
      <c r="G27" s="282"/>
      <c r="H27" s="282"/>
      <c r="I27" s="283"/>
      <c r="J27" s="200"/>
      <c r="K27" s="201"/>
      <c r="L27" s="201"/>
      <c r="M27" s="201"/>
      <c r="N27" s="201"/>
      <c r="O27" s="201"/>
      <c r="P27" s="201"/>
      <c r="Q27" s="201"/>
      <c r="R27" s="201"/>
      <c r="S27" s="201"/>
      <c r="T27" s="205"/>
      <c r="U27" s="205"/>
    </row>
    <row r="28" spans="1:21" ht="30" hidden="1" customHeight="1">
      <c r="A28" s="210"/>
      <c r="B28" s="176" t="s">
        <v>184</v>
      </c>
      <c r="C28" s="211" t="s">
        <v>185</v>
      </c>
      <c r="D28" s="176" t="s">
        <v>186</v>
      </c>
      <c r="E28" s="213">
        <v>704.3</v>
      </c>
      <c r="F28" s="213">
        <f>SUM(E28*52/1000)</f>
        <v>36.623599999999996</v>
      </c>
      <c r="G28" s="213">
        <v>155.88999999999999</v>
      </c>
      <c r="H28" s="214">
        <f t="shared" ref="H28:H33" si="2">SUM(F28*G28/1000)</f>
        <v>5.7092530039999989</v>
      </c>
      <c r="I28" s="21">
        <v>0</v>
      </c>
      <c r="J28" s="200"/>
      <c r="K28" s="201"/>
      <c r="L28" s="201"/>
      <c r="M28" s="201"/>
      <c r="N28" s="201"/>
      <c r="O28" s="201"/>
      <c r="P28" s="201"/>
      <c r="Q28" s="201"/>
      <c r="R28" s="201"/>
      <c r="S28" s="201"/>
      <c r="T28" s="205"/>
      <c r="U28" s="205"/>
    </row>
    <row r="29" spans="1:21" ht="30" hidden="1" customHeight="1">
      <c r="A29" s="210"/>
      <c r="B29" s="176" t="s">
        <v>187</v>
      </c>
      <c r="C29" s="211" t="s">
        <v>185</v>
      </c>
      <c r="D29" s="176" t="s">
        <v>188</v>
      </c>
      <c r="E29" s="213">
        <v>70.430000000000007</v>
      </c>
      <c r="F29" s="213">
        <f>SUM(E29*78/1000)</f>
        <v>5.4935400000000012</v>
      </c>
      <c r="G29" s="213">
        <v>258.63</v>
      </c>
      <c r="H29" s="214">
        <f t="shared" si="2"/>
        <v>1.4207942502000004</v>
      </c>
      <c r="I29" s="21">
        <v>0</v>
      </c>
      <c r="J29" s="200"/>
      <c r="K29" s="201"/>
      <c r="L29" s="201"/>
      <c r="M29" s="201"/>
      <c r="N29" s="201"/>
      <c r="O29" s="201"/>
      <c r="P29" s="201"/>
      <c r="Q29" s="201"/>
      <c r="R29" s="201"/>
      <c r="S29" s="201"/>
      <c r="T29" s="205"/>
      <c r="U29" s="205"/>
    </row>
    <row r="30" spans="1:21" ht="15.75" hidden="1" customHeight="1">
      <c r="A30" s="210"/>
      <c r="B30" s="176" t="s">
        <v>32</v>
      </c>
      <c r="C30" s="211" t="s">
        <v>185</v>
      </c>
      <c r="D30" s="176" t="s">
        <v>66</v>
      </c>
      <c r="E30" s="213">
        <v>704.3</v>
      </c>
      <c r="F30" s="213">
        <f>SUM(E30/1000)</f>
        <v>0.70429999999999993</v>
      </c>
      <c r="G30" s="213">
        <v>3020.33</v>
      </c>
      <c r="H30" s="214">
        <f t="shared" si="2"/>
        <v>2.1272184189999996</v>
      </c>
      <c r="I30" s="21">
        <v>0</v>
      </c>
      <c r="J30" s="200"/>
      <c r="K30" s="201"/>
      <c r="L30" s="201"/>
      <c r="M30" s="201"/>
      <c r="N30" s="201"/>
      <c r="O30" s="201"/>
      <c r="P30" s="201"/>
      <c r="Q30" s="201"/>
      <c r="R30" s="201"/>
      <c r="S30" s="201"/>
      <c r="T30" s="205"/>
      <c r="U30" s="205"/>
    </row>
    <row r="31" spans="1:21" ht="15.75" hidden="1" customHeight="1">
      <c r="A31" s="210"/>
      <c r="B31" s="176" t="s">
        <v>189</v>
      </c>
      <c r="C31" s="211" t="s">
        <v>35</v>
      </c>
      <c r="D31" s="176" t="s">
        <v>78</v>
      </c>
      <c r="E31" s="221">
        <v>0.33333333333333331</v>
      </c>
      <c r="F31" s="213">
        <f>155/3</f>
        <v>51.666666666666664</v>
      </c>
      <c r="G31" s="213">
        <v>56.69</v>
      </c>
      <c r="H31" s="214">
        <f>SUM(G31*155/3/1000)</f>
        <v>2.9289833333333331</v>
      </c>
      <c r="I31" s="21">
        <v>0</v>
      </c>
      <c r="J31" s="200"/>
      <c r="K31" s="201"/>
      <c r="L31" s="201"/>
      <c r="M31" s="201"/>
      <c r="N31" s="201"/>
      <c r="O31" s="201"/>
      <c r="P31" s="201"/>
      <c r="Q31" s="201"/>
      <c r="R31" s="201"/>
      <c r="S31" s="201"/>
      <c r="T31" s="205"/>
      <c r="U31" s="205"/>
    </row>
    <row r="32" spans="1:21" ht="15" hidden="1" customHeight="1">
      <c r="A32" s="210"/>
      <c r="B32" s="176" t="s">
        <v>80</v>
      </c>
      <c r="C32" s="211" t="s">
        <v>37</v>
      </c>
      <c r="D32" s="176" t="s">
        <v>81</v>
      </c>
      <c r="E32" s="212"/>
      <c r="F32" s="213">
        <v>3</v>
      </c>
      <c r="G32" s="213">
        <v>191.32</v>
      </c>
      <c r="H32" s="214">
        <f t="shared" si="2"/>
        <v>0.57396000000000003</v>
      </c>
      <c r="I32" s="21">
        <v>0</v>
      </c>
      <c r="J32" s="200"/>
      <c r="K32" s="201"/>
      <c r="L32" s="201"/>
      <c r="M32" s="201"/>
      <c r="N32" s="201"/>
      <c r="O32" s="201"/>
      <c r="P32" s="201"/>
      <c r="Q32" s="201"/>
      <c r="R32" s="201"/>
      <c r="S32" s="201"/>
      <c r="T32" s="205"/>
      <c r="U32" s="205"/>
    </row>
    <row r="33" spans="1:21" ht="15" hidden="1" customHeight="1">
      <c r="A33" s="210"/>
      <c r="B33" s="176" t="s">
        <v>190</v>
      </c>
      <c r="C33" s="211" t="s">
        <v>36</v>
      </c>
      <c r="D33" s="176" t="s">
        <v>81</v>
      </c>
      <c r="E33" s="212"/>
      <c r="F33" s="213">
        <v>2</v>
      </c>
      <c r="G33" s="213">
        <v>1136.33</v>
      </c>
      <c r="H33" s="214">
        <f t="shared" si="2"/>
        <v>2.2726599999999997</v>
      </c>
      <c r="I33" s="21">
        <v>0</v>
      </c>
      <c r="J33" s="200"/>
      <c r="K33" s="201"/>
      <c r="L33" s="201"/>
      <c r="M33" s="201"/>
      <c r="N33" s="201"/>
      <c r="O33" s="201"/>
      <c r="P33" s="201"/>
      <c r="Q33" s="201"/>
      <c r="R33" s="201"/>
      <c r="S33" s="201"/>
      <c r="T33" s="205"/>
      <c r="U33" s="205"/>
    </row>
    <row r="34" spans="1:21" ht="15" customHeight="1">
      <c r="A34" s="274" t="s">
        <v>220</v>
      </c>
      <c r="B34" s="282"/>
      <c r="C34" s="282"/>
      <c r="D34" s="282"/>
      <c r="E34" s="282"/>
      <c r="F34" s="282"/>
      <c r="G34" s="282"/>
      <c r="H34" s="282"/>
      <c r="I34" s="283"/>
      <c r="J34" s="200"/>
      <c r="K34" s="201"/>
      <c r="L34" s="201"/>
      <c r="M34" s="201"/>
      <c r="N34" s="201"/>
      <c r="O34" s="201"/>
      <c r="P34" s="201"/>
      <c r="Q34" s="201"/>
      <c r="R34" s="201"/>
      <c r="S34" s="201"/>
      <c r="T34" s="205"/>
      <c r="U34" s="205"/>
    </row>
    <row r="35" spans="1:21" ht="15" customHeight="1">
      <c r="A35" s="210">
        <v>6</v>
      </c>
      <c r="B35" s="176" t="s">
        <v>30</v>
      </c>
      <c r="C35" s="211" t="s">
        <v>36</v>
      </c>
      <c r="D35" s="176"/>
      <c r="E35" s="212"/>
      <c r="F35" s="213">
        <v>8</v>
      </c>
      <c r="G35" s="213">
        <v>1527.22</v>
      </c>
      <c r="H35" s="214">
        <f t="shared" ref="H35:H42" si="3">SUM(F35*G35/1000)</f>
        <v>12.21776</v>
      </c>
      <c r="I35" s="21">
        <f>F35/6*G35</f>
        <v>2036.2933333333333</v>
      </c>
      <c r="J35" s="200"/>
      <c r="K35" s="201"/>
      <c r="L35" s="201"/>
      <c r="M35" s="201"/>
      <c r="N35" s="201"/>
      <c r="O35" s="201"/>
      <c r="P35" s="201"/>
      <c r="Q35" s="201"/>
      <c r="R35" s="201"/>
      <c r="S35" s="201"/>
      <c r="T35" s="205"/>
      <c r="U35" s="205"/>
    </row>
    <row r="36" spans="1:21" ht="15" customHeight="1">
      <c r="A36" s="210">
        <v>7</v>
      </c>
      <c r="B36" s="176" t="s">
        <v>191</v>
      </c>
      <c r="C36" s="211" t="s">
        <v>33</v>
      </c>
      <c r="D36" s="176" t="s">
        <v>192</v>
      </c>
      <c r="E36" s="212">
        <v>315</v>
      </c>
      <c r="F36" s="213">
        <f>E36*12/1000</f>
        <v>3.78</v>
      </c>
      <c r="G36" s="213">
        <v>2102.71</v>
      </c>
      <c r="H36" s="214">
        <f>G36*F36/1000</f>
        <v>7.9482437999999993</v>
      </c>
      <c r="I36" s="21">
        <f>F36/6*G36</f>
        <v>1324.7073</v>
      </c>
      <c r="J36" s="200"/>
      <c r="K36" s="201"/>
      <c r="L36" s="201"/>
      <c r="M36" s="201"/>
      <c r="N36" s="201"/>
      <c r="O36" s="201"/>
      <c r="P36" s="201"/>
      <c r="Q36" s="201"/>
      <c r="R36" s="201"/>
      <c r="S36" s="201"/>
      <c r="T36" s="205"/>
      <c r="U36" s="205"/>
    </row>
    <row r="37" spans="1:21" ht="15" customHeight="1">
      <c r="A37" s="210">
        <v>8</v>
      </c>
      <c r="B37" s="176" t="s">
        <v>193</v>
      </c>
      <c r="C37" s="211" t="s">
        <v>33</v>
      </c>
      <c r="D37" s="176" t="s">
        <v>194</v>
      </c>
      <c r="E37" s="212">
        <v>70.430000000000007</v>
      </c>
      <c r="F37" s="213">
        <f>E37*30/1000</f>
        <v>2.1129000000000002</v>
      </c>
      <c r="G37" s="213">
        <v>2102.71</v>
      </c>
      <c r="H37" s="214">
        <f>G37*F37/1000</f>
        <v>4.4428159590000007</v>
      </c>
      <c r="I37" s="21">
        <f>F37/6*G37</f>
        <v>740.46932650000008</v>
      </c>
      <c r="J37" s="200"/>
      <c r="K37" s="201"/>
      <c r="L37" s="201"/>
      <c r="M37" s="201"/>
      <c r="N37" s="201"/>
      <c r="O37" s="201"/>
      <c r="P37" s="201"/>
      <c r="Q37" s="201"/>
      <c r="R37" s="201"/>
      <c r="S37" s="201"/>
      <c r="T37" s="205"/>
      <c r="U37" s="205"/>
    </row>
    <row r="38" spans="1:21" ht="15" customHeight="1">
      <c r="A38" s="210">
        <v>9</v>
      </c>
      <c r="B38" s="176" t="s">
        <v>195</v>
      </c>
      <c r="C38" s="211" t="s">
        <v>196</v>
      </c>
      <c r="D38" s="176" t="s">
        <v>81</v>
      </c>
      <c r="E38" s="212"/>
      <c r="F38" s="213">
        <v>80</v>
      </c>
      <c r="G38" s="213">
        <v>213.2</v>
      </c>
      <c r="H38" s="214">
        <f>G38*F38/1000</f>
        <v>17.056000000000001</v>
      </c>
      <c r="I38" s="21">
        <f>26*G38</f>
        <v>5543.2</v>
      </c>
      <c r="J38" s="200"/>
      <c r="K38" s="201"/>
      <c r="L38" s="201"/>
      <c r="M38" s="201"/>
      <c r="N38" s="201"/>
      <c r="O38" s="201"/>
      <c r="P38" s="201"/>
      <c r="Q38" s="201"/>
      <c r="R38" s="201"/>
      <c r="S38" s="201"/>
      <c r="T38" s="205"/>
      <c r="U38" s="205"/>
    </row>
    <row r="39" spans="1:21" ht="15" customHeight="1">
      <c r="A39" s="210">
        <v>10</v>
      </c>
      <c r="B39" s="176" t="s">
        <v>83</v>
      </c>
      <c r="C39" s="211" t="s">
        <v>33</v>
      </c>
      <c r="D39" s="176" t="s">
        <v>197</v>
      </c>
      <c r="E39" s="213">
        <v>70.430000000000007</v>
      </c>
      <c r="F39" s="213">
        <f>SUM(E39*155/1000)</f>
        <v>10.916650000000001</v>
      </c>
      <c r="G39" s="213">
        <v>350.75</v>
      </c>
      <c r="H39" s="214">
        <f t="shared" si="3"/>
        <v>3.8290149875000004</v>
      </c>
      <c r="I39" s="21">
        <f>F39/6*G39</f>
        <v>638.16916458333344</v>
      </c>
      <c r="J39" s="200"/>
      <c r="K39" s="201"/>
      <c r="L39" s="201"/>
      <c r="M39" s="201"/>
      <c r="N39" s="201"/>
      <c r="O39" s="201"/>
      <c r="P39" s="201"/>
      <c r="Q39" s="201"/>
      <c r="R39" s="201"/>
      <c r="S39" s="201"/>
      <c r="T39" s="205"/>
      <c r="U39" s="205"/>
    </row>
    <row r="40" spans="1:21" ht="45" customHeight="1">
      <c r="A40" s="210">
        <v>11</v>
      </c>
      <c r="B40" s="176" t="s">
        <v>106</v>
      </c>
      <c r="C40" s="211" t="s">
        <v>185</v>
      </c>
      <c r="D40" s="176" t="s">
        <v>198</v>
      </c>
      <c r="E40" s="213">
        <v>70.430000000000007</v>
      </c>
      <c r="F40" s="213">
        <f>SUM(E40*24/1000)</f>
        <v>1.6903200000000003</v>
      </c>
      <c r="G40" s="213">
        <v>5803.28</v>
      </c>
      <c r="H40" s="214">
        <f t="shared" si="3"/>
        <v>9.8094002496000012</v>
      </c>
      <c r="I40" s="21">
        <f>F40/6*G40</f>
        <v>1634.9000416000001</v>
      </c>
      <c r="J40" s="200"/>
      <c r="K40" s="201"/>
      <c r="L40" s="201"/>
      <c r="M40" s="201"/>
      <c r="N40" s="201"/>
      <c r="O40" s="201"/>
      <c r="P40" s="201"/>
      <c r="Q40" s="201"/>
      <c r="R40" s="201"/>
      <c r="S40" s="201"/>
      <c r="T40" s="205"/>
      <c r="U40" s="205"/>
    </row>
    <row r="41" spans="1:21" ht="15" customHeight="1">
      <c r="A41" s="210">
        <v>12</v>
      </c>
      <c r="B41" s="176" t="s">
        <v>199</v>
      </c>
      <c r="C41" s="211" t="s">
        <v>185</v>
      </c>
      <c r="D41" s="176" t="s">
        <v>84</v>
      </c>
      <c r="E41" s="213">
        <v>70.430000000000007</v>
      </c>
      <c r="F41" s="213">
        <f>SUM(E41*45/1000)</f>
        <v>3.1693500000000006</v>
      </c>
      <c r="G41" s="213">
        <v>428.7</v>
      </c>
      <c r="H41" s="214">
        <f t="shared" si="3"/>
        <v>1.3587003450000001</v>
      </c>
      <c r="I41" s="21">
        <f>F41/6*G41</f>
        <v>226.45005750000001</v>
      </c>
      <c r="J41" s="200"/>
      <c r="K41" s="201"/>
      <c r="L41" s="201"/>
      <c r="M41" s="201"/>
      <c r="N41" s="201"/>
      <c r="O41" s="201"/>
      <c r="P41" s="201"/>
      <c r="Q41" s="201"/>
      <c r="R41" s="201"/>
      <c r="S41" s="201"/>
      <c r="T41" s="205"/>
      <c r="U41" s="205"/>
    </row>
    <row r="42" spans="1:21" ht="15" customHeight="1">
      <c r="A42" s="210">
        <v>13</v>
      </c>
      <c r="B42" s="176" t="s">
        <v>85</v>
      </c>
      <c r="C42" s="211" t="s">
        <v>37</v>
      </c>
      <c r="D42" s="176"/>
      <c r="E42" s="212"/>
      <c r="F42" s="213">
        <v>0.8</v>
      </c>
      <c r="G42" s="213">
        <v>798</v>
      </c>
      <c r="H42" s="214">
        <f t="shared" si="3"/>
        <v>0.63840000000000008</v>
      </c>
      <c r="I42" s="21">
        <f>F42/6*G42</f>
        <v>106.39999999999999</v>
      </c>
      <c r="J42" s="200"/>
      <c r="K42" s="201"/>
      <c r="L42" s="201"/>
      <c r="M42" s="201"/>
      <c r="N42" s="201"/>
      <c r="O42" s="201"/>
      <c r="P42" s="201"/>
      <c r="Q42" s="201"/>
      <c r="R42" s="201"/>
      <c r="S42" s="201"/>
      <c r="T42" s="205"/>
      <c r="U42" s="205"/>
    </row>
    <row r="43" spans="1:21" ht="15" customHeight="1">
      <c r="A43" s="284" t="s">
        <v>221</v>
      </c>
      <c r="B43" s="285"/>
      <c r="C43" s="285"/>
      <c r="D43" s="285"/>
      <c r="E43" s="285"/>
      <c r="F43" s="285"/>
      <c r="G43" s="285"/>
      <c r="H43" s="285"/>
      <c r="I43" s="286"/>
      <c r="J43" s="200"/>
      <c r="K43" s="201"/>
      <c r="L43" s="201"/>
      <c r="M43" s="201"/>
      <c r="N43" s="201"/>
      <c r="O43" s="201"/>
      <c r="P43" s="201"/>
      <c r="Q43" s="201"/>
      <c r="R43" s="201"/>
      <c r="S43" s="201"/>
      <c r="T43" s="205"/>
      <c r="U43" s="205"/>
    </row>
    <row r="44" spans="1:21" ht="15" hidden="1" customHeight="1">
      <c r="A44" s="210"/>
      <c r="B44" s="176" t="s">
        <v>200</v>
      </c>
      <c r="C44" s="211" t="s">
        <v>185</v>
      </c>
      <c r="D44" s="176" t="s">
        <v>52</v>
      </c>
      <c r="E44" s="212">
        <v>1111.75</v>
      </c>
      <c r="F44" s="213">
        <f>SUM(E44*2/1000)</f>
        <v>2.2235</v>
      </c>
      <c r="G44" s="21">
        <v>809.74</v>
      </c>
      <c r="H44" s="214">
        <f t="shared" ref="H44:H54" si="4">SUM(F44*G44/1000)</f>
        <v>1.8004568900000002</v>
      </c>
      <c r="I44" s="21">
        <v>0</v>
      </c>
      <c r="J44" s="200"/>
      <c r="K44" s="201"/>
      <c r="L44" s="201"/>
      <c r="M44" s="201"/>
      <c r="N44" s="201"/>
      <c r="O44" s="201"/>
      <c r="P44" s="201"/>
      <c r="Q44" s="201"/>
      <c r="R44" s="201"/>
      <c r="S44" s="201"/>
      <c r="T44" s="205"/>
      <c r="U44" s="205"/>
    </row>
    <row r="45" spans="1:21" ht="15" hidden="1" customHeight="1">
      <c r="A45" s="210"/>
      <c r="B45" s="176" t="s">
        <v>41</v>
      </c>
      <c r="C45" s="211" t="s">
        <v>185</v>
      </c>
      <c r="D45" s="176" t="s">
        <v>52</v>
      </c>
      <c r="E45" s="212">
        <v>88</v>
      </c>
      <c r="F45" s="213">
        <f>E45*2/1000</f>
        <v>0.17599999999999999</v>
      </c>
      <c r="G45" s="21">
        <v>579.48</v>
      </c>
      <c r="H45" s="214">
        <f t="shared" si="4"/>
        <v>0.10198847999999999</v>
      </c>
      <c r="I45" s="21">
        <v>0</v>
      </c>
      <c r="J45" s="200"/>
      <c r="K45" s="201"/>
      <c r="L45" s="201"/>
      <c r="M45" s="201"/>
      <c r="N45" s="201"/>
      <c r="O45" s="201"/>
      <c r="P45" s="201"/>
      <c r="Q45" s="201"/>
      <c r="R45" s="201"/>
      <c r="S45" s="201"/>
      <c r="T45" s="205"/>
      <c r="U45" s="205"/>
    </row>
    <row r="46" spans="1:21" ht="15" hidden="1" customHeight="1">
      <c r="A46" s="210"/>
      <c r="B46" s="176" t="s">
        <v>42</v>
      </c>
      <c r="C46" s="211" t="s">
        <v>185</v>
      </c>
      <c r="D46" s="176" t="s">
        <v>52</v>
      </c>
      <c r="E46" s="212">
        <v>1250.6199999999999</v>
      </c>
      <c r="F46" s="213">
        <f>SUM(E46*2/1000)</f>
        <v>2.5012399999999997</v>
      </c>
      <c r="G46" s="21">
        <v>579.48</v>
      </c>
      <c r="H46" s="214">
        <f t="shared" si="4"/>
        <v>1.4494185551999998</v>
      </c>
      <c r="I46" s="21">
        <v>0</v>
      </c>
      <c r="J46" s="200"/>
      <c r="K46" s="201"/>
      <c r="L46" s="201"/>
      <c r="M46" s="201"/>
      <c r="N46" s="201"/>
      <c r="O46" s="201"/>
      <c r="P46" s="201"/>
      <c r="Q46" s="201"/>
      <c r="R46" s="201"/>
      <c r="S46" s="201"/>
      <c r="T46" s="205"/>
      <c r="U46" s="205"/>
    </row>
    <row r="47" spans="1:21" ht="15" hidden="1" customHeight="1">
      <c r="A47" s="210"/>
      <c r="B47" s="176" t="s">
        <v>43</v>
      </c>
      <c r="C47" s="211" t="s">
        <v>185</v>
      </c>
      <c r="D47" s="176" t="s">
        <v>52</v>
      </c>
      <c r="E47" s="212">
        <v>1295.68</v>
      </c>
      <c r="F47" s="213">
        <f>SUM(E47*2/1000)</f>
        <v>2.5913600000000003</v>
      </c>
      <c r="G47" s="21">
        <v>606.77</v>
      </c>
      <c r="H47" s="214">
        <f t="shared" si="4"/>
        <v>1.5723595072000001</v>
      </c>
      <c r="I47" s="21">
        <v>0</v>
      </c>
      <c r="J47" s="200"/>
      <c r="K47" s="201"/>
      <c r="L47" s="201"/>
      <c r="M47" s="201"/>
      <c r="N47" s="201"/>
      <c r="O47" s="201"/>
      <c r="P47" s="201"/>
      <c r="Q47" s="201"/>
      <c r="R47" s="201"/>
      <c r="S47" s="201"/>
      <c r="T47" s="205"/>
      <c r="U47" s="205"/>
    </row>
    <row r="48" spans="1:21" ht="15" hidden="1" customHeight="1">
      <c r="A48" s="210"/>
      <c r="B48" s="176" t="s">
        <v>39</v>
      </c>
      <c r="C48" s="211" t="s">
        <v>40</v>
      </c>
      <c r="D48" s="176" t="s">
        <v>52</v>
      </c>
      <c r="E48" s="212">
        <v>85.84</v>
      </c>
      <c r="F48" s="213">
        <f>E48*2/100</f>
        <v>1.7168000000000001</v>
      </c>
      <c r="G48" s="21">
        <v>72.81</v>
      </c>
      <c r="H48" s="214">
        <f>G48*F48/1000</f>
        <v>0.125000208</v>
      </c>
      <c r="I48" s="21">
        <v>0</v>
      </c>
      <c r="J48" s="200"/>
      <c r="K48" s="201"/>
      <c r="L48" s="201"/>
      <c r="M48" s="201"/>
      <c r="N48" s="201"/>
      <c r="O48" s="201"/>
      <c r="P48" s="201"/>
      <c r="Q48" s="201"/>
      <c r="R48" s="201"/>
      <c r="S48" s="201"/>
      <c r="T48" s="205"/>
      <c r="U48" s="205"/>
    </row>
    <row r="49" spans="1:21" ht="30" hidden="1" customHeight="1">
      <c r="A49" s="210">
        <v>13</v>
      </c>
      <c r="B49" s="176" t="s">
        <v>72</v>
      </c>
      <c r="C49" s="211" t="s">
        <v>185</v>
      </c>
      <c r="D49" s="176" t="s">
        <v>219</v>
      </c>
      <c r="E49" s="212">
        <v>897</v>
      </c>
      <c r="F49" s="213">
        <f>SUM(E49*5/1000)</f>
        <v>4.4850000000000003</v>
      </c>
      <c r="G49" s="21">
        <v>1213.55</v>
      </c>
      <c r="H49" s="214">
        <f t="shared" si="4"/>
        <v>5.4427717499999995</v>
      </c>
      <c r="I49" s="21">
        <f>F49/5*G49</f>
        <v>1088.5543499999999</v>
      </c>
      <c r="J49" s="200"/>
      <c r="K49" s="201"/>
      <c r="L49" s="201"/>
      <c r="M49" s="201"/>
      <c r="N49" s="201"/>
      <c r="O49" s="201"/>
      <c r="P49" s="201"/>
      <c r="Q49" s="201"/>
      <c r="R49" s="201"/>
      <c r="S49" s="201"/>
      <c r="T49" s="205"/>
      <c r="U49" s="205"/>
    </row>
    <row r="50" spans="1:21" ht="30" hidden="1" customHeight="1">
      <c r="A50" s="210"/>
      <c r="B50" s="176" t="s">
        <v>201</v>
      </c>
      <c r="C50" s="211" t="s">
        <v>185</v>
      </c>
      <c r="D50" s="176" t="s">
        <v>52</v>
      </c>
      <c r="E50" s="212">
        <v>897</v>
      </c>
      <c r="F50" s="213">
        <f>SUM(E50*2/1000)</f>
        <v>1.794</v>
      </c>
      <c r="G50" s="21">
        <v>1213.55</v>
      </c>
      <c r="H50" s="214">
        <f t="shared" si="4"/>
        <v>2.1771086999999998</v>
      </c>
      <c r="I50" s="21">
        <v>0</v>
      </c>
      <c r="J50" s="200"/>
      <c r="K50" s="201"/>
      <c r="L50" s="201"/>
      <c r="M50" s="201"/>
      <c r="N50" s="201"/>
      <c r="O50" s="201"/>
      <c r="P50" s="201"/>
      <c r="Q50" s="201"/>
      <c r="R50" s="201"/>
      <c r="S50" s="201"/>
      <c r="T50" s="205"/>
      <c r="U50" s="205"/>
    </row>
    <row r="51" spans="1:21" ht="30" hidden="1" customHeight="1">
      <c r="A51" s="210"/>
      <c r="B51" s="176" t="s">
        <v>202</v>
      </c>
      <c r="C51" s="211" t="s">
        <v>46</v>
      </c>
      <c r="D51" s="176" t="s">
        <v>52</v>
      </c>
      <c r="E51" s="212">
        <v>16</v>
      </c>
      <c r="F51" s="213">
        <f>SUM(E51*2/100)</f>
        <v>0.32</v>
      </c>
      <c r="G51" s="21">
        <v>2730.49</v>
      </c>
      <c r="H51" s="214">
        <f t="shared" si="4"/>
        <v>0.8737568</v>
      </c>
      <c r="I51" s="21">
        <v>0</v>
      </c>
      <c r="J51" s="200"/>
      <c r="K51" s="201"/>
      <c r="L51" s="201"/>
      <c r="M51" s="201"/>
      <c r="N51" s="201"/>
      <c r="O51" s="201"/>
      <c r="P51" s="201"/>
      <c r="Q51" s="201"/>
      <c r="R51" s="201"/>
      <c r="S51" s="201"/>
      <c r="T51" s="205"/>
      <c r="U51" s="205"/>
    </row>
    <row r="52" spans="1:21" ht="15.75" hidden="1" customHeight="1">
      <c r="A52" s="210"/>
      <c r="B52" s="176" t="s">
        <v>47</v>
      </c>
      <c r="C52" s="211" t="s">
        <v>48</v>
      </c>
      <c r="D52" s="176" t="s">
        <v>52</v>
      </c>
      <c r="E52" s="212">
        <v>1</v>
      </c>
      <c r="F52" s="213">
        <v>0.02</v>
      </c>
      <c r="G52" s="21">
        <v>5652.13</v>
      </c>
      <c r="H52" s="214">
        <f t="shared" si="4"/>
        <v>0.11304260000000001</v>
      </c>
      <c r="I52" s="21">
        <v>0</v>
      </c>
      <c r="J52" s="200"/>
      <c r="K52" s="201"/>
      <c r="L52" s="201"/>
      <c r="M52" s="201"/>
      <c r="N52" s="201"/>
      <c r="O52" s="201"/>
      <c r="P52" s="201"/>
      <c r="Q52" s="201"/>
      <c r="R52" s="201"/>
      <c r="S52" s="201"/>
      <c r="T52" s="205"/>
      <c r="U52" s="205"/>
    </row>
    <row r="53" spans="1:21" ht="15.75" customHeight="1">
      <c r="A53" s="210">
        <v>14</v>
      </c>
      <c r="B53" s="176" t="s">
        <v>203</v>
      </c>
      <c r="C53" s="211" t="s">
        <v>159</v>
      </c>
      <c r="D53" s="176" t="s">
        <v>86</v>
      </c>
      <c r="E53" s="212">
        <v>64</v>
      </c>
      <c r="F53" s="213">
        <f>E53*3</f>
        <v>192</v>
      </c>
      <c r="G53" s="21">
        <v>141.12</v>
      </c>
      <c r="H53" s="214">
        <f>F53*G53/1000</f>
        <v>27.095040000000001</v>
      </c>
      <c r="I53" s="21">
        <f>E53*G53</f>
        <v>9031.68</v>
      </c>
      <c r="J53" s="200"/>
      <c r="K53" s="201"/>
      <c r="L53" s="201"/>
      <c r="M53" s="201"/>
      <c r="N53" s="201"/>
      <c r="O53" s="201"/>
      <c r="P53" s="201"/>
      <c r="Q53" s="201"/>
      <c r="R53" s="201"/>
      <c r="S53" s="201"/>
      <c r="T53" s="205"/>
      <c r="U53" s="205"/>
    </row>
    <row r="54" spans="1:21" ht="15.75" customHeight="1">
      <c r="A54" s="210">
        <v>15</v>
      </c>
      <c r="B54" s="176" t="s">
        <v>51</v>
      </c>
      <c r="C54" s="211" t="s">
        <v>159</v>
      </c>
      <c r="D54" s="176" t="s">
        <v>86</v>
      </c>
      <c r="E54" s="212">
        <v>128</v>
      </c>
      <c r="F54" s="213">
        <f>SUM(E54)*3</f>
        <v>384</v>
      </c>
      <c r="G54" s="21">
        <v>65.67</v>
      </c>
      <c r="H54" s="214">
        <f t="shared" si="4"/>
        <v>25.217279999999999</v>
      </c>
      <c r="I54" s="21">
        <f>E54*G54</f>
        <v>8405.76</v>
      </c>
      <c r="J54" s="200"/>
      <c r="K54" s="201"/>
      <c r="L54" s="201"/>
      <c r="M54" s="201"/>
      <c r="N54" s="201"/>
      <c r="O54" s="201"/>
      <c r="P54" s="201"/>
      <c r="Q54" s="201"/>
      <c r="R54" s="201"/>
      <c r="S54" s="201"/>
      <c r="T54" s="205"/>
      <c r="U54" s="205"/>
    </row>
    <row r="55" spans="1:21" ht="15.75" customHeight="1">
      <c r="A55" s="274" t="s">
        <v>222</v>
      </c>
      <c r="B55" s="275"/>
      <c r="C55" s="275"/>
      <c r="D55" s="275"/>
      <c r="E55" s="275"/>
      <c r="F55" s="275"/>
      <c r="G55" s="275"/>
      <c r="H55" s="275"/>
      <c r="I55" s="276"/>
      <c r="J55" s="200"/>
      <c r="K55" s="201"/>
      <c r="L55" s="201"/>
      <c r="M55" s="201"/>
      <c r="N55" s="201"/>
      <c r="O55" s="201"/>
      <c r="P55" s="201"/>
      <c r="Q55" s="201"/>
      <c r="R55" s="201"/>
      <c r="S55" s="201"/>
      <c r="T55" s="205"/>
      <c r="U55" s="205"/>
    </row>
    <row r="56" spans="1:21" ht="15" customHeight="1">
      <c r="A56" s="210"/>
      <c r="B56" s="251" t="s">
        <v>53</v>
      </c>
      <c r="C56" s="250"/>
      <c r="D56" s="249"/>
      <c r="E56" s="212"/>
      <c r="F56" s="213"/>
      <c r="G56" s="213"/>
      <c r="H56" s="214"/>
      <c r="I56" s="21"/>
      <c r="J56" s="200"/>
      <c r="K56" s="201"/>
      <c r="L56" s="201"/>
      <c r="M56" s="201"/>
      <c r="N56" s="201"/>
      <c r="O56" s="201"/>
      <c r="P56" s="201"/>
      <c r="Q56" s="201"/>
      <c r="R56" s="201"/>
      <c r="S56" s="201"/>
      <c r="T56" s="205"/>
      <c r="U56" s="205"/>
    </row>
    <row r="57" spans="1:21" ht="30" customHeight="1">
      <c r="A57" s="210">
        <v>16</v>
      </c>
      <c r="B57" s="176" t="s">
        <v>204</v>
      </c>
      <c r="C57" s="211" t="s">
        <v>145</v>
      </c>
      <c r="D57" s="176" t="s">
        <v>205</v>
      </c>
      <c r="E57" s="212">
        <v>123.175</v>
      </c>
      <c r="F57" s="213">
        <f>SUM(E57*6/100)</f>
        <v>7.3904999999999994</v>
      </c>
      <c r="G57" s="21">
        <v>1547.28</v>
      </c>
      <c r="H57" s="214">
        <f>SUM(F57*G57/1000)</f>
        <v>11.43517284</v>
      </c>
      <c r="I57" s="21">
        <f>F57/6*G57</f>
        <v>1905.8621399999997</v>
      </c>
      <c r="J57" s="200"/>
      <c r="K57" s="201"/>
      <c r="L57" s="201"/>
      <c r="M57" s="201"/>
      <c r="N57" s="201"/>
      <c r="O57" s="201"/>
      <c r="P57" s="201"/>
      <c r="Q57" s="201"/>
      <c r="R57" s="201"/>
      <c r="S57" s="201"/>
      <c r="T57" s="205"/>
      <c r="U57" s="205"/>
    </row>
    <row r="58" spans="1:21" ht="15" hidden="1" customHeight="1">
      <c r="A58" s="223"/>
      <c r="B58" s="251" t="s">
        <v>54</v>
      </c>
      <c r="C58" s="250"/>
      <c r="D58" s="249"/>
      <c r="E58" s="226"/>
      <c r="F58" s="227"/>
      <c r="G58" s="21"/>
      <c r="H58" s="228"/>
      <c r="I58" s="21"/>
      <c r="J58" s="200"/>
      <c r="K58" s="201"/>
      <c r="L58" s="201"/>
      <c r="M58" s="201"/>
      <c r="N58" s="201"/>
      <c r="O58" s="201"/>
      <c r="P58" s="201"/>
      <c r="Q58" s="201"/>
      <c r="R58" s="201"/>
      <c r="S58" s="201"/>
      <c r="T58" s="205"/>
      <c r="U58" s="205"/>
    </row>
    <row r="59" spans="1:21" ht="15" hidden="1" customHeight="1">
      <c r="A59" s="223"/>
      <c r="B59" s="225" t="s">
        <v>206</v>
      </c>
      <c r="C59" s="224" t="s">
        <v>65</v>
      </c>
      <c r="D59" s="225" t="s">
        <v>66</v>
      </c>
      <c r="E59" s="226">
        <v>897</v>
      </c>
      <c r="F59" s="227">
        <v>8.9700000000000006</v>
      </c>
      <c r="G59" s="21">
        <v>793.61</v>
      </c>
      <c r="H59" s="228">
        <f>F59*G59/1000</f>
        <v>7.1186817000000007</v>
      </c>
      <c r="I59" s="21">
        <v>0</v>
      </c>
      <c r="J59" s="200"/>
      <c r="K59" s="201"/>
      <c r="L59" s="201"/>
      <c r="M59" s="201"/>
      <c r="N59" s="201"/>
      <c r="O59" s="201"/>
      <c r="P59" s="201"/>
      <c r="Q59" s="201"/>
      <c r="R59" s="201"/>
      <c r="S59" s="201"/>
      <c r="T59" s="205"/>
      <c r="U59" s="205"/>
    </row>
    <row r="60" spans="1:21" ht="15" hidden="1" customHeight="1">
      <c r="A60" s="223"/>
      <c r="B60" s="251" t="s">
        <v>56</v>
      </c>
      <c r="C60" s="250"/>
      <c r="D60" s="250"/>
      <c r="E60" s="226"/>
      <c r="F60" s="229"/>
      <c r="G60" s="229"/>
      <c r="H60" s="227" t="s">
        <v>183</v>
      </c>
      <c r="I60" s="21"/>
      <c r="J60" s="200"/>
      <c r="K60" s="201"/>
      <c r="L60" s="201"/>
      <c r="M60" s="201"/>
      <c r="N60" s="201"/>
      <c r="O60" s="201"/>
      <c r="P60" s="201"/>
      <c r="Q60" s="201"/>
      <c r="R60" s="201"/>
      <c r="S60" s="201"/>
      <c r="T60" s="205"/>
      <c r="U60" s="205"/>
    </row>
    <row r="61" spans="1:21" ht="15" hidden="1" customHeight="1">
      <c r="A61" s="25">
        <v>17</v>
      </c>
      <c r="B61" s="32" t="s">
        <v>57</v>
      </c>
      <c r="C61" s="33" t="s">
        <v>159</v>
      </c>
      <c r="D61" s="252" t="s">
        <v>81</v>
      </c>
      <c r="E61" s="27">
        <v>15</v>
      </c>
      <c r="F61" s="213">
        <v>15</v>
      </c>
      <c r="G61" s="21">
        <v>222.4</v>
      </c>
      <c r="H61" s="215">
        <f t="shared" ref="H61:H74" si="5">SUM(F61*G61/1000)</f>
        <v>3.3359999999999999</v>
      </c>
      <c r="I61" s="21">
        <f>G61*2</f>
        <v>444.8</v>
      </c>
      <c r="J61" s="200"/>
      <c r="K61" s="201"/>
      <c r="L61" s="201"/>
      <c r="M61" s="201"/>
      <c r="N61" s="201"/>
      <c r="O61" s="201"/>
      <c r="P61" s="201"/>
      <c r="Q61" s="201"/>
      <c r="R61" s="201"/>
      <c r="S61" s="201"/>
      <c r="T61" s="205"/>
      <c r="U61" s="205"/>
    </row>
    <row r="62" spans="1:21" ht="15" hidden="1" customHeight="1">
      <c r="A62" s="25"/>
      <c r="B62" s="23" t="s">
        <v>58</v>
      </c>
      <c r="C62" s="25" t="s">
        <v>159</v>
      </c>
      <c r="D62" s="176" t="s">
        <v>81</v>
      </c>
      <c r="E62" s="27">
        <v>5</v>
      </c>
      <c r="F62" s="213">
        <v>5</v>
      </c>
      <c r="G62" s="21">
        <v>76.25</v>
      </c>
      <c r="H62" s="215">
        <f t="shared" si="5"/>
        <v>0.38124999999999998</v>
      </c>
      <c r="I62" s="21">
        <v>0</v>
      </c>
      <c r="J62" s="200"/>
      <c r="K62" s="201"/>
      <c r="L62" s="201"/>
      <c r="M62" s="201"/>
      <c r="N62" s="201"/>
      <c r="O62" s="201"/>
      <c r="P62" s="201"/>
      <c r="Q62" s="201"/>
      <c r="R62" s="201"/>
      <c r="S62" s="201"/>
      <c r="T62" s="205"/>
      <c r="U62" s="205"/>
    </row>
    <row r="63" spans="1:21" ht="15" hidden="1" customHeight="1">
      <c r="A63" s="25"/>
      <c r="B63" s="23" t="s">
        <v>59</v>
      </c>
      <c r="C63" s="25" t="s">
        <v>160</v>
      </c>
      <c r="D63" s="23" t="s">
        <v>66</v>
      </c>
      <c r="E63" s="212">
        <v>10052</v>
      </c>
      <c r="F63" s="21">
        <f>SUM(E63/100)</f>
        <v>100.52</v>
      </c>
      <c r="G63" s="21">
        <v>212.15</v>
      </c>
      <c r="H63" s="215">
        <f t="shared" si="5"/>
        <v>21.325317999999999</v>
      </c>
      <c r="I63" s="21">
        <v>0</v>
      </c>
      <c r="J63" s="200"/>
      <c r="K63" s="201"/>
      <c r="L63" s="201"/>
      <c r="M63" s="201"/>
      <c r="N63" s="201"/>
      <c r="O63" s="201"/>
      <c r="P63" s="201"/>
      <c r="Q63" s="201"/>
      <c r="R63" s="201"/>
      <c r="S63" s="201"/>
      <c r="T63" s="205"/>
      <c r="U63" s="205"/>
    </row>
    <row r="64" spans="1:21" ht="15" hidden="1" customHeight="1">
      <c r="A64" s="25"/>
      <c r="B64" s="23" t="s">
        <v>60</v>
      </c>
      <c r="C64" s="25" t="s">
        <v>161</v>
      </c>
      <c r="D64" s="23"/>
      <c r="E64" s="212">
        <v>10052</v>
      </c>
      <c r="F64" s="21">
        <f>SUM(E64/1000)</f>
        <v>10.052</v>
      </c>
      <c r="G64" s="21">
        <v>165.21</v>
      </c>
      <c r="H64" s="215">
        <f t="shared" si="5"/>
        <v>1.66069092</v>
      </c>
      <c r="I64" s="21">
        <v>0</v>
      </c>
      <c r="J64" s="200"/>
      <c r="K64" s="201"/>
      <c r="L64" s="201"/>
      <c r="M64" s="201"/>
      <c r="N64" s="201"/>
      <c r="O64" s="201"/>
      <c r="P64" s="201"/>
      <c r="Q64" s="201"/>
      <c r="R64" s="201"/>
      <c r="S64" s="201"/>
      <c r="T64" s="205"/>
      <c r="U64" s="205"/>
    </row>
    <row r="65" spans="1:21" ht="15" hidden="1" customHeight="1">
      <c r="A65" s="25"/>
      <c r="B65" s="23" t="s">
        <v>61</v>
      </c>
      <c r="C65" s="25" t="s">
        <v>93</v>
      </c>
      <c r="D65" s="23" t="s">
        <v>66</v>
      </c>
      <c r="E65" s="212">
        <v>2200</v>
      </c>
      <c r="F65" s="21">
        <f>SUM(E65/100)</f>
        <v>22</v>
      </c>
      <c r="G65" s="21">
        <v>2074.63</v>
      </c>
      <c r="H65" s="215">
        <f t="shared" si="5"/>
        <v>45.641860000000001</v>
      </c>
      <c r="I65" s="21">
        <v>0</v>
      </c>
      <c r="J65" s="200"/>
      <c r="K65" s="201"/>
      <c r="L65" s="201"/>
      <c r="M65" s="201"/>
      <c r="N65" s="201"/>
      <c r="O65" s="201"/>
      <c r="P65" s="201"/>
      <c r="Q65" s="201"/>
      <c r="R65" s="201"/>
      <c r="S65" s="201"/>
      <c r="T65" s="205"/>
      <c r="U65" s="205"/>
    </row>
    <row r="66" spans="1:21" ht="15" hidden="1" customHeight="1">
      <c r="A66" s="25"/>
      <c r="B66" s="230" t="s">
        <v>162</v>
      </c>
      <c r="C66" s="25" t="s">
        <v>37</v>
      </c>
      <c r="D66" s="23"/>
      <c r="E66" s="212">
        <v>9.4</v>
      </c>
      <c r="F66" s="21">
        <f>SUM(E66)</f>
        <v>9.4</v>
      </c>
      <c r="G66" s="21">
        <v>42.67</v>
      </c>
      <c r="H66" s="215">
        <f t="shared" si="5"/>
        <v>0.40109800000000001</v>
      </c>
      <c r="I66" s="21">
        <v>0</v>
      </c>
      <c r="J66" s="200"/>
      <c r="K66" s="201"/>
      <c r="L66" s="201"/>
      <c r="M66" s="201"/>
      <c r="N66" s="201"/>
      <c r="O66" s="201"/>
      <c r="P66" s="201"/>
      <c r="Q66" s="201"/>
      <c r="R66" s="201"/>
      <c r="S66" s="201"/>
      <c r="T66" s="205"/>
      <c r="U66" s="205"/>
    </row>
    <row r="67" spans="1:21" ht="15" hidden="1" customHeight="1">
      <c r="A67" s="231"/>
      <c r="B67" s="230" t="s">
        <v>163</v>
      </c>
      <c r="C67" s="25" t="s">
        <v>37</v>
      </c>
      <c r="D67" s="23"/>
      <c r="E67" s="212">
        <v>9.4</v>
      </c>
      <c r="F67" s="21">
        <f>SUM(E67)</f>
        <v>9.4</v>
      </c>
      <c r="G67" s="21">
        <v>39.81</v>
      </c>
      <c r="H67" s="215">
        <f t="shared" si="5"/>
        <v>0.37421400000000005</v>
      </c>
      <c r="I67" s="21">
        <v>0</v>
      </c>
      <c r="J67" s="200"/>
      <c r="K67" s="201"/>
      <c r="L67" s="201"/>
      <c r="M67" s="201"/>
      <c r="N67" s="201"/>
      <c r="O67" s="201"/>
      <c r="P67" s="201"/>
      <c r="Q67" s="201"/>
      <c r="R67" s="201"/>
      <c r="S67" s="201"/>
      <c r="T67" s="205"/>
      <c r="U67" s="205"/>
    </row>
    <row r="68" spans="1:21" ht="15" hidden="1" customHeight="1">
      <c r="A68" s="25"/>
      <c r="B68" s="23" t="s">
        <v>73</v>
      </c>
      <c r="C68" s="25" t="s">
        <v>74</v>
      </c>
      <c r="D68" s="23" t="s">
        <v>66</v>
      </c>
      <c r="E68" s="27">
        <v>5</v>
      </c>
      <c r="F68" s="213">
        <v>5</v>
      </c>
      <c r="G68" s="21">
        <v>49.88</v>
      </c>
      <c r="H68" s="215">
        <f t="shared" si="5"/>
        <v>0.24940000000000001</v>
      </c>
      <c r="I68" s="21">
        <v>0</v>
      </c>
      <c r="J68" s="200"/>
      <c r="K68" s="201"/>
      <c r="L68" s="201"/>
      <c r="M68" s="201"/>
      <c r="N68" s="201"/>
      <c r="O68" s="201"/>
      <c r="P68" s="201"/>
      <c r="Q68" s="201"/>
      <c r="R68" s="201"/>
      <c r="S68" s="201"/>
      <c r="T68" s="205"/>
      <c r="U68" s="205"/>
    </row>
    <row r="69" spans="1:21" ht="15" hidden="1" customHeight="1">
      <c r="A69" s="231"/>
      <c r="B69" s="188" t="s">
        <v>87</v>
      </c>
      <c r="C69" s="253"/>
      <c r="D69" s="253"/>
      <c r="E69" s="27"/>
      <c r="F69" s="21"/>
      <c r="G69" s="21"/>
      <c r="H69" s="215" t="s">
        <v>183</v>
      </c>
      <c r="I69" s="21"/>
      <c r="J69" s="200"/>
      <c r="K69" s="201"/>
      <c r="L69" s="201"/>
      <c r="M69" s="201"/>
      <c r="N69" s="201"/>
      <c r="O69" s="201"/>
      <c r="P69" s="201"/>
      <c r="Q69" s="201"/>
      <c r="R69" s="201"/>
      <c r="S69" s="201"/>
      <c r="T69" s="205"/>
      <c r="U69" s="205"/>
    </row>
    <row r="70" spans="1:21" ht="15" hidden="1" customHeight="1">
      <c r="A70" s="25"/>
      <c r="B70" s="23" t="s">
        <v>88</v>
      </c>
      <c r="C70" s="25" t="s">
        <v>90</v>
      </c>
      <c r="D70" s="23"/>
      <c r="E70" s="27">
        <v>3</v>
      </c>
      <c r="F70" s="21">
        <v>0.3</v>
      </c>
      <c r="G70" s="21">
        <v>501.62</v>
      </c>
      <c r="H70" s="215">
        <f t="shared" si="5"/>
        <v>0.15048599999999998</v>
      </c>
      <c r="I70" s="21">
        <v>0</v>
      </c>
      <c r="J70" s="200"/>
      <c r="K70" s="201"/>
      <c r="L70" s="201"/>
      <c r="M70" s="201"/>
      <c r="N70" s="201"/>
      <c r="O70" s="201"/>
      <c r="P70" s="201"/>
      <c r="Q70" s="201"/>
      <c r="R70" s="201"/>
      <c r="S70" s="201"/>
      <c r="T70" s="205"/>
      <c r="U70" s="205"/>
    </row>
    <row r="71" spans="1:21" ht="15" hidden="1" customHeight="1">
      <c r="A71" s="25"/>
      <c r="B71" s="23" t="s">
        <v>89</v>
      </c>
      <c r="C71" s="25" t="s">
        <v>35</v>
      </c>
      <c r="D71" s="23"/>
      <c r="E71" s="27">
        <v>1</v>
      </c>
      <c r="F71" s="232">
        <v>1</v>
      </c>
      <c r="G71" s="21">
        <v>852.99</v>
      </c>
      <c r="H71" s="215">
        <f>F71*G71/1000</f>
        <v>0.85299000000000003</v>
      </c>
      <c r="I71" s="21">
        <v>0</v>
      </c>
      <c r="J71" s="200"/>
      <c r="K71" s="201"/>
      <c r="L71" s="201"/>
      <c r="M71" s="201"/>
      <c r="N71" s="201"/>
      <c r="O71" s="201"/>
      <c r="P71" s="201"/>
      <c r="Q71" s="201"/>
      <c r="R71" s="201"/>
      <c r="S71" s="201"/>
      <c r="T71" s="205"/>
      <c r="U71" s="205"/>
    </row>
    <row r="72" spans="1:21" ht="15" hidden="1" customHeight="1">
      <c r="A72" s="25"/>
      <c r="B72" s="23" t="s">
        <v>126</v>
      </c>
      <c r="C72" s="25" t="s">
        <v>35</v>
      </c>
      <c r="D72" s="23"/>
      <c r="E72" s="27">
        <v>1</v>
      </c>
      <c r="F72" s="21">
        <v>1</v>
      </c>
      <c r="G72" s="21">
        <v>358.51</v>
      </c>
      <c r="H72" s="215">
        <f>G72*F72/1000</f>
        <v>0.35851</v>
      </c>
      <c r="I72" s="21">
        <v>0</v>
      </c>
      <c r="J72" s="200"/>
      <c r="K72" s="201"/>
      <c r="L72" s="201"/>
      <c r="M72" s="201"/>
      <c r="N72" s="201"/>
      <c r="O72" s="201"/>
      <c r="P72" s="201"/>
      <c r="Q72" s="201"/>
      <c r="R72" s="201"/>
      <c r="S72" s="201"/>
      <c r="T72" s="205"/>
      <c r="U72" s="205"/>
    </row>
    <row r="73" spans="1:21" ht="15" hidden="1" customHeight="1">
      <c r="A73" s="231"/>
      <c r="B73" s="234" t="s">
        <v>91</v>
      </c>
      <c r="C73" s="253"/>
      <c r="D73" s="253"/>
      <c r="E73" s="27"/>
      <c r="F73" s="21"/>
      <c r="G73" s="21" t="s">
        <v>183</v>
      </c>
      <c r="H73" s="215" t="s">
        <v>183</v>
      </c>
      <c r="I73" s="21"/>
      <c r="J73" s="200"/>
      <c r="K73" s="201"/>
      <c r="L73" s="201"/>
      <c r="M73" s="201"/>
      <c r="N73" s="201"/>
      <c r="O73" s="201"/>
      <c r="P73" s="201"/>
      <c r="Q73" s="201"/>
      <c r="R73" s="201"/>
      <c r="S73" s="201"/>
      <c r="T73" s="205"/>
      <c r="U73" s="205"/>
    </row>
    <row r="74" spans="1:21" ht="15" hidden="1" customHeight="1">
      <c r="A74" s="25"/>
      <c r="B74" s="85" t="s">
        <v>92</v>
      </c>
      <c r="C74" s="25" t="s">
        <v>93</v>
      </c>
      <c r="D74" s="23"/>
      <c r="E74" s="27"/>
      <c r="F74" s="21">
        <v>1</v>
      </c>
      <c r="G74" s="21">
        <v>2579.44</v>
      </c>
      <c r="H74" s="215">
        <f t="shared" si="5"/>
        <v>2.57944</v>
      </c>
      <c r="I74" s="21">
        <v>0</v>
      </c>
      <c r="J74" s="200"/>
      <c r="K74" s="201"/>
      <c r="L74" s="201"/>
      <c r="M74" s="201"/>
      <c r="N74" s="201"/>
      <c r="O74" s="201"/>
      <c r="P74" s="201"/>
      <c r="Q74" s="201"/>
      <c r="R74" s="201"/>
      <c r="S74" s="201"/>
      <c r="T74" s="205"/>
      <c r="U74" s="205"/>
    </row>
    <row r="75" spans="1:21" ht="15" hidden="1" customHeight="1">
      <c r="A75" s="248"/>
      <c r="B75" s="188" t="s">
        <v>165</v>
      </c>
      <c r="C75" s="254"/>
      <c r="D75" s="254"/>
      <c r="E75" s="237"/>
      <c r="F75" s="21"/>
      <c r="G75" s="21"/>
      <c r="H75" s="215"/>
      <c r="I75" s="21"/>
      <c r="J75" s="200"/>
      <c r="K75" s="201"/>
      <c r="L75" s="201"/>
      <c r="M75" s="201"/>
      <c r="N75" s="201"/>
      <c r="O75" s="201"/>
      <c r="P75" s="201"/>
      <c r="Q75" s="201"/>
      <c r="R75" s="201"/>
      <c r="S75" s="201"/>
      <c r="T75" s="205"/>
      <c r="U75" s="205"/>
    </row>
    <row r="76" spans="1:21" ht="15" hidden="1" customHeight="1">
      <c r="A76" s="236"/>
      <c r="B76" s="252" t="s">
        <v>166</v>
      </c>
      <c r="C76" s="33"/>
      <c r="D76" s="32"/>
      <c r="E76" s="237"/>
      <c r="F76" s="21">
        <v>1</v>
      </c>
      <c r="G76" s="21">
        <v>20950</v>
      </c>
      <c r="H76" s="215">
        <f>G76*F76/1000</f>
        <v>20.95</v>
      </c>
      <c r="I76" s="21">
        <v>0</v>
      </c>
      <c r="J76" s="200"/>
      <c r="K76" s="201"/>
      <c r="L76" s="201"/>
      <c r="M76" s="201"/>
      <c r="N76" s="201"/>
      <c r="O76" s="201"/>
      <c r="P76" s="201"/>
      <c r="Q76" s="201"/>
      <c r="R76" s="201"/>
      <c r="S76" s="201"/>
      <c r="T76" s="205"/>
      <c r="U76" s="205"/>
    </row>
    <row r="77" spans="1:21" ht="15" customHeight="1">
      <c r="A77" s="274" t="s">
        <v>227</v>
      </c>
      <c r="B77" s="275"/>
      <c r="C77" s="275"/>
      <c r="D77" s="275"/>
      <c r="E77" s="275"/>
      <c r="F77" s="275"/>
      <c r="G77" s="275"/>
      <c r="H77" s="275"/>
      <c r="I77" s="276"/>
      <c r="J77" s="200"/>
      <c r="K77" s="201"/>
      <c r="L77" s="201"/>
      <c r="M77" s="201"/>
      <c r="N77" s="201"/>
      <c r="O77" s="201"/>
      <c r="P77" s="201"/>
      <c r="Q77" s="201"/>
      <c r="R77" s="201"/>
      <c r="S77" s="201"/>
      <c r="T77" s="205"/>
      <c r="U77" s="205"/>
    </row>
    <row r="78" spans="1:21" ht="15" customHeight="1">
      <c r="A78" s="25">
        <v>17</v>
      </c>
      <c r="B78" s="176" t="s">
        <v>207</v>
      </c>
      <c r="C78" s="25" t="s">
        <v>70</v>
      </c>
      <c r="D78" s="238"/>
      <c r="E78" s="21">
        <v>2549.5</v>
      </c>
      <c r="F78" s="21">
        <f>SUM(E78*12)</f>
        <v>30594</v>
      </c>
      <c r="G78" s="21">
        <v>2.1</v>
      </c>
      <c r="H78" s="215">
        <f>SUM(F78*G78/1000)</f>
        <v>64.247399999999999</v>
      </c>
      <c r="I78" s="21">
        <f>F78/12*G78</f>
        <v>5353.95</v>
      </c>
      <c r="J78" s="200"/>
      <c r="K78" s="201"/>
      <c r="L78" s="201"/>
      <c r="M78" s="201"/>
      <c r="N78" s="201"/>
      <c r="O78" s="201"/>
      <c r="P78" s="201"/>
      <c r="Q78" s="201"/>
      <c r="R78" s="201"/>
      <c r="S78" s="201"/>
      <c r="T78" s="205"/>
      <c r="U78" s="205"/>
    </row>
    <row r="79" spans="1:21" ht="30" customHeight="1">
      <c r="A79" s="255">
        <v>18</v>
      </c>
      <c r="B79" s="23" t="s">
        <v>94</v>
      </c>
      <c r="C79" s="25"/>
      <c r="D79" s="85"/>
      <c r="E79" s="212">
        <f>E78</f>
        <v>2549.5</v>
      </c>
      <c r="F79" s="21">
        <f>E79*12</f>
        <v>30594</v>
      </c>
      <c r="G79" s="21">
        <v>1.63</v>
      </c>
      <c r="H79" s="215">
        <f>F79*G79/1000</f>
        <v>49.868219999999994</v>
      </c>
      <c r="I79" s="21">
        <f>F79/12*G79</f>
        <v>4155.6849999999995</v>
      </c>
      <c r="J79" s="200"/>
      <c r="K79" s="201"/>
      <c r="L79" s="201"/>
      <c r="M79" s="201"/>
      <c r="N79" s="201"/>
      <c r="O79" s="201"/>
      <c r="P79" s="201"/>
      <c r="Q79" s="201"/>
      <c r="R79" s="201"/>
      <c r="S79" s="201"/>
      <c r="T79" s="205"/>
      <c r="U79" s="205"/>
    </row>
    <row r="80" spans="1:21" ht="15" customHeight="1">
      <c r="A80" s="239"/>
      <c r="B80" s="73" t="s">
        <v>99</v>
      </c>
      <c r="C80" s="234"/>
      <c r="D80" s="233"/>
      <c r="E80" s="235"/>
      <c r="F80" s="235"/>
      <c r="G80" s="235"/>
      <c r="H80" s="222">
        <f>H79</f>
        <v>49.868219999999994</v>
      </c>
      <c r="I80" s="235">
        <f>I15+I16+I17+I25+I26+I35+I36+I37+I38+I39+I40+I41+I42+I53+I54+I57+I78+I79</f>
        <v>61881.723993516673</v>
      </c>
      <c r="J80" s="202"/>
      <c r="K80" s="203"/>
      <c r="L80" s="203"/>
      <c r="M80" s="203"/>
      <c r="N80" s="203"/>
      <c r="O80" s="203"/>
      <c r="P80" s="203"/>
      <c r="Q80" s="203"/>
      <c r="R80" s="203"/>
      <c r="S80" s="203"/>
      <c r="T80" s="205"/>
      <c r="U80" s="205"/>
    </row>
    <row r="81" spans="1:22" ht="15" customHeight="1">
      <c r="A81" s="239"/>
      <c r="B81" s="145" t="s">
        <v>75</v>
      </c>
      <c r="C81" s="25"/>
      <c r="D81" s="85"/>
      <c r="E81" s="21"/>
      <c r="F81" s="21"/>
      <c r="G81" s="21"/>
      <c r="H81" s="222" t="e">
        <f>SUM(H80+#REF!+#REF!+#REF!+#REF!+#REF!+#REF!)</f>
        <v>#REF!</v>
      </c>
      <c r="I81" s="21"/>
      <c r="J81" s="200"/>
      <c r="K81" s="201"/>
      <c r="L81" s="201"/>
      <c r="M81" s="201"/>
      <c r="N81" s="201"/>
      <c r="O81" s="201"/>
      <c r="P81" s="201"/>
      <c r="Q81" s="201"/>
      <c r="R81" s="201"/>
      <c r="S81" s="201"/>
      <c r="T81" s="205"/>
      <c r="U81" s="205"/>
    </row>
    <row r="82" spans="1:22" ht="15" customHeight="1">
      <c r="A82" s="240">
        <v>19</v>
      </c>
      <c r="B82" s="146" t="s">
        <v>211</v>
      </c>
      <c r="C82" s="240" t="s">
        <v>107</v>
      </c>
      <c r="D82" s="23"/>
      <c r="E82" s="27"/>
      <c r="F82" s="21">
        <v>3</v>
      </c>
      <c r="G82" s="21">
        <v>185.81</v>
      </c>
      <c r="H82" s="215">
        <f t="shared" ref="H82:H85" si="6">G82*F82/1000</f>
        <v>0.55743000000000009</v>
      </c>
      <c r="I82" s="260">
        <f>G82</f>
        <v>185.81</v>
      </c>
      <c r="J82" s="200"/>
      <c r="K82" s="201"/>
      <c r="L82" s="201"/>
      <c r="M82" s="201"/>
      <c r="N82" s="201"/>
      <c r="O82" s="201"/>
      <c r="P82" s="201"/>
      <c r="Q82" s="201"/>
      <c r="R82" s="201"/>
      <c r="S82" s="201"/>
      <c r="T82" s="205"/>
      <c r="U82" s="205"/>
    </row>
    <row r="83" spans="1:22" ht="30" customHeight="1">
      <c r="A83" s="240">
        <v>20</v>
      </c>
      <c r="B83" s="146" t="s">
        <v>172</v>
      </c>
      <c r="C83" s="240" t="s">
        <v>46</v>
      </c>
      <c r="D83" s="23"/>
      <c r="E83" s="27"/>
      <c r="F83" s="21">
        <f>6/100</f>
        <v>0.06</v>
      </c>
      <c r="G83" s="21">
        <v>3397.65</v>
      </c>
      <c r="H83" s="215">
        <f t="shared" si="6"/>
        <v>0.20385900000000001</v>
      </c>
      <c r="I83" s="260">
        <f>G83*0.01</f>
        <v>33.976500000000001</v>
      </c>
      <c r="J83" s="200"/>
      <c r="K83" s="201"/>
      <c r="L83" s="201"/>
      <c r="M83" s="201"/>
      <c r="N83" s="201"/>
      <c r="O83" s="201"/>
      <c r="P83" s="201"/>
      <c r="Q83" s="201"/>
      <c r="R83" s="201"/>
      <c r="S83" s="201"/>
      <c r="T83" s="205"/>
      <c r="U83" s="205"/>
    </row>
    <row r="84" spans="1:22" ht="30" customHeight="1">
      <c r="A84" s="240">
        <v>21</v>
      </c>
      <c r="B84" s="146" t="s">
        <v>213</v>
      </c>
      <c r="C84" s="240" t="s">
        <v>101</v>
      </c>
      <c r="D84" s="23"/>
      <c r="E84" s="27"/>
      <c r="F84" s="21">
        <v>8</v>
      </c>
      <c r="G84" s="21">
        <v>1187</v>
      </c>
      <c r="H84" s="215">
        <f t="shared" si="6"/>
        <v>9.4960000000000004</v>
      </c>
      <c r="I84" s="260">
        <f>G84*6</f>
        <v>7122</v>
      </c>
      <c r="J84" s="200"/>
      <c r="K84" s="201"/>
      <c r="L84" s="201"/>
      <c r="M84" s="201"/>
      <c r="N84" s="201"/>
      <c r="O84" s="201"/>
      <c r="P84" s="201"/>
      <c r="Q84" s="201"/>
      <c r="R84" s="201"/>
      <c r="S84" s="201"/>
      <c r="T84" s="205"/>
      <c r="U84" s="205"/>
    </row>
    <row r="85" spans="1:22" ht="15" customHeight="1">
      <c r="A85" s="240">
        <v>22</v>
      </c>
      <c r="B85" s="146" t="s">
        <v>173</v>
      </c>
      <c r="C85" s="240" t="s">
        <v>174</v>
      </c>
      <c r="D85" s="23"/>
      <c r="E85" s="27"/>
      <c r="F85" s="21">
        <f>1/100</f>
        <v>0.01</v>
      </c>
      <c r="G85" s="21">
        <v>7033.13</v>
      </c>
      <c r="H85" s="215">
        <f t="shared" si="6"/>
        <v>7.0331299999999999E-2</v>
      </c>
      <c r="I85" s="260">
        <f t="shared" ref="I85" si="7">G85*0.01</f>
        <v>70.331299999999999</v>
      </c>
      <c r="J85" s="200"/>
      <c r="K85" s="201"/>
      <c r="L85" s="201"/>
      <c r="M85" s="201"/>
      <c r="N85" s="201"/>
      <c r="O85" s="201"/>
      <c r="P85" s="201"/>
      <c r="Q85" s="201"/>
      <c r="R85" s="201"/>
      <c r="S85" s="201"/>
      <c r="T85" s="205"/>
      <c r="U85" s="205"/>
    </row>
    <row r="86" spans="1:22" ht="30" customHeight="1">
      <c r="A86" s="241">
        <v>23</v>
      </c>
      <c r="B86" s="146" t="s">
        <v>98</v>
      </c>
      <c r="C86" s="240" t="s">
        <v>159</v>
      </c>
      <c r="D86" s="23"/>
      <c r="E86" s="27"/>
      <c r="F86" s="21">
        <v>1</v>
      </c>
      <c r="G86" s="21">
        <v>79.09</v>
      </c>
      <c r="H86" s="215">
        <f>G86*F86/1000</f>
        <v>7.9090000000000008E-2</v>
      </c>
      <c r="I86" s="260">
        <f>G86</f>
        <v>79.09</v>
      </c>
      <c r="J86" s="200"/>
      <c r="K86" s="201"/>
      <c r="L86" s="201"/>
      <c r="M86" s="201"/>
      <c r="N86" s="201"/>
      <c r="O86" s="201"/>
      <c r="P86" s="201"/>
      <c r="Q86" s="201"/>
      <c r="R86" s="201"/>
      <c r="S86" s="201"/>
      <c r="T86" s="205"/>
      <c r="U86" s="205"/>
    </row>
    <row r="87" spans="1:22" ht="15" customHeight="1">
      <c r="A87" s="25"/>
      <c r="B87" s="247" t="s">
        <v>216</v>
      </c>
      <c r="C87" s="246"/>
      <c r="D87" s="246"/>
      <c r="E87" s="21"/>
      <c r="F87" s="21"/>
      <c r="G87" s="21"/>
      <c r="H87" s="222">
        <f>SUM(H82:H86)</f>
        <v>10.4067103</v>
      </c>
      <c r="I87" s="235">
        <f>SUM(I82:I86)</f>
        <v>7491.2078000000001</v>
      </c>
      <c r="J87" s="200"/>
      <c r="K87" s="201"/>
      <c r="L87" s="201"/>
      <c r="M87" s="201"/>
      <c r="N87" s="201"/>
      <c r="O87" s="201"/>
      <c r="P87" s="201"/>
      <c r="Q87" s="201"/>
      <c r="R87" s="201"/>
      <c r="S87" s="201"/>
      <c r="T87" s="205"/>
      <c r="U87" s="205"/>
    </row>
    <row r="88" spans="1:22" ht="15" customHeight="1">
      <c r="A88" s="51"/>
      <c r="B88" s="85" t="s">
        <v>95</v>
      </c>
      <c r="C88" s="24"/>
      <c r="D88" s="24"/>
      <c r="E88" s="77"/>
      <c r="F88" s="77"/>
      <c r="G88" s="78"/>
      <c r="H88" s="78"/>
      <c r="I88" s="26">
        <v>0</v>
      </c>
      <c r="J88" s="204"/>
      <c r="K88" s="205"/>
      <c r="L88" s="29"/>
      <c r="M88" s="30"/>
      <c r="N88" s="31"/>
      <c r="O88" s="205"/>
      <c r="P88" s="205"/>
      <c r="Q88" s="205"/>
      <c r="R88" s="205"/>
      <c r="S88" s="205"/>
      <c r="T88" s="205"/>
      <c r="U88" s="205"/>
    </row>
    <row r="89" spans="1:22" ht="15" customHeight="1">
      <c r="A89" s="51"/>
      <c r="B89" s="81" t="s">
        <v>64</v>
      </c>
      <c r="C89" s="24"/>
      <c r="D89" s="24"/>
      <c r="E89" s="77"/>
      <c r="F89" s="77"/>
      <c r="G89" s="78"/>
      <c r="H89" s="78"/>
      <c r="I89" s="79">
        <f>I80+I87</f>
        <v>69372.931793516676</v>
      </c>
      <c r="J89" s="204"/>
      <c r="K89" s="205"/>
      <c r="L89" s="29"/>
      <c r="M89" s="30"/>
      <c r="N89" s="31"/>
      <c r="O89" s="205"/>
      <c r="P89" s="205"/>
      <c r="Q89" s="205"/>
      <c r="R89" s="205"/>
      <c r="S89" s="205"/>
      <c r="T89" s="205"/>
      <c r="U89" s="205"/>
    </row>
    <row r="90" spans="1:22" ht="15.75">
      <c r="A90" s="263" t="s">
        <v>233</v>
      </c>
      <c r="B90" s="263"/>
      <c r="C90" s="263"/>
      <c r="D90" s="263"/>
      <c r="E90" s="263"/>
      <c r="F90" s="263"/>
      <c r="G90" s="263"/>
      <c r="H90" s="263"/>
      <c r="I90" s="263"/>
      <c r="J90" s="205"/>
      <c r="K90" s="205"/>
      <c r="L90" s="205"/>
      <c r="M90" s="205"/>
      <c r="N90" s="205"/>
      <c r="O90" s="205"/>
      <c r="P90" s="205"/>
      <c r="Q90" s="205"/>
      <c r="R90" s="205"/>
      <c r="S90" s="205"/>
      <c r="T90" s="205"/>
      <c r="U90" s="205"/>
    </row>
    <row r="91" spans="1:22" ht="15.75">
      <c r="A91" s="13"/>
      <c r="B91" s="264" t="s">
        <v>234</v>
      </c>
      <c r="C91" s="264"/>
      <c r="D91" s="264"/>
      <c r="E91" s="264"/>
      <c r="F91" s="264"/>
      <c r="G91" s="264"/>
      <c r="H91" s="186"/>
      <c r="I91" s="4"/>
      <c r="J91" s="205"/>
      <c r="K91" s="205"/>
      <c r="L91" s="205"/>
      <c r="M91" s="205"/>
      <c r="N91" s="205"/>
      <c r="O91" s="205"/>
      <c r="P91" s="205"/>
      <c r="Q91" s="205"/>
      <c r="R91" s="205"/>
      <c r="S91" s="205"/>
      <c r="T91" s="205"/>
      <c r="U91" s="205"/>
    </row>
    <row r="92" spans="1:22" ht="15.75">
      <c r="A92" s="187"/>
      <c r="B92" s="280" t="s">
        <v>7</v>
      </c>
      <c r="C92" s="280"/>
      <c r="D92" s="280"/>
      <c r="E92" s="280"/>
      <c r="F92" s="280"/>
      <c r="G92" s="280"/>
      <c r="H92" s="199"/>
      <c r="I92" s="123"/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</row>
    <row r="93" spans="1:22" ht="15.75" customHeight="1">
      <c r="A93" s="124"/>
      <c r="B93" s="124"/>
      <c r="C93" s="124"/>
      <c r="D93" s="124"/>
      <c r="E93" s="124"/>
      <c r="F93" s="124"/>
      <c r="G93" s="124"/>
      <c r="H93" s="124"/>
      <c r="I93" s="124"/>
      <c r="J93" s="4"/>
      <c r="K93" s="4"/>
      <c r="L93" s="4"/>
      <c r="M93" s="4"/>
      <c r="N93" s="4"/>
      <c r="O93" s="4"/>
      <c r="P93" s="4"/>
      <c r="Q93" s="206"/>
      <c r="R93" s="206"/>
      <c r="S93" s="206"/>
      <c r="T93" s="206"/>
      <c r="U93" s="206"/>
      <c r="V93" s="12"/>
    </row>
    <row r="94" spans="1:22" ht="15.75" customHeight="1">
      <c r="A94" s="281" t="s">
        <v>8</v>
      </c>
      <c r="B94" s="281"/>
      <c r="C94" s="281"/>
      <c r="D94" s="281"/>
      <c r="E94" s="281"/>
      <c r="F94" s="281"/>
      <c r="G94" s="281"/>
      <c r="H94" s="281"/>
      <c r="I94" s="281"/>
      <c r="J94" s="43"/>
      <c r="K94" s="43"/>
      <c r="L94" s="4"/>
      <c r="M94" s="4"/>
      <c r="N94" s="4"/>
      <c r="O94" s="4"/>
      <c r="P94" s="4"/>
      <c r="Q94" s="206"/>
      <c r="R94" s="206"/>
      <c r="S94" s="206"/>
      <c r="T94" s="206"/>
      <c r="U94" s="206"/>
    </row>
    <row r="95" spans="1:22" ht="15.75">
      <c r="A95" s="281" t="s">
        <v>9</v>
      </c>
      <c r="B95" s="281"/>
      <c r="C95" s="281"/>
      <c r="D95" s="281"/>
      <c r="E95" s="281"/>
      <c r="F95" s="281"/>
      <c r="G95" s="281"/>
      <c r="H95" s="281"/>
      <c r="I95" s="281"/>
      <c r="J95" s="4"/>
      <c r="K95" s="4"/>
      <c r="L95" s="4"/>
      <c r="M95" s="4"/>
      <c r="N95" s="4"/>
      <c r="O95" s="4"/>
      <c r="P95" s="4"/>
      <c r="Q95" s="206"/>
      <c r="R95" s="205"/>
      <c r="S95" s="206"/>
      <c r="T95" s="206"/>
      <c r="U95" s="206"/>
    </row>
    <row r="96" spans="1:22" ht="15.75">
      <c r="A96" s="263" t="s">
        <v>10</v>
      </c>
      <c r="B96" s="263"/>
      <c r="C96" s="263"/>
      <c r="D96" s="263"/>
      <c r="E96" s="263"/>
      <c r="F96" s="263"/>
      <c r="G96" s="263"/>
      <c r="H96" s="263"/>
      <c r="I96" s="263"/>
      <c r="J96" s="6"/>
      <c r="K96" s="6"/>
      <c r="L96" s="6"/>
      <c r="M96" s="6"/>
      <c r="N96" s="6"/>
      <c r="O96" s="6"/>
      <c r="P96" s="6"/>
      <c r="Q96" s="207"/>
      <c r="R96" s="261"/>
      <c r="S96" s="261"/>
      <c r="T96" s="261"/>
      <c r="U96" s="261"/>
    </row>
    <row r="97" spans="1:21" ht="15.75">
      <c r="A97" s="15"/>
      <c r="B97" s="121"/>
      <c r="C97" s="121"/>
      <c r="D97" s="121"/>
      <c r="E97" s="121"/>
      <c r="F97" s="121"/>
      <c r="G97" s="121"/>
      <c r="H97" s="121"/>
      <c r="I97" s="121"/>
      <c r="J97" s="14"/>
      <c r="K97" s="14"/>
      <c r="L97" s="14"/>
      <c r="M97" s="14"/>
      <c r="N97" s="14"/>
      <c r="O97" s="14"/>
      <c r="P97" s="14"/>
      <c r="Q97" s="208"/>
      <c r="R97" s="208"/>
      <c r="S97" s="208"/>
      <c r="T97" s="208"/>
      <c r="U97" s="208"/>
    </row>
    <row r="98" spans="1:21" ht="15.75">
      <c r="A98" s="15"/>
      <c r="B98" s="121"/>
      <c r="C98" s="121"/>
      <c r="D98" s="121"/>
      <c r="E98" s="121"/>
      <c r="F98" s="121"/>
      <c r="G98" s="121"/>
      <c r="H98" s="121"/>
      <c r="I98" s="121"/>
    </row>
    <row r="99" spans="1:21" ht="15.75">
      <c r="A99" s="262" t="s">
        <v>11</v>
      </c>
      <c r="B99" s="262"/>
      <c r="C99" s="262"/>
      <c r="D99" s="262"/>
      <c r="E99" s="262"/>
      <c r="F99" s="262"/>
      <c r="G99" s="262"/>
      <c r="H99" s="262"/>
      <c r="I99" s="262"/>
    </row>
    <row r="100" spans="1:21" ht="15.75" customHeight="1">
      <c r="A100" s="5"/>
    </row>
    <row r="101" spans="1:21" ht="15.75">
      <c r="A101" s="263" t="s">
        <v>12</v>
      </c>
      <c r="B101" s="263"/>
      <c r="C101" s="287" t="s">
        <v>133</v>
      </c>
      <c r="D101" s="287"/>
      <c r="E101" s="287"/>
      <c r="F101" s="197"/>
      <c r="I101" s="185"/>
    </row>
    <row r="102" spans="1:21">
      <c r="A102" s="183"/>
      <c r="C102" s="277" t="s">
        <v>13</v>
      </c>
      <c r="D102" s="277"/>
      <c r="E102" s="277"/>
      <c r="F102" s="42"/>
      <c r="I102" s="184" t="s">
        <v>14</v>
      </c>
    </row>
    <row r="103" spans="1:21" ht="15.75">
      <c r="A103" s="43"/>
      <c r="C103" s="16"/>
      <c r="D103" s="16"/>
      <c r="G103" s="16"/>
      <c r="H103" s="16"/>
    </row>
    <row r="104" spans="1:21" ht="15.75" customHeight="1">
      <c r="A104" s="263" t="s">
        <v>15</v>
      </c>
      <c r="B104" s="263"/>
      <c r="C104" s="278"/>
      <c r="D104" s="278"/>
      <c r="E104" s="278"/>
      <c r="F104" s="198"/>
      <c r="I104" s="185"/>
    </row>
    <row r="105" spans="1:21">
      <c r="A105" s="183"/>
      <c r="C105" s="279" t="s">
        <v>13</v>
      </c>
      <c r="D105" s="279"/>
      <c r="E105" s="279"/>
      <c r="F105" s="183"/>
      <c r="I105" s="184" t="s">
        <v>14</v>
      </c>
    </row>
    <row r="106" spans="1:21" ht="15.75">
      <c r="A106" s="5" t="s">
        <v>16</v>
      </c>
    </row>
    <row r="107" spans="1:21">
      <c r="A107" s="288" t="s">
        <v>17</v>
      </c>
      <c r="B107" s="288"/>
      <c r="C107" s="288"/>
      <c r="D107" s="288"/>
      <c r="E107" s="288"/>
      <c r="F107" s="288"/>
      <c r="G107" s="288"/>
      <c r="H107" s="288"/>
      <c r="I107" s="288"/>
    </row>
    <row r="108" spans="1:21" ht="47.25" customHeight="1">
      <c r="A108" s="289" t="s">
        <v>18</v>
      </c>
      <c r="B108" s="289"/>
      <c r="C108" s="289"/>
      <c r="D108" s="289"/>
      <c r="E108" s="289"/>
      <c r="F108" s="289"/>
      <c r="G108" s="289"/>
      <c r="H108" s="289"/>
      <c r="I108" s="289"/>
    </row>
    <row r="109" spans="1:21" ht="31.5" customHeight="1">
      <c r="A109" s="289" t="s">
        <v>19</v>
      </c>
      <c r="B109" s="289"/>
      <c r="C109" s="289"/>
      <c r="D109" s="289"/>
      <c r="E109" s="289"/>
      <c r="F109" s="289"/>
      <c r="G109" s="289"/>
      <c r="H109" s="289"/>
      <c r="I109" s="289"/>
    </row>
    <row r="110" spans="1:21" ht="31.5" customHeight="1">
      <c r="A110" s="289" t="s">
        <v>24</v>
      </c>
      <c r="B110" s="289"/>
      <c r="C110" s="289"/>
      <c r="D110" s="289"/>
      <c r="E110" s="289"/>
      <c r="F110" s="289"/>
      <c r="G110" s="289"/>
      <c r="H110" s="289"/>
      <c r="I110" s="289"/>
    </row>
    <row r="111" spans="1:21" ht="15.75">
      <c r="A111" s="289" t="s">
        <v>23</v>
      </c>
      <c r="B111" s="289"/>
      <c r="C111" s="289"/>
      <c r="D111" s="289"/>
      <c r="E111" s="289"/>
      <c r="F111" s="289"/>
      <c r="G111" s="289"/>
      <c r="H111" s="289"/>
      <c r="I111" s="289"/>
    </row>
  </sheetData>
  <autoFilter ref="I14:I91"/>
  <mergeCells count="30">
    <mergeCell ref="A111:I111"/>
    <mergeCell ref="A99:I99"/>
    <mergeCell ref="A101:B101"/>
    <mergeCell ref="C101:E101"/>
    <mergeCell ref="C102:E102"/>
    <mergeCell ref="A104:B104"/>
    <mergeCell ref="C104:E104"/>
    <mergeCell ref="C105:E105"/>
    <mergeCell ref="A107:I107"/>
    <mergeCell ref="A108:I108"/>
    <mergeCell ref="A109:I109"/>
    <mergeCell ref="A110:I110"/>
    <mergeCell ref="R96:U96"/>
    <mergeCell ref="A27:I27"/>
    <mergeCell ref="A34:I34"/>
    <mergeCell ref="A43:I43"/>
    <mergeCell ref="A55:I55"/>
    <mergeCell ref="A77:I77"/>
    <mergeCell ref="A90:I90"/>
    <mergeCell ref="B91:G91"/>
    <mergeCell ref="B92:G92"/>
    <mergeCell ref="A94:I94"/>
    <mergeCell ref="A95:I95"/>
    <mergeCell ref="A96:I96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8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21" ht="15.75" customHeight="1">
      <c r="B1" s="57" t="s">
        <v>113</v>
      </c>
      <c r="I1" s="56"/>
    </row>
    <row r="2" spans="1:21" ht="15.75" customHeight="1">
      <c r="B2" s="46" t="s">
        <v>77</v>
      </c>
      <c r="J2" s="1"/>
      <c r="K2" s="1"/>
      <c r="L2" s="1"/>
      <c r="M2" s="1"/>
    </row>
    <row r="3" spans="1:21" ht="15.75" customHeight="1">
      <c r="A3" s="265" t="s">
        <v>235</v>
      </c>
      <c r="B3" s="265"/>
      <c r="C3" s="265"/>
      <c r="D3" s="265"/>
      <c r="E3" s="265"/>
      <c r="F3" s="265"/>
      <c r="G3" s="265"/>
      <c r="H3" s="265"/>
      <c r="I3" s="265"/>
      <c r="J3" s="2"/>
      <c r="K3" s="2"/>
      <c r="L3" s="2"/>
      <c r="M3" s="2"/>
    </row>
    <row r="4" spans="1:21" ht="33.75" customHeight="1">
      <c r="A4" s="266" t="s">
        <v>142</v>
      </c>
      <c r="B4" s="266"/>
      <c r="C4" s="266"/>
      <c r="D4" s="266"/>
      <c r="E4" s="266"/>
      <c r="F4" s="266"/>
      <c r="G4" s="266"/>
      <c r="H4" s="266"/>
      <c r="I4" s="266"/>
      <c r="J4" s="3"/>
      <c r="K4" s="3"/>
      <c r="L4" s="3"/>
      <c r="M4" s="3"/>
    </row>
    <row r="5" spans="1:21" ht="15.75" customHeight="1">
      <c r="A5" s="267" t="s">
        <v>105</v>
      </c>
      <c r="B5" s="268"/>
      <c r="C5" s="268"/>
      <c r="D5" s="268"/>
      <c r="E5" s="268"/>
      <c r="F5" s="268"/>
      <c r="G5" s="268"/>
      <c r="H5" s="268"/>
      <c r="I5" s="268"/>
      <c r="J5" s="4"/>
      <c r="K5" s="4"/>
      <c r="L5" s="4"/>
    </row>
    <row r="6" spans="1:21" ht="15.75" customHeight="1">
      <c r="A6" s="3"/>
      <c r="B6" s="181"/>
      <c r="C6" s="181"/>
      <c r="D6" s="181"/>
      <c r="E6" s="181"/>
      <c r="F6" s="181"/>
      <c r="G6" s="181"/>
      <c r="H6" s="181"/>
      <c r="I6" s="256">
        <v>42521</v>
      </c>
    </row>
    <row r="7" spans="1:21" ht="15.75">
      <c r="B7" s="182"/>
      <c r="C7" s="182"/>
      <c r="D7" s="182"/>
      <c r="E7" s="4"/>
      <c r="F7" s="4"/>
      <c r="G7" s="4"/>
      <c r="H7" s="4"/>
      <c r="J7" s="3"/>
      <c r="K7" s="3"/>
      <c r="L7" s="3"/>
      <c r="M7" s="3"/>
    </row>
    <row r="8" spans="1:21" ht="78.75" customHeight="1">
      <c r="A8" s="269" t="s">
        <v>275</v>
      </c>
      <c r="B8" s="269"/>
      <c r="C8" s="269"/>
      <c r="D8" s="269"/>
      <c r="E8" s="269"/>
      <c r="F8" s="269"/>
      <c r="G8" s="269"/>
      <c r="H8" s="269"/>
      <c r="I8" s="269"/>
      <c r="J8" s="3"/>
      <c r="K8" s="3"/>
      <c r="L8" s="3"/>
      <c r="M8" s="3"/>
    </row>
    <row r="9" spans="1:21" ht="15.75">
      <c r="A9" s="5"/>
      <c r="J9" s="4"/>
      <c r="K9" s="4"/>
      <c r="L9" s="4"/>
      <c r="M9" s="4"/>
    </row>
    <row r="10" spans="1:21" ht="47.25" customHeight="1">
      <c r="A10" s="270" t="s">
        <v>144</v>
      </c>
      <c r="B10" s="270"/>
      <c r="C10" s="270"/>
      <c r="D10" s="270"/>
      <c r="E10" s="270"/>
      <c r="F10" s="270"/>
      <c r="G10" s="270"/>
      <c r="H10" s="270"/>
      <c r="I10" s="270"/>
      <c r="J10" s="6"/>
      <c r="K10" s="6"/>
      <c r="L10" s="6"/>
      <c r="M10" s="6"/>
    </row>
    <row r="11" spans="1:21" ht="15.75" customHeight="1">
      <c r="A11" s="5"/>
      <c r="J11" s="3"/>
      <c r="K11" s="3"/>
      <c r="L11" s="3"/>
      <c r="M11" s="3"/>
    </row>
    <row r="12" spans="1:21" ht="51">
      <c r="A12" s="7" t="s">
        <v>0</v>
      </c>
      <c r="B12" s="7" t="s">
        <v>1</v>
      </c>
      <c r="C12" s="7" t="s">
        <v>2</v>
      </c>
      <c r="D12" s="7" t="s">
        <v>20</v>
      </c>
      <c r="E12" s="7" t="s">
        <v>21</v>
      </c>
      <c r="F12" s="7"/>
      <c r="G12" s="7" t="s">
        <v>25</v>
      </c>
      <c r="H12" s="7"/>
      <c r="I12" s="7" t="s">
        <v>3</v>
      </c>
      <c r="J12" s="4"/>
    </row>
    <row r="13" spans="1:21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21">
      <c r="A14" s="271" t="s">
        <v>4</v>
      </c>
      <c r="B14" s="272"/>
      <c r="C14" s="272"/>
      <c r="D14" s="272"/>
      <c r="E14" s="272"/>
      <c r="F14" s="272"/>
      <c r="G14" s="272"/>
      <c r="H14" s="272"/>
      <c r="I14" s="273"/>
      <c r="Q14" s="205"/>
      <c r="R14" s="205"/>
      <c r="S14" s="205"/>
      <c r="T14" s="205"/>
      <c r="U14" s="205"/>
    </row>
    <row r="15" spans="1:21" ht="30" customHeight="1">
      <c r="A15" s="210">
        <v>1</v>
      </c>
      <c r="B15" s="176" t="s">
        <v>117</v>
      </c>
      <c r="C15" s="211" t="s">
        <v>145</v>
      </c>
      <c r="D15" s="176" t="s">
        <v>180</v>
      </c>
      <c r="E15" s="212">
        <v>70.900000000000006</v>
      </c>
      <c r="F15" s="213">
        <f>SUM(E15*156/100)</f>
        <v>110.60400000000001</v>
      </c>
      <c r="G15" s="213">
        <v>175.38</v>
      </c>
      <c r="H15" s="214">
        <f t="shared" ref="H15:H24" si="0">SUM(F15*G15/1000)</f>
        <v>19.397729520000002</v>
      </c>
      <c r="I15" s="21">
        <f>F15/12*G15</f>
        <v>1616.4774600000001</v>
      </c>
      <c r="J15" s="200"/>
      <c r="K15" s="201"/>
      <c r="L15" s="201"/>
      <c r="M15" s="201"/>
      <c r="N15" s="201"/>
      <c r="O15" s="201"/>
      <c r="P15" s="201"/>
      <c r="Q15" s="201"/>
      <c r="R15" s="201"/>
      <c r="S15" s="201"/>
      <c r="T15" s="205"/>
      <c r="U15" s="205"/>
    </row>
    <row r="16" spans="1:21" ht="30" customHeight="1">
      <c r="A16" s="210">
        <v>2</v>
      </c>
      <c r="B16" s="176" t="s">
        <v>118</v>
      </c>
      <c r="C16" s="211" t="s">
        <v>145</v>
      </c>
      <c r="D16" s="176" t="s">
        <v>181</v>
      </c>
      <c r="E16" s="212">
        <v>212.7</v>
      </c>
      <c r="F16" s="213">
        <f>SUM(E16*104/100)</f>
        <v>221.208</v>
      </c>
      <c r="G16" s="213">
        <v>175.38</v>
      </c>
      <c r="H16" s="214">
        <f t="shared" si="0"/>
        <v>38.795459040000004</v>
      </c>
      <c r="I16" s="21">
        <f>F16/12*G16</f>
        <v>3232.9549200000001</v>
      </c>
      <c r="J16" s="200"/>
      <c r="K16" s="201"/>
      <c r="L16" s="201"/>
      <c r="M16" s="201"/>
      <c r="N16" s="201"/>
      <c r="O16" s="201"/>
      <c r="P16" s="201"/>
      <c r="Q16" s="201"/>
      <c r="R16" s="201"/>
      <c r="S16" s="201"/>
      <c r="T16" s="205"/>
      <c r="U16" s="205"/>
    </row>
    <row r="17" spans="1:21" ht="30" customHeight="1">
      <c r="A17" s="210">
        <v>3</v>
      </c>
      <c r="B17" s="176" t="s">
        <v>119</v>
      </c>
      <c r="C17" s="211" t="s">
        <v>145</v>
      </c>
      <c r="D17" s="176" t="s">
        <v>217</v>
      </c>
      <c r="E17" s="212">
        <f>SUM(E15+E16)</f>
        <v>283.60000000000002</v>
      </c>
      <c r="F17" s="213">
        <f>SUM(E17*24/100)</f>
        <v>68.064000000000007</v>
      </c>
      <c r="G17" s="213">
        <v>504.5</v>
      </c>
      <c r="H17" s="214">
        <f t="shared" si="0"/>
        <v>34.338287999999999</v>
      </c>
      <c r="I17" s="21">
        <f>F17/12*G17</f>
        <v>2861.5240000000003</v>
      </c>
      <c r="J17" s="200"/>
      <c r="K17" s="201"/>
      <c r="L17" s="201"/>
      <c r="M17" s="201"/>
      <c r="N17" s="201"/>
      <c r="O17" s="201"/>
      <c r="P17" s="201"/>
      <c r="Q17" s="201"/>
      <c r="R17" s="201"/>
      <c r="S17" s="201"/>
      <c r="T17" s="205"/>
      <c r="U17" s="205"/>
    </row>
    <row r="18" spans="1:21">
      <c r="A18" s="210">
        <v>4</v>
      </c>
      <c r="B18" s="176" t="s">
        <v>149</v>
      </c>
      <c r="C18" s="211" t="s">
        <v>150</v>
      </c>
      <c r="D18" s="176" t="s">
        <v>151</v>
      </c>
      <c r="E18" s="212">
        <v>40</v>
      </c>
      <c r="F18" s="213">
        <f>SUM(E18/10)</f>
        <v>4</v>
      </c>
      <c r="G18" s="213">
        <v>170.16</v>
      </c>
      <c r="H18" s="214">
        <f t="shared" si="0"/>
        <v>0.68064000000000002</v>
      </c>
      <c r="I18" s="21">
        <f>F18/2*G18</f>
        <v>340.32</v>
      </c>
      <c r="J18" s="200"/>
      <c r="K18" s="201"/>
      <c r="L18" s="201"/>
      <c r="M18" s="201"/>
      <c r="N18" s="201"/>
      <c r="O18" s="201"/>
      <c r="P18" s="201"/>
      <c r="Q18" s="201"/>
      <c r="R18" s="201"/>
      <c r="S18" s="201"/>
      <c r="T18" s="205"/>
      <c r="U18" s="205"/>
    </row>
    <row r="19" spans="1:21">
      <c r="A19" s="210">
        <v>5</v>
      </c>
      <c r="B19" s="176" t="s">
        <v>152</v>
      </c>
      <c r="C19" s="211" t="s">
        <v>145</v>
      </c>
      <c r="D19" s="176" t="s">
        <v>66</v>
      </c>
      <c r="E19" s="212">
        <v>10.5</v>
      </c>
      <c r="F19" s="213">
        <f t="shared" ref="F19:F24" si="1">SUM(E19/100)</f>
        <v>0.105</v>
      </c>
      <c r="G19" s="213">
        <v>217.88</v>
      </c>
      <c r="H19" s="214">
        <f t="shared" si="0"/>
        <v>2.2877399999999999E-2</v>
      </c>
      <c r="I19" s="21">
        <f t="shared" ref="I19:I24" si="2">F19*G19</f>
        <v>22.877399999999998</v>
      </c>
      <c r="J19" s="200"/>
      <c r="K19" s="201"/>
      <c r="L19" s="201"/>
      <c r="M19" s="201"/>
      <c r="N19" s="201"/>
      <c r="O19" s="201"/>
      <c r="P19" s="201"/>
      <c r="Q19" s="201"/>
      <c r="R19" s="201"/>
      <c r="S19" s="201"/>
      <c r="T19" s="205"/>
      <c r="U19" s="205"/>
    </row>
    <row r="20" spans="1:21">
      <c r="A20" s="210">
        <v>6</v>
      </c>
      <c r="B20" s="176" t="s">
        <v>153</v>
      </c>
      <c r="C20" s="211" t="s">
        <v>145</v>
      </c>
      <c r="D20" s="176" t="s">
        <v>66</v>
      </c>
      <c r="E20" s="212">
        <v>2.7</v>
      </c>
      <c r="F20" s="213">
        <f t="shared" si="1"/>
        <v>2.7000000000000003E-2</v>
      </c>
      <c r="G20" s="213">
        <v>216.12</v>
      </c>
      <c r="H20" s="214">
        <f t="shared" si="0"/>
        <v>5.8352400000000002E-3</v>
      </c>
      <c r="I20" s="21">
        <f t="shared" si="2"/>
        <v>5.8352400000000006</v>
      </c>
      <c r="J20" s="200"/>
      <c r="K20" s="201"/>
      <c r="L20" s="201"/>
      <c r="M20" s="201"/>
      <c r="N20" s="201"/>
      <c r="O20" s="201"/>
      <c r="P20" s="201"/>
      <c r="Q20" s="201"/>
      <c r="R20" s="201"/>
      <c r="S20" s="201"/>
      <c r="T20" s="205"/>
      <c r="U20" s="205"/>
    </row>
    <row r="21" spans="1:21">
      <c r="A21" s="210">
        <v>7</v>
      </c>
      <c r="B21" s="176" t="s">
        <v>154</v>
      </c>
      <c r="C21" s="211" t="s">
        <v>65</v>
      </c>
      <c r="D21" s="176" t="s">
        <v>151</v>
      </c>
      <c r="E21" s="212">
        <v>357</v>
      </c>
      <c r="F21" s="213">
        <f t="shared" si="1"/>
        <v>3.57</v>
      </c>
      <c r="G21" s="213">
        <v>269.26</v>
      </c>
      <c r="H21" s="214">
        <f t="shared" si="0"/>
        <v>0.96125819999999984</v>
      </c>
      <c r="I21" s="21">
        <f t="shared" si="2"/>
        <v>961.25819999999987</v>
      </c>
      <c r="J21" s="200"/>
      <c r="K21" s="201"/>
      <c r="L21" s="201"/>
      <c r="M21" s="201"/>
      <c r="N21" s="201"/>
      <c r="O21" s="201"/>
      <c r="P21" s="201"/>
      <c r="Q21" s="201"/>
      <c r="R21" s="201"/>
      <c r="S21" s="201"/>
      <c r="T21" s="205"/>
      <c r="U21" s="205"/>
    </row>
    <row r="22" spans="1:21">
      <c r="A22" s="210">
        <v>8</v>
      </c>
      <c r="B22" s="176" t="s">
        <v>155</v>
      </c>
      <c r="C22" s="211" t="s">
        <v>65</v>
      </c>
      <c r="D22" s="176" t="s">
        <v>151</v>
      </c>
      <c r="E22" s="216">
        <v>38.64</v>
      </c>
      <c r="F22" s="213">
        <f t="shared" si="1"/>
        <v>0.38640000000000002</v>
      </c>
      <c r="G22" s="213">
        <v>44.29</v>
      </c>
      <c r="H22" s="214">
        <f t="shared" si="0"/>
        <v>1.7113655999999998E-2</v>
      </c>
      <c r="I22" s="21">
        <f t="shared" si="2"/>
        <v>17.113655999999999</v>
      </c>
      <c r="J22" s="200"/>
      <c r="K22" s="201"/>
      <c r="L22" s="201"/>
      <c r="M22" s="201"/>
      <c r="N22" s="201"/>
      <c r="O22" s="201"/>
      <c r="P22" s="201"/>
      <c r="Q22" s="201"/>
      <c r="R22" s="201"/>
      <c r="S22" s="201"/>
      <c r="T22" s="205"/>
      <c r="U22" s="205"/>
    </row>
    <row r="23" spans="1:21">
      <c r="A23" s="210">
        <v>9</v>
      </c>
      <c r="B23" s="176" t="s">
        <v>156</v>
      </c>
      <c r="C23" s="211" t="s">
        <v>65</v>
      </c>
      <c r="D23" s="217" t="s">
        <v>151</v>
      </c>
      <c r="E23" s="27">
        <v>15</v>
      </c>
      <c r="F23" s="218">
        <f t="shared" si="1"/>
        <v>0.15</v>
      </c>
      <c r="G23" s="213">
        <v>389.72</v>
      </c>
      <c r="H23" s="214">
        <f t="shared" si="0"/>
        <v>5.8457999999999996E-2</v>
      </c>
      <c r="I23" s="21">
        <f t="shared" si="2"/>
        <v>58.457999999999998</v>
      </c>
      <c r="J23" s="200"/>
      <c r="K23" s="201"/>
      <c r="L23" s="201"/>
      <c r="M23" s="201"/>
      <c r="N23" s="201"/>
      <c r="O23" s="201"/>
      <c r="P23" s="201"/>
      <c r="Q23" s="201"/>
      <c r="R23" s="201"/>
      <c r="S23" s="201"/>
      <c r="T23" s="205"/>
      <c r="U23" s="205"/>
    </row>
    <row r="24" spans="1:21">
      <c r="A24" s="210">
        <v>10</v>
      </c>
      <c r="B24" s="176" t="s">
        <v>157</v>
      </c>
      <c r="C24" s="211" t="s">
        <v>65</v>
      </c>
      <c r="D24" s="176" t="s">
        <v>151</v>
      </c>
      <c r="E24" s="219">
        <v>6.38</v>
      </c>
      <c r="F24" s="213">
        <f t="shared" si="1"/>
        <v>6.3799999999999996E-2</v>
      </c>
      <c r="G24" s="213">
        <v>520.79999999999995</v>
      </c>
      <c r="H24" s="214">
        <f t="shared" si="0"/>
        <v>3.3227039999999992E-2</v>
      </c>
      <c r="I24" s="21">
        <f t="shared" si="2"/>
        <v>33.227039999999995</v>
      </c>
      <c r="J24" s="200"/>
      <c r="K24" s="201"/>
      <c r="L24" s="201"/>
      <c r="M24" s="201"/>
      <c r="N24" s="201"/>
      <c r="O24" s="201"/>
      <c r="P24" s="201"/>
      <c r="Q24" s="201"/>
      <c r="R24" s="201"/>
      <c r="S24" s="201"/>
      <c r="T24" s="205"/>
      <c r="U24" s="205"/>
    </row>
    <row r="25" spans="1:21" ht="15" customHeight="1">
      <c r="A25" s="210">
        <v>11</v>
      </c>
      <c r="B25" s="176" t="s">
        <v>79</v>
      </c>
      <c r="C25" s="211" t="s">
        <v>37</v>
      </c>
      <c r="D25" s="176" t="s">
        <v>182</v>
      </c>
      <c r="E25" s="212">
        <v>0.1</v>
      </c>
      <c r="F25" s="213">
        <f>SUM(E25*365)</f>
        <v>36.5</v>
      </c>
      <c r="G25" s="213">
        <v>147.03</v>
      </c>
      <c r="H25" s="214">
        <f>SUM(F25*G25/1000)</f>
        <v>5.3665950000000002</v>
      </c>
      <c r="I25" s="21">
        <f>F25/12*G25</f>
        <v>447.21625</v>
      </c>
      <c r="J25" s="200"/>
      <c r="K25" s="201"/>
      <c r="L25" s="201"/>
      <c r="M25" s="201"/>
      <c r="N25" s="201"/>
      <c r="O25" s="201"/>
      <c r="P25" s="201"/>
      <c r="Q25" s="201"/>
      <c r="R25" s="201"/>
      <c r="S25" s="201"/>
      <c r="T25" s="205"/>
      <c r="U25" s="205"/>
    </row>
    <row r="26" spans="1:21" ht="15" customHeight="1">
      <c r="A26" s="210">
        <v>12</v>
      </c>
      <c r="B26" s="220" t="s">
        <v>26</v>
      </c>
      <c r="C26" s="211" t="s">
        <v>27</v>
      </c>
      <c r="D26" s="220" t="s">
        <v>183</v>
      </c>
      <c r="E26" s="212">
        <v>2549.5</v>
      </c>
      <c r="F26" s="213">
        <f>SUM(E26*12)</f>
        <v>30594</v>
      </c>
      <c r="G26" s="213">
        <v>4.95</v>
      </c>
      <c r="H26" s="214">
        <f>SUM(F26*G26/1000)</f>
        <v>151.44030000000001</v>
      </c>
      <c r="I26" s="21">
        <f>F26/12*G26</f>
        <v>12620.025</v>
      </c>
      <c r="J26" s="200"/>
      <c r="K26" s="201"/>
      <c r="L26" s="201"/>
      <c r="M26" s="201"/>
      <c r="N26" s="201"/>
      <c r="O26" s="201"/>
      <c r="P26" s="201"/>
      <c r="Q26" s="201"/>
      <c r="R26" s="201"/>
      <c r="S26" s="201"/>
      <c r="T26" s="205"/>
      <c r="U26" s="205"/>
    </row>
    <row r="27" spans="1:21" ht="15" customHeight="1">
      <c r="A27" s="274" t="s">
        <v>218</v>
      </c>
      <c r="B27" s="282"/>
      <c r="C27" s="282"/>
      <c r="D27" s="282"/>
      <c r="E27" s="282"/>
      <c r="F27" s="282"/>
      <c r="G27" s="282"/>
      <c r="H27" s="282"/>
      <c r="I27" s="283"/>
      <c r="J27" s="200"/>
      <c r="K27" s="201"/>
      <c r="L27" s="201"/>
      <c r="M27" s="201"/>
      <c r="N27" s="201"/>
      <c r="O27" s="201"/>
      <c r="P27" s="201"/>
      <c r="Q27" s="201"/>
      <c r="R27" s="201"/>
      <c r="S27" s="201"/>
      <c r="T27" s="205"/>
      <c r="U27" s="205"/>
    </row>
    <row r="28" spans="1:21" ht="30" customHeight="1">
      <c r="A28" s="210">
        <v>13</v>
      </c>
      <c r="B28" s="176" t="s">
        <v>184</v>
      </c>
      <c r="C28" s="211" t="s">
        <v>185</v>
      </c>
      <c r="D28" s="176" t="s">
        <v>186</v>
      </c>
      <c r="E28" s="213">
        <v>704.3</v>
      </c>
      <c r="F28" s="213">
        <f>SUM(E28*52/1000)</f>
        <v>36.623599999999996</v>
      </c>
      <c r="G28" s="213">
        <v>155.88999999999999</v>
      </c>
      <c r="H28" s="214">
        <f t="shared" ref="H28:H33" si="3">SUM(F28*G28/1000)</f>
        <v>5.7092530039999989</v>
      </c>
      <c r="I28" s="21">
        <f>F28/6*G28</f>
        <v>951.54216733333317</v>
      </c>
      <c r="J28" s="200"/>
      <c r="K28" s="201"/>
      <c r="L28" s="201"/>
      <c r="M28" s="201"/>
      <c r="N28" s="201"/>
      <c r="O28" s="201"/>
      <c r="P28" s="201"/>
      <c r="Q28" s="201"/>
      <c r="R28" s="201"/>
      <c r="S28" s="201"/>
      <c r="T28" s="205"/>
      <c r="U28" s="205"/>
    </row>
    <row r="29" spans="1:21" ht="30" customHeight="1">
      <c r="A29" s="210">
        <v>14</v>
      </c>
      <c r="B29" s="176" t="s">
        <v>187</v>
      </c>
      <c r="C29" s="211" t="s">
        <v>185</v>
      </c>
      <c r="D29" s="176" t="s">
        <v>188</v>
      </c>
      <c r="E29" s="213">
        <v>70.430000000000007</v>
      </c>
      <c r="F29" s="213">
        <f>SUM(E29*78/1000)</f>
        <v>5.4935400000000012</v>
      </c>
      <c r="G29" s="213">
        <v>258.63</v>
      </c>
      <c r="H29" s="214">
        <f t="shared" si="3"/>
        <v>1.4207942502000004</v>
      </c>
      <c r="I29" s="21">
        <f t="shared" ref="I29" si="4">F29/6*G29</f>
        <v>236.79904170000006</v>
      </c>
      <c r="J29" s="200"/>
      <c r="K29" s="201"/>
      <c r="L29" s="201"/>
      <c r="M29" s="201"/>
      <c r="N29" s="201"/>
      <c r="O29" s="201"/>
      <c r="P29" s="201"/>
      <c r="Q29" s="201"/>
      <c r="R29" s="201"/>
      <c r="S29" s="201"/>
      <c r="T29" s="205"/>
      <c r="U29" s="205"/>
    </row>
    <row r="30" spans="1:21" ht="15.75" customHeight="1">
      <c r="A30" s="210">
        <v>15</v>
      </c>
      <c r="B30" s="176" t="s">
        <v>32</v>
      </c>
      <c r="C30" s="211" t="s">
        <v>185</v>
      </c>
      <c r="D30" s="176" t="s">
        <v>66</v>
      </c>
      <c r="E30" s="213">
        <v>704.3</v>
      </c>
      <c r="F30" s="213">
        <f>SUM(E30/1000)</f>
        <v>0.70429999999999993</v>
      </c>
      <c r="G30" s="213">
        <v>3020.33</v>
      </c>
      <c r="H30" s="214">
        <f t="shared" si="3"/>
        <v>2.1272184189999996</v>
      </c>
      <c r="I30" s="21">
        <f>F30*G30</f>
        <v>2127.2184189999998</v>
      </c>
      <c r="J30" s="200"/>
      <c r="K30" s="201"/>
      <c r="L30" s="201"/>
      <c r="M30" s="201"/>
      <c r="N30" s="201"/>
      <c r="O30" s="201"/>
      <c r="P30" s="201"/>
      <c r="Q30" s="201"/>
      <c r="R30" s="201"/>
      <c r="S30" s="201"/>
      <c r="T30" s="205"/>
      <c r="U30" s="205"/>
    </row>
    <row r="31" spans="1:21" ht="15.75" customHeight="1">
      <c r="A31" s="210">
        <v>16</v>
      </c>
      <c r="B31" s="176" t="s">
        <v>189</v>
      </c>
      <c r="C31" s="211" t="s">
        <v>35</v>
      </c>
      <c r="D31" s="176" t="s">
        <v>78</v>
      </c>
      <c r="E31" s="221">
        <v>0.33333333333333331</v>
      </c>
      <c r="F31" s="213">
        <f>155/3</f>
        <v>51.666666666666664</v>
      </c>
      <c r="G31" s="213">
        <v>56.69</v>
      </c>
      <c r="H31" s="214">
        <f>SUM(G31*155/3/1000)</f>
        <v>2.9289833333333331</v>
      </c>
      <c r="I31" s="21">
        <f>F31/6*G31</f>
        <v>488.16388888888883</v>
      </c>
      <c r="J31" s="200"/>
      <c r="K31" s="201"/>
      <c r="L31" s="201"/>
      <c r="M31" s="201"/>
      <c r="N31" s="201"/>
      <c r="O31" s="201"/>
      <c r="P31" s="201"/>
      <c r="Q31" s="201"/>
      <c r="R31" s="201"/>
      <c r="S31" s="201"/>
      <c r="T31" s="205"/>
      <c r="U31" s="205"/>
    </row>
    <row r="32" spans="1:21" ht="15" hidden="1" customHeight="1">
      <c r="A32" s="210">
        <v>17</v>
      </c>
      <c r="B32" s="176" t="s">
        <v>80</v>
      </c>
      <c r="C32" s="211" t="s">
        <v>37</v>
      </c>
      <c r="D32" s="176" t="s">
        <v>81</v>
      </c>
      <c r="E32" s="212"/>
      <c r="F32" s="213">
        <v>3</v>
      </c>
      <c r="G32" s="213">
        <v>191.32</v>
      </c>
      <c r="H32" s="214">
        <f t="shared" si="3"/>
        <v>0.57396000000000003</v>
      </c>
      <c r="I32" s="21">
        <v>0</v>
      </c>
      <c r="J32" s="200"/>
      <c r="K32" s="201"/>
      <c r="L32" s="201"/>
      <c r="M32" s="201"/>
      <c r="N32" s="201"/>
      <c r="O32" s="201"/>
      <c r="P32" s="201"/>
      <c r="Q32" s="201"/>
      <c r="R32" s="201"/>
      <c r="S32" s="201"/>
      <c r="T32" s="205"/>
      <c r="U32" s="205"/>
    </row>
    <row r="33" spans="1:21" ht="15" hidden="1" customHeight="1">
      <c r="A33" s="210">
        <v>16</v>
      </c>
      <c r="B33" s="176" t="s">
        <v>190</v>
      </c>
      <c r="C33" s="211" t="s">
        <v>36</v>
      </c>
      <c r="D33" s="176" t="s">
        <v>81</v>
      </c>
      <c r="E33" s="212"/>
      <c r="F33" s="213">
        <v>2</v>
      </c>
      <c r="G33" s="213">
        <v>1136.33</v>
      </c>
      <c r="H33" s="214">
        <f t="shared" si="3"/>
        <v>2.2726599999999997</v>
      </c>
      <c r="I33" s="21">
        <v>0</v>
      </c>
      <c r="J33" s="200"/>
      <c r="K33" s="201"/>
      <c r="L33" s="201"/>
      <c r="M33" s="201"/>
      <c r="N33" s="201"/>
      <c r="O33" s="201"/>
      <c r="P33" s="201"/>
      <c r="Q33" s="201"/>
      <c r="R33" s="201"/>
      <c r="S33" s="201"/>
      <c r="T33" s="205"/>
      <c r="U33" s="205"/>
    </row>
    <row r="34" spans="1:21" ht="15" hidden="1" customHeight="1">
      <c r="A34" s="274" t="s">
        <v>220</v>
      </c>
      <c r="B34" s="282"/>
      <c r="C34" s="282"/>
      <c r="D34" s="282"/>
      <c r="E34" s="282"/>
      <c r="F34" s="282"/>
      <c r="G34" s="282"/>
      <c r="H34" s="282"/>
      <c r="I34" s="283"/>
      <c r="J34" s="200"/>
      <c r="K34" s="201"/>
      <c r="L34" s="201"/>
      <c r="M34" s="201"/>
      <c r="N34" s="201"/>
      <c r="O34" s="201"/>
      <c r="P34" s="201"/>
      <c r="Q34" s="201"/>
      <c r="R34" s="201"/>
      <c r="S34" s="201"/>
      <c r="T34" s="205"/>
      <c r="U34" s="205"/>
    </row>
    <row r="35" spans="1:21" ht="15" hidden="1" customHeight="1">
      <c r="A35" s="210">
        <v>6</v>
      </c>
      <c r="B35" s="176" t="s">
        <v>30</v>
      </c>
      <c r="C35" s="211" t="s">
        <v>36</v>
      </c>
      <c r="D35" s="176"/>
      <c r="E35" s="212"/>
      <c r="F35" s="213">
        <v>8</v>
      </c>
      <c r="G35" s="213">
        <v>1527.22</v>
      </c>
      <c r="H35" s="214">
        <f t="shared" ref="H35:H42" si="5">SUM(F35*G35/1000)</f>
        <v>12.21776</v>
      </c>
      <c r="I35" s="21">
        <f>F35/6*G35</f>
        <v>2036.2933333333333</v>
      </c>
      <c r="J35" s="200"/>
      <c r="K35" s="201"/>
      <c r="L35" s="201"/>
      <c r="M35" s="201"/>
      <c r="N35" s="201"/>
      <c r="O35" s="201"/>
      <c r="P35" s="201"/>
      <c r="Q35" s="201"/>
      <c r="R35" s="201"/>
      <c r="S35" s="201"/>
      <c r="T35" s="205"/>
      <c r="U35" s="205"/>
    </row>
    <row r="36" spans="1:21" ht="15" hidden="1" customHeight="1">
      <c r="A36" s="210">
        <v>7</v>
      </c>
      <c r="B36" s="176" t="s">
        <v>191</v>
      </c>
      <c r="C36" s="211" t="s">
        <v>33</v>
      </c>
      <c r="D36" s="176" t="s">
        <v>192</v>
      </c>
      <c r="E36" s="212">
        <v>315</v>
      </c>
      <c r="F36" s="213">
        <f>E36*12/1000</f>
        <v>3.78</v>
      </c>
      <c r="G36" s="213">
        <v>2102.71</v>
      </c>
      <c r="H36" s="214">
        <f>G36*F36/1000</f>
        <v>7.9482437999999993</v>
      </c>
      <c r="I36" s="21">
        <f>F36/6*G36</f>
        <v>1324.7073</v>
      </c>
      <c r="J36" s="200"/>
      <c r="K36" s="201"/>
      <c r="L36" s="201"/>
      <c r="M36" s="201"/>
      <c r="N36" s="201"/>
      <c r="O36" s="201"/>
      <c r="P36" s="201"/>
      <c r="Q36" s="201"/>
      <c r="R36" s="201"/>
      <c r="S36" s="201"/>
      <c r="T36" s="205"/>
      <c r="U36" s="205"/>
    </row>
    <row r="37" spans="1:21" ht="15" hidden="1" customHeight="1">
      <c r="A37" s="210">
        <v>8</v>
      </c>
      <c r="B37" s="176" t="s">
        <v>193</v>
      </c>
      <c r="C37" s="211" t="s">
        <v>33</v>
      </c>
      <c r="D37" s="176" t="s">
        <v>194</v>
      </c>
      <c r="E37" s="212">
        <v>70.430000000000007</v>
      </c>
      <c r="F37" s="213">
        <f>E37*30/1000</f>
        <v>2.1129000000000002</v>
      </c>
      <c r="G37" s="213">
        <v>2102.71</v>
      </c>
      <c r="H37" s="214">
        <f>G37*F37/1000</f>
        <v>4.4428159590000007</v>
      </c>
      <c r="I37" s="21">
        <f>F37/6*G37</f>
        <v>740.46932650000008</v>
      </c>
      <c r="J37" s="200"/>
      <c r="K37" s="201"/>
      <c r="L37" s="201"/>
      <c r="M37" s="201"/>
      <c r="N37" s="201"/>
      <c r="O37" s="201"/>
      <c r="P37" s="201"/>
      <c r="Q37" s="201"/>
      <c r="R37" s="201"/>
      <c r="S37" s="201"/>
      <c r="T37" s="205"/>
      <c r="U37" s="205"/>
    </row>
    <row r="38" spans="1:21" ht="15" hidden="1" customHeight="1">
      <c r="A38" s="210">
        <v>9</v>
      </c>
      <c r="B38" s="176" t="s">
        <v>195</v>
      </c>
      <c r="C38" s="211" t="s">
        <v>196</v>
      </c>
      <c r="D38" s="176" t="s">
        <v>81</v>
      </c>
      <c r="E38" s="212"/>
      <c r="F38" s="213">
        <v>80</v>
      </c>
      <c r="G38" s="213">
        <v>213.2</v>
      </c>
      <c r="H38" s="214">
        <f>G38*F38/1000</f>
        <v>17.056000000000001</v>
      </c>
      <c r="I38" s="21">
        <v>0</v>
      </c>
      <c r="J38" s="200"/>
      <c r="K38" s="201"/>
      <c r="L38" s="201"/>
      <c r="M38" s="201"/>
      <c r="N38" s="201"/>
      <c r="O38" s="201"/>
      <c r="P38" s="201"/>
      <c r="Q38" s="201"/>
      <c r="R38" s="201"/>
      <c r="S38" s="201"/>
      <c r="T38" s="205"/>
      <c r="U38" s="205"/>
    </row>
    <row r="39" spans="1:21" ht="15" hidden="1" customHeight="1">
      <c r="A39" s="210">
        <v>9</v>
      </c>
      <c r="B39" s="176" t="s">
        <v>83</v>
      </c>
      <c r="C39" s="211" t="s">
        <v>33</v>
      </c>
      <c r="D39" s="176" t="s">
        <v>197</v>
      </c>
      <c r="E39" s="213">
        <v>70.430000000000007</v>
      </c>
      <c r="F39" s="213">
        <f>SUM(E39*155/1000)</f>
        <v>10.916650000000001</v>
      </c>
      <c r="G39" s="213">
        <v>350.75</v>
      </c>
      <c r="H39" s="214">
        <f t="shared" si="5"/>
        <v>3.8290149875000004</v>
      </c>
      <c r="I39" s="21">
        <f>F39/6*G39</f>
        <v>638.16916458333344</v>
      </c>
      <c r="J39" s="200"/>
      <c r="K39" s="201"/>
      <c r="L39" s="201"/>
      <c r="M39" s="201"/>
      <c r="N39" s="201"/>
      <c r="O39" s="201"/>
      <c r="P39" s="201"/>
      <c r="Q39" s="201"/>
      <c r="R39" s="201"/>
      <c r="S39" s="201"/>
      <c r="T39" s="205"/>
      <c r="U39" s="205"/>
    </row>
    <row r="40" spans="1:21" ht="45" hidden="1" customHeight="1">
      <c r="A40" s="210">
        <v>10</v>
      </c>
      <c r="B40" s="176" t="s">
        <v>106</v>
      </c>
      <c r="C40" s="211" t="s">
        <v>185</v>
      </c>
      <c r="D40" s="176" t="s">
        <v>198</v>
      </c>
      <c r="E40" s="213">
        <v>70.430000000000007</v>
      </c>
      <c r="F40" s="213">
        <f>SUM(E40*24/1000)</f>
        <v>1.6903200000000003</v>
      </c>
      <c r="G40" s="213">
        <v>5803.28</v>
      </c>
      <c r="H40" s="214">
        <f t="shared" si="5"/>
        <v>9.8094002496000012</v>
      </c>
      <c r="I40" s="21">
        <f>F40/6*G40</f>
        <v>1634.9000416000001</v>
      </c>
      <c r="J40" s="200"/>
      <c r="K40" s="201"/>
      <c r="L40" s="201"/>
      <c r="M40" s="201"/>
      <c r="N40" s="201"/>
      <c r="O40" s="201"/>
      <c r="P40" s="201"/>
      <c r="Q40" s="201"/>
      <c r="R40" s="201"/>
      <c r="S40" s="201"/>
      <c r="T40" s="205"/>
      <c r="U40" s="205"/>
    </row>
    <row r="41" spans="1:21" ht="15" hidden="1" customHeight="1">
      <c r="A41" s="210">
        <v>11</v>
      </c>
      <c r="B41" s="176" t="s">
        <v>199</v>
      </c>
      <c r="C41" s="211" t="s">
        <v>185</v>
      </c>
      <c r="D41" s="176" t="s">
        <v>84</v>
      </c>
      <c r="E41" s="213">
        <v>70.430000000000007</v>
      </c>
      <c r="F41" s="213">
        <f>SUM(E41*45/1000)</f>
        <v>3.1693500000000006</v>
      </c>
      <c r="G41" s="213">
        <v>428.7</v>
      </c>
      <c r="H41" s="214">
        <f t="shared" si="5"/>
        <v>1.3587003450000001</v>
      </c>
      <c r="I41" s="21">
        <f>F41/6*G41</f>
        <v>226.45005750000001</v>
      </c>
      <c r="J41" s="200"/>
      <c r="K41" s="201"/>
      <c r="L41" s="201"/>
      <c r="M41" s="201"/>
      <c r="N41" s="201"/>
      <c r="O41" s="201"/>
      <c r="P41" s="201"/>
      <c r="Q41" s="201"/>
      <c r="R41" s="201"/>
      <c r="S41" s="201"/>
      <c r="T41" s="205"/>
      <c r="U41" s="205"/>
    </row>
    <row r="42" spans="1:21" ht="15" hidden="1" customHeight="1">
      <c r="A42" s="210">
        <v>12</v>
      </c>
      <c r="B42" s="176" t="s">
        <v>85</v>
      </c>
      <c r="C42" s="211" t="s">
        <v>37</v>
      </c>
      <c r="D42" s="176"/>
      <c r="E42" s="212"/>
      <c r="F42" s="213">
        <v>0.8</v>
      </c>
      <c r="G42" s="213">
        <v>798</v>
      </c>
      <c r="H42" s="214">
        <f t="shared" si="5"/>
        <v>0.63840000000000008</v>
      </c>
      <c r="I42" s="21">
        <f>F42/6*G42</f>
        <v>106.39999999999999</v>
      </c>
      <c r="J42" s="200"/>
      <c r="K42" s="201"/>
      <c r="L42" s="201"/>
      <c r="M42" s="201"/>
      <c r="N42" s="201"/>
      <c r="O42" s="201"/>
      <c r="P42" s="201"/>
      <c r="Q42" s="201"/>
      <c r="R42" s="201"/>
      <c r="S42" s="201"/>
      <c r="T42" s="205"/>
      <c r="U42" s="205"/>
    </row>
    <row r="43" spans="1:21" ht="15" customHeight="1">
      <c r="A43" s="284" t="s">
        <v>221</v>
      </c>
      <c r="B43" s="285"/>
      <c r="C43" s="285"/>
      <c r="D43" s="285"/>
      <c r="E43" s="285"/>
      <c r="F43" s="285"/>
      <c r="G43" s="285"/>
      <c r="H43" s="285"/>
      <c r="I43" s="286"/>
      <c r="J43" s="200"/>
      <c r="K43" s="201"/>
      <c r="L43" s="201"/>
      <c r="M43" s="201"/>
      <c r="N43" s="201"/>
      <c r="O43" s="201"/>
      <c r="P43" s="201"/>
      <c r="Q43" s="201"/>
      <c r="R43" s="201"/>
      <c r="S43" s="201"/>
      <c r="T43" s="205"/>
      <c r="U43" s="205"/>
    </row>
    <row r="44" spans="1:21" ht="15" customHeight="1">
      <c r="A44" s="210">
        <v>17</v>
      </c>
      <c r="B44" s="176" t="s">
        <v>200</v>
      </c>
      <c r="C44" s="211" t="s">
        <v>185</v>
      </c>
      <c r="D44" s="176" t="s">
        <v>52</v>
      </c>
      <c r="E44" s="212">
        <v>1111.75</v>
      </c>
      <c r="F44" s="213">
        <f>SUM(E44*2/1000)</f>
        <v>2.2235</v>
      </c>
      <c r="G44" s="21">
        <v>809.74</v>
      </c>
      <c r="H44" s="214">
        <f t="shared" ref="H44:H54" si="6">SUM(F44*G44/1000)</f>
        <v>1.8004568900000002</v>
      </c>
      <c r="I44" s="21">
        <f>F44/2*G44</f>
        <v>900.22844500000008</v>
      </c>
      <c r="J44" s="200"/>
      <c r="K44" s="201"/>
      <c r="L44" s="201"/>
      <c r="M44" s="201"/>
      <c r="N44" s="201"/>
      <c r="O44" s="201"/>
      <c r="P44" s="201"/>
      <c r="Q44" s="201"/>
      <c r="R44" s="201"/>
      <c r="S44" s="201"/>
      <c r="T44" s="205"/>
      <c r="U44" s="205"/>
    </row>
    <row r="45" spans="1:21" ht="15" customHeight="1">
      <c r="A45" s="210">
        <v>18</v>
      </c>
      <c r="B45" s="176" t="s">
        <v>41</v>
      </c>
      <c r="C45" s="211" t="s">
        <v>185</v>
      </c>
      <c r="D45" s="176" t="s">
        <v>52</v>
      </c>
      <c r="E45" s="212">
        <v>88</v>
      </c>
      <c r="F45" s="213">
        <f>E45*2/1000</f>
        <v>0.17599999999999999</v>
      </c>
      <c r="G45" s="21">
        <v>579.48</v>
      </c>
      <c r="H45" s="214">
        <f t="shared" si="6"/>
        <v>0.10198847999999999</v>
      </c>
      <c r="I45" s="21">
        <f t="shared" ref="I45:I48" si="7">F45/2*G45</f>
        <v>50.994239999999998</v>
      </c>
      <c r="J45" s="200"/>
      <c r="K45" s="201"/>
      <c r="L45" s="201"/>
      <c r="M45" s="201"/>
      <c r="N45" s="201"/>
      <c r="O45" s="201"/>
      <c r="P45" s="201"/>
      <c r="Q45" s="201"/>
      <c r="R45" s="201"/>
      <c r="S45" s="201"/>
      <c r="T45" s="205"/>
      <c r="U45" s="205"/>
    </row>
    <row r="46" spans="1:21" ht="15" customHeight="1">
      <c r="A46" s="210">
        <v>19</v>
      </c>
      <c r="B46" s="176" t="s">
        <v>42</v>
      </c>
      <c r="C46" s="211" t="s">
        <v>185</v>
      </c>
      <c r="D46" s="176" t="s">
        <v>52</v>
      </c>
      <c r="E46" s="212">
        <v>1250.6199999999999</v>
      </c>
      <c r="F46" s="213">
        <f>SUM(E46*2/1000)</f>
        <v>2.5012399999999997</v>
      </c>
      <c r="G46" s="21">
        <v>579.48</v>
      </c>
      <c r="H46" s="214">
        <f t="shared" si="6"/>
        <v>1.4494185551999998</v>
      </c>
      <c r="I46" s="21">
        <f t="shared" si="7"/>
        <v>724.70927759999995</v>
      </c>
      <c r="J46" s="200"/>
      <c r="K46" s="201"/>
      <c r="L46" s="201"/>
      <c r="M46" s="201"/>
      <c r="N46" s="201"/>
      <c r="O46" s="201"/>
      <c r="P46" s="201"/>
      <c r="Q46" s="201"/>
      <c r="R46" s="201"/>
      <c r="S46" s="201"/>
      <c r="T46" s="205"/>
      <c r="U46" s="205"/>
    </row>
    <row r="47" spans="1:21" ht="15" customHeight="1">
      <c r="A47" s="210">
        <v>20</v>
      </c>
      <c r="B47" s="176" t="s">
        <v>43</v>
      </c>
      <c r="C47" s="211" t="s">
        <v>185</v>
      </c>
      <c r="D47" s="176" t="s">
        <v>52</v>
      </c>
      <c r="E47" s="212">
        <v>1295.68</v>
      </c>
      <c r="F47" s="213">
        <f>SUM(E47*2/1000)</f>
        <v>2.5913600000000003</v>
      </c>
      <c r="G47" s="21">
        <v>606.77</v>
      </c>
      <c r="H47" s="214">
        <f t="shared" si="6"/>
        <v>1.5723595072000001</v>
      </c>
      <c r="I47" s="21">
        <f t="shared" si="7"/>
        <v>786.17975360000003</v>
      </c>
      <c r="J47" s="200"/>
      <c r="K47" s="201"/>
      <c r="L47" s="201"/>
      <c r="M47" s="201"/>
      <c r="N47" s="201"/>
      <c r="O47" s="201"/>
      <c r="P47" s="201"/>
      <c r="Q47" s="201"/>
      <c r="R47" s="201"/>
      <c r="S47" s="201"/>
      <c r="T47" s="205"/>
      <c r="U47" s="205"/>
    </row>
    <row r="48" spans="1:21" ht="15" customHeight="1">
      <c r="A48" s="210">
        <v>21</v>
      </c>
      <c r="B48" s="176" t="s">
        <v>39</v>
      </c>
      <c r="C48" s="211" t="s">
        <v>40</v>
      </c>
      <c r="D48" s="176" t="s">
        <v>52</v>
      </c>
      <c r="E48" s="212">
        <v>85.84</v>
      </c>
      <c r="F48" s="213">
        <f>E48*2/100</f>
        <v>1.7168000000000001</v>
      </c>
      <c r="G48" s="21">
        <v>72.81</v>
      </c>
      <c r="H48" s="214">
        <f>G48*F48/1000</f>
        <v>0.125000208</v>
      </c>
      <c r="I48" s="21">
        <f t="shared" si="7"/>
        <v>62.500104000000007</v>
      </c>
      <c r="J48" s="200"/>
      <c r="K48" s="201"/>
      <c r="L48" s="201"/>
      <c r="M48" s="201"/>
      <c r="N48" s="201"/>
      <c r="O48" s="201"/>
      <c r="P48" s="201"/>
      <c r="Q48" s="201"/>
      <c r="R48" s="201"/>
      <c r="S48" s="201"/>
      <c r="T48" s="205"/>
      <c r="U48" s="205"/>
    </row>
    <row r="49" spans="1:21" ht="30" customHeight="1">
      <c r="A49" s="210">
        <v>22</v>
      </c>
      <c r="B49" s="176" t="s">
        <v>72</v>
      </c>
      <c r="C49" s="211" t="s">
        <v>185</v>
      </c>
      <c r="D49" s="176" t="s">
        <v>219</v>
      </c>
      <c r="E49" s="212">
        <v>897</v>
      </c>
      <c r="F49" s="213">
        <f>SUM(E49*5/1000)</f>
        <v>4.4850000000000003</v>
      </c>
      <c r="G49" s="21">
        <v>1213.55</v>
      </c>
      <c r="H49" s="214">
        <f t="shared" si="6"/>
        <v>5.4427717499999995</v>
      </c>
      <c r="I49" s="21">
        <f>F49/5*G49</f>
        <v>1088.5543499999999</v>
      </c>
      <c r="J49" s="200"/>
      <c r="K49" s="201"/>
      <c r="L49" s="201"/>
      <c r="M49" s="201"/>
      <c r="N49" s="201"/>
      <c r="O49" s="201"/>
      <c r="P49" s="201"/>
      <c r="Q49" s="201"/>
      <c r="R49" s="201"/>
      <c r="S49" s="201"/>
      <c r="T49" s="205"/>
      <c r="U49" s="205"/>
    </row>
    <row r="50" spans="1:21" ht="30" hidden="1" customHeight="1">
      <c r="A50" s="210"/>
      <c r="B50" s="176" t="s">
        <v>201</v>
      </c>
      <c r="C50" s="211" t="s">
        <v>185</v>
      </c>
      <c r="D50" s="176" t="s">
        <v>52</v>
      </c>
      <c r="E50" s="212">
        <v>897</v>
      </c>
      <c r="F50" s="213">
        <f>SUM(E50*2/1000)</f>
        <v>1.794</v>
      </c>
      <c r="G50" s="21">
        <v>1213.55</v>
      </c>
      <c r="H50" s="214">
        <f t="shared" si="6"/>
        <v>2.1771086999999998</v>
      </c>
      <c r="I50" s="21">
        <v>0</v>
      </c>
      <c r="J50" s="200"/>
      <c r="K50" s="201"/>
      <c r="L50" s="201"/>
      <c r="M50" s="201"/>
      <c r="N50" s="201"/>
      <c r="O50" s="201"/>
      <c r="P50" s="201"/>
      <c r="Q50" s="201"/>
      <c r="R50" s="201"/>
      <c r="S50" s="201"/>
      <c r="T50" s="205"/>
      <c r="U50" s="205"/>
    </row>
    <row r="51" spans="1:21" ht="30" hidden="1" customHeight="1">
      <c r="A51" s="210"/>
      <c r="B51" s="176" t="s">
        <v>202</v>
      </c>
      <c r="C51" s="211" t="s">
        <v>46</v>
      </c>
      <c r="D51" s="176" t="s">
        <v>52</v>
      </c>
      <c r="E51" s="212">
        <v>16</v>
      </c>
      <c r="F51" s="213">
        <f>SUM(E51*2/100)</f>
        <v>0.32</v>
      </c>
      <c r="G51" s="21">
        <v>2730.49</v>
      </c>
      <c r="H51" s="214">
        <f t="shared" si="6"/>
        <v>0.8737568</v>
      </c>
      <c r="I51" s="21">
        <v>0</v>
      </c>
      <c r="J51" s="200"/>
      <c r="K51" s="201"/>
      <c r="L51" s="201"/>
      <c r="M51" s="201"/>
      <c r="N51" s="201"/>
      <c r="O51" s="201"/>
      <c r="P51" s="201"/>
      <c r="Q51" s="201"/>
      <c r="R51" s="201"/>
      <c r="S51" s="201"/>
      <c r="T51" s="205"/>
      <c r="U51" s="205"/>
    </row>
    <row r="52" spans="1:21" ht="15.75" hidden="1" customHeight="1">
      <c r="A52" s="210"/>
      <c r="B52" s="176" t="s">
        <v>47</v>
      </c>
      <c r="C52" s="211" t="s">
        <v>48</v>
      </c>
      <c r="D52" s="176" t="s">
        <v>52</v>
      </c>
      <c r="E52" s="212">
        <v>1</v>
      </c>
      <c r="F52" s="213">
        <v>0.02</v>
      </c>
      <c r="G52" s="21">
        <v>5652.13</v>
      </c>
      <c r="H52" s="214">
        <f t="shared" si="6"/>
        <v>0.11304260000000001</v>
      </c>
      <c r="I52" s="21">
        <v>0</v>
      </c>
      <c r="J52" s="200"/>
      <c r="K52" s="201"/>
      <c r="L52" s="201"/>
      <c r="M52" s="201"/>
      <c r="N52" s="201"/>
      <c r="O52" s="201"/>
      <c r="P52" s="201"/>
      <c r="Q52" s="201"/>
      <c r="R52" s="201"/>
      <c r="S52" s="201"/>
      <c r="T52" s="205"/>
      <c r="U52" s="205"/>
    </row>
    <row r="53" spans="1:21" ht="15.75" hidden="1" customHeight="1">
      <c r="A53" s="210">
        <v>14</v>
      </c>
      <c r="B53" s="176" t="s">
        <v>203</v>
      </c>
      <c r="C53" s="211" t="s">
        <v>159</v>
      </c>
      <c r="D53" s="176" t="s">
        <v>86</v>
      </c>
      <c r="E53" s="212">
        <v>64</v>
      </c>
      <c r="F53" s="213">
        <f>E53*3</f>
        <v>192</v>
      </c>
      <c r="G53" s="21">
        <v>141.12</v>
      </c>
      <c r="H53" s="214">
        <f>F53*G53/1000</f>
        <v>27.095040000000001</v>
      </c>
      <c r="I53" s="21">
        <f>E53*G53</f>
        <v>9031.68</v>
      </c>
      <c r="J53" s="200"/>
      <c r="K53" s="201"/>
      <c r="L53" s="201"/>
      <c r="M53" s="201"/>
      <c r="N53" s="201"/>
      <c r="O53" s="201"/>
      <c r="P53" s="201"/>
      <c r="Q53" s="201"/>
      <c r="R53" s="201"/>
      <c r="S53" s="201"/>
      <c r="T53" s="205"/>
      <c r="U53" s="205"/>
    </row>
    <row r="54" spans="1:21" ht="15.75" hidden="1" customHeight="1">
      <c r="A54" s="210">
        <v>15</v>
      </c>
      <c r="B54" s="176" t="s">
        <v>51</v>
      </c>
      <c r="C54" s="211" t="s">
        <v>159</v>
      </c>
      <c r="D54" s="176" t="s">
        <v>86</v>
      </c>
      <c r="E54" s="212">
        <v>128</v>
      </c>
      <c r="F54" s="213">
        <f>SUM(E54)*3</f>
        <v>384</v>
      </c>
      <c r="G54" s="21">
        <v>65.67</v>
      </c>
      <c r="H54" s="214">
        <f t="shared" si="6"/>
        <v>25.217279999999999</v>
      </c>
      <c r="I54" s="21">
        <f>E54*G54</f>
        <v>8405.76</v>
      </c>
      <c r="J54" s="200"/>
      <c r="K54" s="201"/>
      <c r="L54" s="201"/>
      <c r="M54" s="201"/>
      <c r="N54" s="201"/>
      <c r="O54" s="201"/>
      <c r="P54" s="201"/>
      <c r="Q54" s="201"/>
      <c r="R54" s="201"/>
      <c r="S54" s="201"/>
      <c r="T54" s="205"/>
      <c r="U54" s="205"/>
    </row>
    <row r="55" spans="1:21" ht="15.75" customHeight="1">
      <c r="A55" s="274" t="s">
        <v>222</v>
      </c>
      <c r="B55" s="275"/>
      <c r="C55" s="275"/>
      <c r="D55" s="275"/>
      <c r="E55" s="275"/>
      <c r="F55" s="275"/>
      <c r="G55" s="275"/>
      <c r="H55" s="275"/>
      <c r="I55" s="276"/>
      <c r="J55" s="200"/>
      <c r="K55" s="201"/>
      <c r="L55" s="201"/>
      <c r="M55" s="201"/>
      <c r="N55" s="201"/>
      <c r="O55" s="201"/>
      <c r="P55" s="201"/>
      <c r="Q55" s="201"/>
      <c r="R55" s="201"/>
      <c r="S55" s="201"/>
      <c r="T55" s="205"/>
      <c r="U55" s="205"/>
    </row>
    <row r="56" spans="1:21" ht="15" hidden="1" customHeight="1">
      <c r="A56" s="210"/>
      <c r="B56" s="251" t="s">
        <v>53</v>
      </c>
      <c r="C56" s="250"/>
      <c r="D56" s="249"/>
      <c r="E56" s="212"/>
      <c r="F56" s="213"/>
      <c r="G56" s="213"/>
      <c r="H56" s="214"/>
      <c r="I56" s="21"/>
      <c r="J56" s="200"/>
      <c r="K56" s="201"/>
      <c r="L56" s="201"/>
      <c r="M56" s="201"/>
      <c r="N56" s="201"/>
      <c r="O56" s="201"/>
      <c r="P56" s="201"/>
      <c r="Q56" s="201"/>
      <c r="R56" s="201"/>
      <c r="S56" s="201"/>
      <c r="T56" s="205"/>
      <c r="U56" s="205"/>
    </row>
    <row r="57" spans="1:21" ht="30" hidden="1" customHeight="1">
      <c r="A57" s="210">
        <v>16</v>
      </c>
      <c r="B57" s="176" t="s">
        <v>204</v>
      </c>
      <c r="C57" s="211" t="s">
        <v>145</v>
      </c>
      <c r="D57" s="176" t="s">
        <v>205</v>
      </c>
      <c r="E57" s="212">
        <v>123.175</v>
      </c>
      <c r="F57" s="213">
        <f>SUM(E57*6/100)</f>
        <v>7.3904999999999994</v>
      </c>
      <c r="G57" s="21">
        <v>1547.28</v>
      </c>
      <c r="H57" s="214">
        <f>SUM(F57*G57/1000)</f>
        <v>11.43517284</v>
      </c>
      <c r="I57" s="21">
        <f>F57/6*G57</f>
        <v>1905.8621399999997</v>
      </c>
      <c r="J57" s="200"/>
      <c r="K57" s="201"/>
      <c r="L57" s="201"/>
      <c r="M57" s="201"/>
      <c r="N57" s="201"/>
      <c r="O57" s="201"/>
      <c r="P57" s="201"/>
      <c r="Q57" s="201"/>
      <c r="R57" s="201"/>
      <c r="S57" s="201"/>
      <c r="T57" s="205"/>
      <c r="U57" s="205"/>
    </row>
    <row r="58" spans="1:21" ht="15" hidden="1" customHeight="1">
      <c r="A58" s="223"/>
      <c r="B58" s="251" t="s">
        <v>54</v>
      </c>
      <c r="C58" s="250"/>
      <c r="D58" s="249"/>
      <c r="E58" s="226"/>
      <c r="F58" s="227"/>
      <c r="G58" s="21"/>
      <c r="H58" s="228"/>
      <c r="I58" s="21"/>
      <c r="J58" s="200"/>
      <c r="K58" s="201"/>
      <c r="L58" s="201"/>
      <c r="M58" s="201"/>
      <c r="N58" s="201"/>
      <c r="O58" s="201"/>
      <c r="P58" s="201"/>
      <c r="Q58" s="201"/>
      <c r="R58" s="201"/>
      <c r="S58" s="201"/>
      <c r="T58" s="205"/>
      <c r="U58" s="205"/>
    </row>
    <row r="59" spans="1:21" ht="15" hidden="1" customHeight="1">
      <c r="A59" s="223"/>
      <c r="B59" s="225" t="s">
        <v>206</v>
      </c>
      <c r="C59" s="224" t="s">
        <v>65</v>
      </c>
      <c r="D59" s="225" t="s">
        <v>66</v>
      </c>
      <c r="E59" s="226">
        <v>897</v>
      </c>
      <c r="F59" s="227">
        <v>8.9700000000000006</v>
      </c>
      <c r="G59" s="21">
        <v>793.61</v>
      </c>
      <c r="H59" s="228">
        <f>F59*G59/1000</f>
        <v>7.1186817000000007</v>
      </c>
      <c r="I59" s="21">
        <v>0</v>
      </c>
      <c r="J59" s="200"/>
      <c r="K59" s="201"/>
      <c r="L59" s="201"/>
      <c r="M59" s="201"/>
      <c r="N59" s="201"/>
      <c r="O59" s="201"/>
      <c r="P59" s="201"/>
      <c r="Q59" s="201"/>
      <c r="R59" s="201"/>
      <c r="S59" s="201"/>
      <c r="T59" s="205"/>
      <c r="U59" s="205"/>
    </row>
    <row r="60" spans="1:21" ht="15" customHeight="1">
      <c r="A60" s="223"/>
      <c r="B60" s="251" t="s">
        <v>56</v>
      </c>
      <c r="C60" s="250"/>
      <c r="D60" s="250"/>
      <c r="E60" s="226"/>
      <c r="F60" s="229"/>
      <c r="G60" s="229"/>
      <c r="H60" s="227" t="s">
        <v>183</v>
      </c>
      <c r="I60" s="21"/>
      <c r="J60" s="200"/>
      <c r="K60" s="201"/>
      <c r="L60" s="201"/>
      <c r="M60" s="201"/>
      <c r="N60" s="201"/>
      <c r="O60" s="201"/>
      <c r="P60" s="201"/>
      <c r="Q60" s="201"/>
      <c r="R60" s="201"/>
      <c r="S60" s="201"/>
      <c r="T60" s="205"/>
      <c r="U60" s="205"/>
    </row>
    <row r="61" spans="1:21" ht="15" hidden="1" customHeight="1">
      <c r="A61" s="25">
        <v>17</v>
      </c>
      <c r="B61" s="32" t="s">
        <v>57</v>
      </c>
      <c r="C61" s="33" t="s">
        <v>159</v>
      </c>
      <c r="D61" s="252" t="s">
        <v>81</v>
      </c>
      <c r="E61" s="27">
        <v>15</v>
      </c>
      <c r="F61" s="213">
        <v>15</v>
      </c>
      <c r="G61" s="21">
        <v>222.4</v>
      </c>
      <c r="H61" s="215">
        <f t="shared" ref="H61:H74" si="8">SUM(F61*G61/1000)</f>
        <v>3.3359999999999999</v>
      </c>
      <c r="I61" s="21">
        <f>G61*2</f>
        <v>444.8</v>
      </c>
      <c r="J61" s="200"/>
      <c r="K61" s="201"/>
      <c r="L61" s="201"/>
      <c r="M61" s="201"/>
      <c r="N61" s="201"/>
      <c r="O61" s="201"/>
      <c r="P61" s="201"/>
      <c r="Q61" s="201"/>
      <c r="R61" s="201"/>
      <c r="S61" s="201"/>
      <c r="T61" s="205"/>
      <c r="U61" s="205"/>
    </row>
    <row r="62" spans="1:21" ht="15" hidden="1" customHeight="1">
      <c r="A62" s="25"/>
      <c r="B62" s="23" t="s">
        <v>58</v>
      </c>
      <c r="C62" s="25" t="s">
        <v>159</v>
      </c>
      <c r="D62" s="176" t="s">
        <v>81</v>
      </c>
      <c r="E62" s="27">
        <v>5</v>
      </c>
      <c r="F62" s="213">
        <v>5</v>
      </c>
      <c r="G62" s="21">
        <v>76.25</v>
      </c>
      <c r="H62" s="215">
        <f t="shared" si="8"/>
        <v>0.38124999999999998</v>
      </c>
      <c r="I62" s="21">
        <v>0</v>
      </c>
      <c r="J62" s="200"/>
      <c r="K62" s="201"/>
      <c r="L62" s="201"/>
      <c r="M62" s="201"/>
      <c r="N62" s="201"/>
      <c r="O62" s="201"/>
      <c r="P62" s="201"/>
      <c r="Q62" s="201"/>
      <c r="R62" s="201"/>
      <c r="S62" s="201"/>
      <c r="T62" s="205"/>
      <c r="U62" s="205"/>
    </row>
    <row r="63" spans="1:21" ht="15" customHeight="1">
      <c r="A63" s="25">
        <v>23</v>
      </c>
      <c r="B63" s="23" t="s">
        <v>59</v>
      </c>
      <c r="C63" s="25" t="s">
        <v>160</v>
      </c>
      <c r="D63" s="23" t="s">
        <v>66</v>
      </c>
      <c r="E63" s="212">
        <v>10052</v>
      </c>
      <c r="F63" s="21">
        <f>SUM(E63/100)</f>
        <v>100.52</v>
      </c>
      <c r="G63" s="21">
        <v>212.15</v>
      </c>
      <c r="H63" s="215">
        <f t="shared" si="8"/>
        <v>21.325317999999999</v>
      </c>
      <c r="I63" s="21">
        <f>F63*G63</f>
        <v>21325.317999999999</v>
      </c>
      <c r="J63" s="200"/>
      <c r="K63" s="201"/>
      <c r="L63" s="201"/>
      <c r="M63" s="201"/>
      <c r="N63" s="201"/>
      <c r="O63" s="201"/>
      <c r="P63" s="201"/>
      <c r="Q63" s="201"/>
      <c r="R63" s="201"/>
      <c r="S63" s="201"/>
      <c r="T63" s="205"/>
      <c r="U63" s="205"/>
    </row>
    <row r="64" spans="1:21" ht="15" customHeight="1">
      <c r="A64" s="25">
        <v>24</v>
      </c>
      <c r="B64" s="23" t="s">
        <v>60</v>
      </c>
      <c r="C64" s="25" t="s">
        <v>161</v>
      </c>
      <c r="D64" s="23"/>
      <c r="E64" s="212">
        <v>10052</v>
      </c>
      <c r="F64" s="21">
        <f>SUM(E64/1000)</f>
        <v>10.052</v>
      </c>
      <c r="G64" s="21">
        <v>165.21</v>
      </c>
      <c r="H64" s="215">
        <f t="shared" si="8"/>
        <v>1.66069092</v>
      </c>
      <c r="I64" s="21">
        <f t="shared" ref="I64:I67" si="9">F64*G64</f>
        <v>1660.69092</v>
      </c>
      <c r="J64" s="200"/>
      <c r="K64" s="201"/>
      <c r="L64" s="201"/>
      <c r="M64" s="201"/>
      <c r="N64" s="201"/>
      <c r="O64" s="201"/>
      <c r="P64" s="201"/>
      <c r="Q64" s="201"/>
      <c r="R64" s="201"/>
      <c r="S64" s="201"/>
      <c r="T64" s="205"/>
      <c r="U64" s="205"/>
    </row>
    <row r="65" spans="1:21" ht="15" customHeight="1">
      <c r="A65" s="25">
        <v>25</v>
      </c>
      <c r="B65" s="23" t="s">
        <v>61</v>
      </c>
      <c r="C65" s="25" t="s">
        <v>93</v>
      </c>
      <c r="D65" s="23" t="s">
        <v>66</v>
      </c>
      <c r="E65" s="212">
        <v>2200</v>
      </c>
      <c r="F65" s="21">
        <f>SUM(E65/100)</f>
        <v>22</v>
      </c>
      <c r="G65" s="21">
        <v>2074.63</v>
      </c>
      <c r="H65" s="215">
        <f t="shared" si="8"/>
        <v>45.641860000000001</v>
      </c>
      <c r="I65" s="21">
        <f t="shared" si="9"/>
        <v>45641.86</v>
      </c>
      <c r="J65" s="200"/>
      <c r="K65" s="201"/>
      <c r="L65" s="201"/>
      <c r="M65" s="201"/>
      <c r="N65" s="201"/>
      <c r="O65" s="201"/>
      <c r="P65" s="201"/>
      <c r="Q65" s="201"/>
      <c r="R65" s="201"/>
      <c r="S65" s="201"/>
      <c r="T65" s="205"/>
      <c r="U65" s="205"/>
    </row>
    <row r="66" spans="1:21" ht="15" customHeight="1">
      <c r="A66" s="25">
        <v>26</v>
      </c>
      <c r="B66" s="230" t="s">
        <v>162</v>
      </c>
      <c r="C66" s="25" t="s">
        <v>37</v>
      </c>
      <c r="D66" s="23"/>
      <c r="E66" s="212">
        <v>9.4</v>
      </c>
      <c r="F66" s="21">
        <f>SUM(E66)</f>
        <v>9.4</v>
      </c>
      <c r="G66" s="21">
        <v>42.67</v>
      </c>
      <c r="H66" s="215">
        <f t="shared" si="8"/>
        <v>0.40109800000000001</v>
      </c>
      <c r="I66" s="21">
        <f t="shared" si="9"/>
        <v>401.09800000000001</v>
      </c>
      <c r="J66" s="200"/>
      <c r="K66" s="201"/>
      <c r="L66" s="201"/>
      <c r="M66" s="201"/>
      <c r="N66" s="201"/>
      <c r="O66" s="201"/>
      <c r="P66" s="201"/>
      <c r="Q66" s="201"/>
      <c r="R66" s="201"/>
      <c r="S66" s="201"/>
      <c r="T66" s="205"/>
      <c r="U66" s="205"/>
    </row>
    <row r="67" spans="1:21" ht="15" customHeight="1">
      <c r="A67" s="255">
        <v>27</v>
      </c>
      <c r="B67" s="230" t="s">
        <v>163</v>
      </c>
      <c r="C67" s="25" t="s">
        <v>37</v>
      </c>
      <c r="D67" s="23"/>
      <c r="E67" s="212">
        <v>9.4</v>
      </c>
      <c r="F67" s="21">
        <f>SUM(E67)</f>
        <v>9.4</v>
      </c>
      <c r="G67" s="21">
        <v>39.81</v>
      </c>
      <c r="H67" s="215">
        <f t="shared" si="8"/>
        <v>0.37421400000000005</v>
      </c>
      <c r="I67" s="21">
        <f t="shared" si="9"/>
        <v>374.21400000000006</v>
      </c>
      <c r="J67" s="200"/>
      <c r="K67" s="201"/>
      <c r="L67" s="201"/>
      <c r="M67" s="201"/>
      <c r="N67" s="201"/>
      <c r="O67" s="201"/>
      <c r="P67" s="201"/>
      <c r="Q67" s="201"/>
      <c r="R67" s="201"/>
      <c r="S67" s="201"/>
      <c r="T67" s="205"/>
      <c r="U67" s="205"/>
    </row>
    <row r="68" spans="1:21" ht="15" hidden="1" customHeight="1">
      <c r="A68" s="25"/>
      <c r="B68" s="23" t="s">
        <v>73</v>
      </c>
      <c r="C68" s="25" t="s">
        <v>74</v>
      </c>
      <c r="D68" s="23" t="s">
        <v>66</v>
      </c>
      <c r="E68" s="27">
        <v>5</v>
      </c>
      <c r="F68" s="213">
        <v>5</v>
      </c>
      <c r="G68" s="21">
        <v>49.88</v>
      </c>
      <c r="H68" s="215">
        <f t="shared" si="8"/>
        <v>0.24940000000000001</v>
      </c>
      <c r="I68" s="21">
        <v>0</v>
      </c>
      <c r="J68" s="200"/>
      <c r="K68" s="201"/>
      <c r="L68" s="201"/>
      <c r="M68" s="201"/>
      <c r="N68" s="201"/>
      <c r="O68" s="201"/>
      <c r="P68" s="201"/>
      <c r="Q68" s="201"/>
      <c r="R68" s="201"/>
      <c r="S68" s="201"/>
      <c r="T68" s="205"/>
      <c r="U68" s="205"/>
    </row>
    <row r="69" spans="1:21" ht="15" hidden="1" customHeight="1">
      <c r="A69" s="255"/>
      <c r="B69" s="188" t="s">
        <v>87</v>
      </c>
      <c r="C69" s="253"/>
      <c r="D69" s="253"/>
      <c r="E69" s="27"/>
      <c r="F69" s="21"/>
      <c r="G69" s="21"/>
      <c r="H69" s="215" t="s">
        <v>183</v>
      </c>
      <c r="I69" s="21"/>
      <c r="J69" s="200"/>
      <c r="K69" s="201"/>
      <c r="L69" s="201"/>
      <c r="M69" s="201"/>
      <c r="N69" s="201"/>
      <c r="O69" s="201"/>
      <c r="P69" s="201"/>
      <c r="Q69" s="201"/>
      <c r="R69" s="201"/>
      <c r="S69" s="201"/>
      <c r="T69" s="205"/>
      <c r="U69" s="205"/>
    </row>
    <row r="70" spans="1:21" ht="15" hidden="1" customHeight="1">
      <c r="A70" s="25"/>
      <c r="B70" s="23" t="s">
        <v>88</v>
      </c>
      <c r="C70" s="25" t="s">
        <v>90</v>
      </c>
      <c r="D70" s="23"/>
      <c r="E70" s="27">
        <v>3</v>
      </c>
      <c r="F70" s="21">
        <v>0.3</v>
      </c>
      <c r="G70" s="21">
        <v>501.62</v>
      </c>
      <c r="H70" s="215">
        <f t="shared" si="8"/>
        <v>0.15048599999999998</v>
      </c>
      <c r="I70" s="21">
        <v>0</v>
      </c>
      <c r="J70" s="200"/>
      <c r="K70" s="201"/>
      <c r="L70" s="201"/>
      <c r="M70" s="201"/>
      <c r="N70" s="201"/>
      <c r="O70" s="201"/>
      <c r="P70" s="201"/>
      <c r="Q70" s="201"/>
      <c r="R70" s="201"/>
      <c r="S70" s="201"/>
      <c r="T70" s="205"/>
      <c r="U70" s="205"/>
    </row>
    <row r="71" spans="1:21" ht="15" hidden="1" customHeight="1">
      <c r="A71" s="25"/>
      <c r="B71" s="23" t="s">
        <v>89</v>
      </c>
      <c r="C71" s="25" t="s">
        <v>35</v>
      </c>
      <c r="D71" s="23"/>
      <c r="E71" s="27">
        <v>1</v>
      </c>
      <c r="F71" s="232">
        <v>1</v>
      </c>
      <c r="G71" s="21">
        <v>852.99</v>
      </c>
      <c r="H71" s="215">
        <f>F71*G71/1000</f>
        <v>0.85299000000000003</v>
      </c>
      <c r="I71" s="21">
        <v>0</v>
      </c>
      <c r="J71" s="200"/>
      <c r="K71" s="201"/>
      <c r="L71" s="201"/>
      <c r="M71" s="201"/>
      <c r="N71" s="201"/>
      <c r="O71" s="201"/>
      <c r="P71" s="201"/>
      <c r="Q71" s="201"/>
      <c r="R71" s="201"/>
      <c r="S71" s="201"/>
      <c r="T71" s="205"/>
      <c r="U71" s="205"/>
    </row>
    <row r="72" spans="1:21" ht="15" hidden="1" customHeight="1">
      <c r="A72" s="25"/>
      <c r="B72" s="23" t="s">
        <v>126</v>
      </c>
      <c r="C72" s="25" t="s">
        <v>35</v>
      </c>
      <c r="D72" s="23"/>
      <c r="E72" s="27">
        <v>1</v>
      </c>
      <c r="F72" s="21">
        <v>1</v>
      </c>
      <c r="G72" s="21">
        <v>358.51</v>
      </c>
      <c r="H72" s="215">
        <f>G72*F72/1000</f>
        <v>0.35851</v>
      </c>
      <c r="I72" s="21">
        <v>0</v>
      </c>
      <c r="J72" s="200"/>
      <c r="K72" s="201"/>
      <c r="L72" s="201"/>
      <c r="M72" s="201"/>
      <c r="N72" s="201"/>
      <c r="O72" s="201"/>
      <c r="P72" s="201"/>
      <c r="Q72" s="201"/>
      <c r="R72" s="201"/>
      <c r="S72" s="201"/>
      <c r="T72" s="205"/>
      <c r="U72" s="205"/>
    </row>
    <row r="73" spans="1:21" ht="15" hidden="1" customHeight="1">
      <c r="A73" s="255"/>
      <c r="B73" s="234" t="s">
        <v>91</v>
      </c>
      <c r="C73" s="253"/>
      <c r="D73" s="253"/>
      <c r="E73" s="27"/>
      <c r="F73" s="21"/>
      <c r="G73" s="21" t="s">
        <v>183</v>
      </c>
      <c r="H73" s="215" t="s">
        <v>183</v>
      </c>
      <c r="I73" s="21"/>
      <c r="J73" s="200"/>
      <c r="K73" s="201"/>
      <c r="L73" s="201"/>
      <c r="M73" s="201"/>
      <c r="N73" s="201"/>
      <c r="O73" s="201"/>
      <c r="P73" s="201"/>
      <c r="Q73" s="201"/>
      <c r="R73" s="201"/>
      <c r="S73" s="201"/>
      <c r="T73" s="205"/>
      <c r="U73" s="205"/>
    </row>
    <row r="74" spans="1:21" ht="15" hidden="1" customHeight="1">
      <c r="A74" s="25"/>
      <c r="B74" s="85" t="s">
        <v>92</v>
      </c>
      <c r="C74" s="25" t="s">
        <v>93</v>
      </c>
      <c r="D74" s="23"/>
      <c r="E74" s="27"/>
      <c r="F74" s="21">
        <v>1</v>
      </c>
      <c r="G74" s="21">
        <v>2579.44</v>
      </c>
      <c r="H74" s="215">
        <f t="shared" si="8"/>
        <v>2.57944</v>
      </c>
      <c r="I74" s="21">
        <v>0</v>
      </c>
      <c r="J74" s="200"/>
      <c r="K74" s="201"/>
      <c r="L74" s="201"/>
      <c r="M74" s="201"/>
      <c r="N74" s="201"/>
      <c r="O74" s="201"/>
      <c r="P74" s="201"/>
      <c r="Q74" s="201"/>
      <c r="R74" s="201"/>
      <c r="S74" s="201"/>
      <c r="T74" s="205"/>
      <c r="U74" s="205"/>
    </row>
    <row r="75" spans="1:21" ht="15" customHeight="1">
      <c r="A75" s="248"/>
      <c r="B75" s="188" t="s">
        <v>165</v>
      </c>
      <c r="C75" s="254"/>
      <c r="D75" s="254"/>
      <c r="E75" s="237"/>
      <c r="F75" s="21"/>
      <c r="G75" s="21"/>
      <c r="H75" s="215"/>
      <c r="I75" s="21"/>
      <c r="J75" s="200"/>
      <c r="K75" s="201"/>
      <c r="L75" s="201"/>
      <c r="M75" s="201"/>
      <c r="N75" s="201"/>
      <c r="O75" s="201"/>
      <c r="P75" s="201"/>
      <c r="Q75" s="201"/>
      <c r="R75" s="201"/>
      <c r="S75" s="201"/>
      <c r="T75" s="205"/>
      <c r="U75" s="205"/>
    </row>
    <row r="76" spans="1:21" ht="15" customHeight="1">
      <c r="A76" s="236">
        <v>28</v>
      </c>
      <c r="B76" s="252" t="s">
        <v>166</v>
      </c>
      <c r="C76" s="33"/>
      <c r="D76" s="32"/>
      <c r="E76" s="237"/>
      <c r="F76" s="21">
        <v>1</v>
      </c>
      <c r="G76" s="21">
        <v>20950</v>
      </c>
      <c r="H76" s="215">
        <f>G76*F76/1000</f>
        <v>20.95</v>
      </c>
      <c r="I76" s="21">
        <f>F76*G76</f>
        <v>20950</v>
      </c>
      <c r="J76" s="200"/>
      <c r="K76" s="201"/>
      <c r="L76" s="201"/>
      <c r="M76" s="201"/>
      <c r="N76" s="201"/>
      <c r="O76" s="201"/>
      <c r="P76" s="201"/>
      <c r="Q76" s="201"/>
      <c r="R76" s="201"/>
      <c r="S76" s="201"/>
      <c r="T76" s="205"/>
      <c r="U76" s="205"/>
    </row>
    <row r="77" spans="1:21" ht="15" customHeight="1">
      <c r="A77" s="274" t="s">
        <v>227</v>
      </c>
      <c r="B77" s="275"/>
      <c r="C77" s="275"/>
      <c r="D77" s="275"/>
      <c r="E77" s="275"/>
      <c r="F77" s="275"/>
      <c r="G77" s="275"/>
      <c r="H77" s="275"/>
      <c r="I77" s="276"/>
      <c r="J77" s="200"/>
      <c r="K77" s="201"/>
      <c r="L77" s="201"/>
      <c r="M77" s="201"/>
      <c r="N77" s="201"/>
      <c r="O77" s="201"/>
      <c r="P77" s="201"/>
      <c r="Q77" s="201"/>
      <c r="R77" s="201"/>
      <c r="S77" s="201"/>
      <c r="T77" s="205"/>
      <c r="U77" s="205"/>
    </row>
    <row r="78" spans="1:21" ht="15" customHeight="1">
      <c r="A78" s="25">
        <v>29</v>
      </c>
      <c r="B78" s="176" t="s">
        <v>207</v>
      </c>
      <c r="C78" s="25" t="s">
        <v>70</v>
      </c>
      <c r="D78" s="238"/>
      <c r="E78" s="21">
        <v>2549.5</v>
      </c>
      <c r="F78" s="21">
        <f>SUM(E78*12)</f>
        <v>30594</v>
      </c>
      <c r="G78" s="21">
        <v>2.1</v>
      </c>
      <c r="H78" s="215">
        <f>SUM(F78*G78/1000)</f>
        <v>64.247399999999999</v>
      </c>
      <c r="I78" s="21">
        <f>F78/12*G78</f>
        <v>5353.95</v>
      </c>
      <c r="J78" s="200"/>
      <c r="K78" s="201"/>
      <c r="L78" s="201"/>
      <c r="M78" s="201"/>
      <c r="N78" s="201"/>
      <c r="O78" s="201"/>
      <c r="P78" s="201"/>
      <c r="Q78" s="201"/>
      <c r="R78" s="201"/>
      <c r="S78" s="201"/>
      <c r="T78" s="205"/>
      <c r="U78" s="205"/>
    </row>
    <row r="79" spans="1:21" ht="30" customHeight="1">
      <c r="A79" s="255">
        <v>30</v>
      </c>
      <c r="B79" s="23" t="s">
        <v>94</v>
      </c>
      <c r="C79" s="25"/>
      <c r="D79" s="85"/>
      <c r="E79" s="212">
        <f>E78</f>
        <v>2549.5</v>
      </c>
      <c r="F79" s="21">
        <f>E79*12</f>
        <v>30594</v>
      </c>
      <c r="G79" s="21">
        <v>1.63</v>
      </c>
      <c r="H79" s="215">
        <f>F79*G79/1000</f>
        <v>49.868219999999994</v>
      </c>
      <c r="I79" s="21">
        <f>F79/12*G79</f>
        <v>4155.6849999999995</v>
      </c>
      <c r="J79" s="200"/>
      <c r="K79" s="201"/>
      <c r="L79" s="201"/>
      <c r="M79" s="201"/>
      <c r="N79" s="201"/>
      <c r="O79" s="201"/>
      <c r="P79" s="201"/>
      <c r="Q79" s="201"/>
      <c r="R79" s="201"/>
      <c r="S79" s="201"/>
      <c r="T79" s="205"/>
      <c r="U79" s="205"/>
    </row>
    <row r="80" spans="1:21" ht="15" customHeight="1">
      <c r="A80" s="239"/>
      <c r="B80" s="73" t="s">
        <v>99</v>
      </c>
      <c r="C80" s="234"/>
      <c r="D80" s="233"/>
      <c r="E80" s="235"/>
      <c r="F80" s="235"/>
      <c r="G80" s="235"/>
      <c r="H80" s="222">
        <f>H79</f>
        <v>49.868219999999994</v>
      </c>
      <c r="I80" s="235">
        <f>I15+I16+I17+I18+I19+I20+I21+I22+I23+I24+I25+I26+I28+I29+I30+I31+I44+I45+I46+I47+I48+I49+I63+I64+I65+I66+I67+I76+I78+I79</f>
        <v>129496.99277312223</v>
      </c>
      <c r="J80" s="202"/>
      <c r="K80" s="203"/>
      <c r="L80" s="203"/>
      <c r="M80" s="203"/>
      <c r="N80" s="203"/>
      <c r="O80" s="203"/>
      <c r="P80" s="203"/>
      <c r="Q80" s="203"/>
      <c r="R80" s="203"/>
      <c r="S80" s="203"/>
      <c r="T80" s="205"/>
      <c r="U80" s="205"/>
    </row>
    <row r="81" spans="1:21" ht="15" customHeight="1">
      <c r="A81" s="239"/>
      <c r="B81" s="145" t="s">
        <v>75</v>
      </c>
      <c r="C81" s="25"/>
      <c r="D81" s="85"/>
      <c r="E81" s="21"/>
      <c r="F81" s="21"/>
      <c r="G81" s="21"/>
      <c r="H81" s="222" t="e">
        <f>SUM(H80+#REF!+#REF!+#REF!+#REF!+#REF!+#REF!)</f>
        <v>#REF!</v>
      </c>
      <c r="I81" s="21"/>
      <c r="J81" s="200"/>
      <c r="K81" s="201"/>
      <c r="L81" s="201"/>
      <c r="M81" s="201"/>
      <c r="N81" s="201"/>
      <c r="O81" s="201"/>
      <c r="P81" s="201"/>
      <c r="Q81" s="201"/>
      <c r="R81" s="201"/>
      <c r="S81" s="201"/>
      <c r="T81" s="205"/>
      <c r="U81" s="205"/>
    </row>
    <row r="82" spans="1:21" ht="15" hidden="1" customHeight="1">
      <c r="A82" s="240">
        <v>20</v>
      </c>
      <c r="B82" s="146" t="s">
        <v>124</v>
      </c>
      <c r="C82" s="240" t="s">
        <v>208</v>
      </c>
      <c r="D82" s="23"/>
      <c r="E82" s="27"/>
      <c r="F82" s="21">
        <v>1</v>
      </c>
      <c r="G82" s="21">
        <v>1501</v>
      </c>
      <c r="H82" s="215">
        <f t="shared" ref="H82:H88" si="10">G82*F82/1000</f>
        <v>1.5009999999999999</v>
      </c>
      <c r="I82" s="260">
        <f>G82</f>
        <v>1501</v>
      </c>
      <c r="J82" s="200"/>
      <c r="K82" s="201"/>
      <c r="L82" s="201"/>
      <c r="M82" s="201"/>
      <c r="N82" s="201"/>
      <c r="O82" s="201"/>
      <c r="P82" s="201"/>
      <c r="Q82" s="201"/>
      <c r="R82" s="201"/>
      <c r="S82" s="201"/>
      <c r="T82" s="205"/>
      <c r="U82" s="205"/>
    </row>
    <row r="83" spans="1:21" ht="15" hidden="1" customHeight="1">
      <c r="A83" s="240"/>
      <c r="B83" s="146" t="s">
        <v>209</v>
      </c>
      <c r="C83" s="240" t="s">
        <v>210</v>
      </c>
      <c r="D83" s="23"/>
      <c r="E83" s="27"/>
      <c r="F83" s="21">
        <v>1</v>
      </c>
      <c r="G83" s="21">
        <v>195.95</v>
      </c>
      <c r="H83" s="215">
        <f t="shared" si="10"/>
        <v>0.19594999999999999</v>
      </c>
      <c r="I83" s="260">
        <v>0</v>
      </c>
      <c r="J83" s="200"/>
      <c r="K83" s="201"/>
      <c r="L83" s="201"/>
      <c r="M83" s="201"/>
      <c r="N83" s="201"/>
      <c r="O83" s="201"/>
      <c r="P83" s="201"/>
      <c r="Q83" s="201"/>
      <c r="R83" s="201"/>
      <c r="S83" s="201"/>
      <c r="T83" s="205"/>
      <c r="U83" s="205"/>
    </row>
    <row r="84" spans="1:21" ht="15" hidden="1" customHeight="1">
      <c r="A84" s="240"/>
      <c r="B84" s="146" t="s">
        <v>211</v>
      </c>
      <c r="C84" s="240" t="s">
        <v>107</v>
      </c>
      <c r="D84" s="23"/>
      <c r="E84" s="27"/>
      <c r="F84" s="21">
        <v>3</v>
      </c>
      <c r="G84" s="21">
        <v>185.81</v>
      </c>
      <c r="H84" s="215">
        <f t="shared" si="10"/>
        <v>0.55743000000000009</v>
      </c>
      <c r="I84" s="260">
        <v>0</v>
      </c>
      <c r="J84" s="200"/>
      <c r="K84" s="201"/>
      <c r="L84" s="201"/>
      <c r="M84" s="201"/>
      <c r="N84" s="201"/>
      <c r="O84" s="201"/>
      <c r="P84" s="201"/>
      <c r="Q84" s="201"/>
      <c r="R84" s="201"/>
      <c r="S84" s="201"/>
      <c r="T84" s="205"/>
      <c r="U84" s="205"/>
    </row>
    <row r="85" spans="1:21" ht="15" hidden="1" customHeight="1">
      <c r="A85" s="241"/>
      <c r="B85" s="146" t="s">
        <v>212</v>
      </c>
      <c r="C85" s="240" t="s">
        <v>159</v>
      </c>
      <c r="D85" s="23"/>
      <c r="E85" s="27"/>
      <c r="F85" s="21">
        <v>1</v>
      </c>
      <c r="G85" s="21">
        <v>2179.33</v>
      </c>
      <c r="H85" s="215">
        <f t="shared" si="10"/>
        <v>2.1793299999999998</v>
      </c>
      <c r="I85" s="260">
        <v>0</v>
      </c>
      <c r="J85" s="200"/>
      <c r="K85" s="201"/>
      <c r="L85" s="201"/>
      <c r="M85" s="201"/>
      <c r="N85" s="201"/>
      <c r="O85" s="201"/>
      <c r="P85" s="201"/>
      <c r="Q85" s="201"/>
      <c r="R85" s="201"/>
      <c r="S85" s="201"/>
      <c r="T85" s="205"/>
      <c r="U85" s="205"/>
    </row>
    <row r="86" spans="1:21" ht="15" hidden="1" customHeight="1">
      <c r="A86" s="240"/>
      <c r="B86" s="146" t="s">
        <v>172</v>
      </c>
      <c r="C86" s="240" t="s">
        <v>46</v>
      </c>
      <c r="D86" s="23"/>
      <c r="E86" s="27"/>
      <c r="F86" s="21">
        <f>6/100</f>
        <v>0.06</v>
      </c>
      <c r="G86" s="21">
        <v>3397.65</v>
      </c>
      <c r="H86" s="215">
        <f t="shared" si="10"/>
        <v>0.20385900000000001</v>
      </c>
      <c r="I86" s="260">
        <v>0</v>
      </c>
      <c r="J86" s="200"/>
      <c r="K86" s="201"/>
      <c r="L86" s="201"/>
      <c r="M86" s="201"/>
      <c r="N86" s="201"/>
      <c r="O86" s="201"/>
      <c r="P86" s="201"/>
      <c r="Q86" s="201"/>
      <c r="R86" s="201"/>
      <c r="S86" s="201"/>
      <c r="T86" s="205"/>
      <c r="U86" s="205"/>
    </row>
    <row r="87" spans="1:21" ht="30" customHeight="1">
      <c r="A87" s="240">
        <v>31</v>
      </c>
      <c r="B87" s="146" t="s">
        <v>213</v>
      </c>
      <c r="C87" s="240" t="s">
        <v>101</v>
      </c>
      <c r="D87" s="23"/>
      <c r="E87" s="27"/>
      <c r="F87" s="21">
        <v>8</v>
      </c>
      <c r="G87" s="21">
        <v>1187</v>
      </c>
      <c r="H87" s="215">
        <f t="shared" si="10"/>
        <v>9.4960000000000004</v>
      </c>
      <c r="I87" s="260">
        <f>G87*2</f>
        <v>2374</v>
      </c>
      <c r="J87" s="200"/>
      <c r="K87" s="201"/>
      <c r="L87" s="201"/>
      <c r="M87" s="201"/>
      <c r="N87" s="201"/>
      <c r="O87" s="201"/>
      <c r="P87" s="201"/>
      <c r="Q87" s="201"/>
      <c r="R87" s="201"/>
      <c r="S87" s="201"/>
      <c r="T87" s="205"/>
      <c r="U87" s="205"/>
    </row>
    <row r="88" spans="1:21" ht="15" hidden="1" customHeight="1">
      <c r="A88" s="240"/>
      <c r="B88" s="146" t="s">
        <v>173</v>
      </c>
      <c r="C88" s="240" t="s">
        <v>174</v>
      </c>
      <c r="D88" s="23"/>
      <c r="E88" s="27"/>
      <c r="F88" s="21">
        <f>1/100</f>
        <v>0.01</v>
      </c>
      <c r="G88" s="21">
        <v>7033.13</v>
      </c>
      <c r="H88" s="215">
        <f t="shared" si="10"/>
        <v>7.0331299999999999E-2</v>
      </c>
      <c r="I88" s="260">
        <v>0</v>
      </c>
      <c r="J88" s="200"/>
      <c r="K88" s="201"/>
      <c r="L88" s="201"/>
      <c r="M88" s="201"/>
      <c r="N88" s="201"/>
      <c r="O88" s="201"/>
      <c r="P88" s="201"/>
      <c r="Q88" s="201"/>
      <c r="R88" s="201"/>
      <c r="S88" s="201"/>
      <c r="T88" s="205"/>
      <c r="U88" s="205"/>
    </row>
    <row r="89" spans="1:21" ht="15" hidden="1" customHeight="1">
      <c r="A89" s="241"/>
      <c r="B89" s="146" t="s">
        <v>98</v>
      </c>
      <c r="C89" s="240" t="s">
        <v>159</v>
      </c>
      <c r="D89" s="23"/>
      <c r="E89" s="27"/>
      <c r="F89" s="21">
        <v>1</v>
      </c>
      <c r="G89" s="21">
        <v>79.09</v>
      </c>
      <c r="H89" s="215">
        <f>G89*F89/1000</f>
        <v>7.9090000000000008E-2</v>
      </c>
      <c r="I89" s="260">
        <v>0</v>
      </c>
      <c r="J89" s="200"/>
      <c r="K89" s="201"/>
      <c r="L89" s="201"/>
      <c r="M89" s="201"/>
      <c r="N89" s="201"/>
      <c r="O89" s="201"/>
      <c r="P89" s="201"/>
      <c r="Q89" s="201"/>
      <c r="R89" s="201"/>
      <c r="S89" s="201"/>
      <c r="T89" s="205"/>
      <c r="U89" s="205"/>
    </row>
    <row r="90" spans="1:21" ht="15" hidden="1" customHeight="1">
      <c r="A90" s="242"/>
      <c r="B90" s="243" t="s">
        <v>108</v>
      </c>
      <c r="C90" s="240" t="s">
        <v>159</v>
      </c>
      <c r="D90" s="23"/>
      <c r="E90" s="27"/>
      <c r="F90" s="21">
        <v>1</v>
      </c>
      <c r="G90" s="21">
        <v>179.96</v>
      </c>
      <c r="H90" s="215">
        <f>G90*F90/1000</f>
        <v>0.17996000000000001</v>
      </c>
      <c r="I90" s="260">
        <v>0</v>
      </c>
      <c r="J90" s="200"/>
      <c r="K90" s="201"/>
      <c r="L90" s="201"/>
      <c r="M90" s="201"/>
      <c r="N90" s="201"/>
      <c r="O90" s="201"/>
      <c r="P90" s="201"/>
      <c r="Q90" s="201"/>
      <c r="R90" s="201"/>
      <c r="S90" s="201"/>
      <c r="T90" s="205"/>
      <c r="U90" s="205"/>
    </row>
    <row r="91" spans="1:21" ht="15" hidden="1" customHeight="1">
      <c r="A91" s="210"/>
      <c r="B91" s="176" t="s">
        <v>214</v>
      </c>
      <c r="C91" s="211" t="s">
        <v>159</v>
      </c>
      <c r="D91" s="23"/>
      <c r="E91" s="27"/>
      <c r="F91" s="21">
        <v>1</v>
      </c>
      <c r="G91" s="21">
        <v>81.73</v>
      </c>
      <c r="H91" s="215">
        <f>G91*F91/1000</f>
        <v>8.1729999999999997E-2</v>
      </c>
      <c r="I91" s="260">
        <v>0</v>
      </c>
      <c r="J91" s="200"/>
      <c r="K91" s="201"/>
      <c r="L91" s="201"/>
      <c r="M91" s="201"/>
      <c r="N91" s="201"/>
      <c r="O91" s="201"/>
      <c r="P91" s="201"/>
      <c r="Q91" s="201"/>
      <c r="R91" s="201"/>
      <c r="S91" s="201"/>
      <c r="T91" s="205"/>
      <c r="U91" s="205"/>
    </row>
    <row r="92" spans="1:21" ht="15" hidden="1" customHeight="1">
      <c r="A92" s="242"/>
      <c r="B92" s="243" t="s">
        <v>215</v>
      </c>
      <c r="C92" s="240" t="s">
        <v>70</v>
      </c>
      <c r="D92" s="23"/>
      <c r="E92" s="27"/>
      <c r="F92" s="21">
        <v>1.5</v>
      </c>
      <c r="G92" s="21">
        <v>429.55</v>
      </c>
      <c r="H92" s="215">
        <f>G92*F92/1000</f>
        <v>0.64432500000000004</v>
      </c>
      <c r="I92" s="260">
        <v>0</v>
      </c>
      <c r="J92" s="200"/>
      <c r="K92" s="201"/>
      <c r="L92" s="201"/>
      <c r="M92" s="201"/>
      <c r="N92" s="201"/>
      <c r="O92" s="201"/>
      <c r="P92" s="201"/>
      <c r="Q92" s="201"/>
      <c r="R92" s="201"/>
      <c r="S92" s="201"/>
      <c r="T92" s="205"/>
      <c r="U92" s="205"/>
    </row>
    <row r="93" spans="1:21" ht="15" hidden="1" customHeight="1">
      <c r="A93" s="244"/>
      <c r="B93" s="245" t="s">
        <v>136</v>
      </c>
      <c r="C93" s="244" t="s">
        <v>137</v>
      </c>
      <c r="D93" s="23"/>
      <c r="E93" s="27"/>
      <c r="F93" s="21">
        <f>33/3</f>
        <v>11</v>
      </c>
      <c r="G93" s="21">
        <v>1063.47</v>
      </c>
      <c r="H93" s="215">
        <f>G93*F93/1000</f>
        <v>11.698169999999999</v>
      </c>
      <c r="I93" s="260">
        <v>0</v>
      </c>
      <c r="J93" s="200"/>
      <c r="K93" s="201"/>
      <c r="L93" s="201"/>
      <c r="M93" s="201"/>
      <c r="N93" s="201"/>
      <c r="O93" s="201"/>
      <c r="P93" s="201"/>
      <c r="Q93" s="201"/>
      <c r="R93" s="201"/>
      <c r="S93" s="201"/>
      <c r="T93" s="205"/>
      <c r="U93" s="205"/>
    </row>
    <row r="94" spans="1:21" ht="15" customHeight="1">
      <c r="A94" s="25"/>
      <c r="B94" s="247" t="s">
        <v>216</v>
      </c>
      <c r="C94" s="246"/>
      <c r="D94" s="246"/>
      <c r="E94" s="21"/>
      <c r="F94" s="21"/>
      <c r="G94" s="21"/>
      <c r="H94" s="222">
        <f>SUM(H82:H93)</f>
        <v>26.887175299999999</v>
      </c>
      <c r="I94" s="235">
        <f>I87</f>
        <v>2374</v>
      </c>
      <c r="J94" s="200"/>
      <c r="K94" s="201"/>
      <c r="L94" s="201"/>
      <c r="M94" s="201"/>
      <c r="N94" s="201"/>
      <c r="O94" s="201"/>
      <c r="P94" s="201"/>
      <c r="Q94" s="201"/>
      <c r="R94" s="201"/>
      <c r="S94" s="201"/>
      <c r="T94" s="205"/>
      <c r="U94" s="205"/>
    </row>
    <row r="95" spans="1:21" ht="15" customHeight="1">
      <c r="A95" s="51"/>
      <c r="B95" s="85" t="s">
        <v>95</v>
      </c>
      <c r="C95" s="24"/>
      <c r="D95" s="24"/>
      <c r="E95" s="77"/>
      <c r="F95" s="77"/>
      <c r="G95" s="78"/>
      <c r="H95" s="78"/>
      <c r="I95" s="26">
        <v>0</v>
      </c>
      <c r="J95" s="204"/>
      <c r="K95" s="205"/>
      <c r="L95" s="29"/>
      <c r="M95" s="30"/>
      <c r="N95" s="31"/>
      <c r="O95" s="205"/>
      <c r="P95" s="205"/>
      <c r="Q95" s="205"/>
      <c r="R95" s="205"/>
      <c r="S95" s="205"/>
      <c r="T95" s="205"/>
      <c r="U95" s="205"/>
    </row>
    <row r="96" spans="1:21" ht="15" customHeight="1">
      <c r="A96" s="51"/>
      <c r="B96" s="81" t="s">
        <v>64</v>
      </c>
      <c r="C96" s="24"/>
      <c r="D96" s="24"/>
      <c r="E96" s="77"/>
      <c r="F96" s="77"/>
      <c r="G96" s="78"/>
      <c r="H96" s="78"/>
      <c r="I96" s="79">
        <f>I80+I94</f>
        <v>131870.99277312221</v>
      </c>
      <c r="J96" s="204"/>
      <c r="K96" s="205"/>
      <c r="L96" s="29"/>
      <c r="M96" s="30"/>
      <c r="N96" s="31"/>
      <c r="O96" s="205"/>
      <c r="P96" s="205"/>
      <c r="Q96" s="205"/>
      <c r="R96" s="205"/>
      <c r="S96" s="205"/>
      <c r="T96" s="205"/>
      <c r="U96" s="205"/>
    </row>
    <row r="97" spans="1:22" ht="15.75">
      <c r="A97" s="263" t="s">
        <v>236</v>
      </c>
      <c r="B97" s="263"/>
      <c r="C97" s="263"/>
      <c r="D97" s="263"/>
      <c r="E97" s="263"/>
      <c r="F97" s="263"/>
      <c r="G97" s="263"/>
      <c r="H97" s="263"/>
      <c r="I97" s="263"/>
      <c r="J97" s="205"/>
      <c r="K97" s="205"/>
      <c r="L97" s="205"/>
      <c r="M97" s="205"/>
      <c r="N97" s="205"/>
      <c r="O97" s="205"/>
      <c r="P97" s="205"/>
      <c r="Q97" s="205"/>
      <c r="R97" s="205"/>
      <c r="S97" s="205"/>
      <c r="T97" s="205"/>
      <c r="U97" s="205"/>
    </row>
    <row r="98" spans="1:22" ht="15.75">
      <c r="A98" s="13"/>
      <c r="B98" s="264" t="s">
        <v>237</v>
      </c>
      <c r="C98" s="264"/>
      <c r="D98" s="264"/>
      <c r="E98" s="264"/>
      <c r="F98" s="264"/>
      <c r="G98" s="264"/>
      <c r="H98" s="186"/>
      <c r="I98" s="4"/>
      <c r="J98" s="205"/>
      <c r="K98" s="205"/>
      <c r="L98" s="205"/>
      <c r="M98" s="205"/>
      <c r="N98" s="205"/>
      <c r="O98" s="205"/>
      <c r="P98" s="205"/>
      <c r="Q98" s="205"/>
      <c r="R98" s="205"/>
      <c r="S98" s="205"/>
      <c r="T98" s="205"/>
      <c r="U98" s="205"/>
    </row>
    <row r="99" spans="1:22" ht="15.75">
      <c r="A99" s="187"/>
      <c r="B99" s="280" t="s">
        <v>7</v>
      </c>
      <c r="C99" s="280"/>
      <c r="D99" s="280"/>
      <c r="E99" s="280"/>
      <c r="F99" s="280"/>
      <c r="G99" s="280"/>
      <c r="H99" s="199"/>
      <c r="I99" s="123"/>
      <c r="J99" s="205"/>
      <c r="K99" s="205"/>
      <c r="L99" s="205"/>
      <c r="M99" s="205"/>
      <c r="N99" s="205"/>
      <c r="O99" s="205"/>
      <c r="P99" s="205"/>
      <c r="Q99" s="205"/>
      <c r="R99" s="205"/>
      <c r="S99" s="205"/>
      <c r="T99" s="205"/>
      <c r="U99" s="205"/>
    </row>
    <row r="100" spans="1:22" ht="15.75" customHeight="1">
      <c r="A100" s="124"/>
      <c r="B100" s="124"/>
      <c r="C100" s="124"/>
      <c r="D100" s="124"/>
      <c r="E100" s="124"/>
      <c r="F100" s="124"/>
      <c r="G100" s="124"/>
      <c r="H100" s="124"/>
      <c r="I100" s="124"/>
      <c r="J100" s="4"/>
      <c r="K100" s="4"/>
      <c r="L100" s="4"/>
      <c r="M100" s="4"/>
      <c r="N100" s="4"/>
      <c r="O100" s="4"/>
      <c r="P100" s="4"/>
      <c r="Q100" s="206"/>
      <c r="R100" s="206"/>
      <c r="S100" s="206"/>
      <c r="T100" s="206"/>
      <c r="U100" s="206"/>
      <c r="V100" s="12"/>
    </row>
    <row r="101" spans="1:22" ht="15.75" customHeight="1">
      <c r="A101" s="281" t="s">
        <v>8</v>
      </c>
      <c r="B101" s="281"/>
      <c r="C101" s="281"/>
      <c r="D101" s="281"/>
      <c r="E101" s="281"/>
      <c r="F101" s="281"/>
      <c r="G101" s="281"/>
      <c r="H101" s="281"/>
      <c r="I101" s="281"/>
      <c r="J101" s="43"/>
      <c r="K101" s="43"/>
      <c r="L101" s="4"/>
      <c r="M101" s="4"/>
      <c r="N101" s="4"/>
      <c r="O101" s="4"/>
      <c r="P101" s="4"/>
      <c r="Q101" s="206"/>
      <c r="R101" s="206"/>
      <c r="S101" s="206"/>
      <c r="T101" s="206"/>
      <c r="U101" s="206"/>
    </row>
    <row r="102" spans="1:22" ht="15.75">
      <c r="A102" s="281" t="s">
        <v>9</v>
      </c>
      <c r="B102" s="281"/>
      <c r="C102" s="281"/>
      <c r="D102" s="281"/>
      <c r="E102" s="281"/>
      <c r="F102" s="281"/>
      <c r="G102" s="281"/>
      <c r="H102" s="281"/>
      <c r="I102" s="281"/>
      <c r="J102" s="4"/>
      <c r="K102" s="4"/>
      <c r="L102" s="4"/>
      <c r="M102" s="4"/>
      <c r="N102" s="4"/>
      <c r="O102" s="4"/>
      <c r="P102" s="4"/>
      <c r="Q102" s="206"/>
      <c r="R102" s="205"/>
      <c r="S102" s="206"/>
      <c r="T102" s="206"/>
      <c r="U102" s="206"/>
    </row>
    <row r="103" spans="1:22" ht="15.75">
      <c r="A103" s="263" t="s">
        <v>10</v>
      </c>
      <c r="B103" s="263"/>
      <c r="C103" s="263"/>
      <c r="D103" s="263"/>
      <c r="E103" s="263"/>
      <c r="F103" s="263"/>
      <c r="G103" s="263"/>
      <c r="H103" s="263"/>
      <c r="I103" s="263"/>
      <c r="J103" s="6"/>
      <c r="K103" s="6"/>
      <c r="L103" s="6"/>
      <c r="M103" s="6"/>
      <c r="N103" s="6"/>
      <c r="O103" s="6"/>
      <c r="P103" s="6"/>
      <c r="Q103" s="207"/>
      <c r="R103" s="261"/>
      <c r="S103" s="261"/>
      <c r="T103" s="261"/>
      <c r="U103" s="261"/>
    </row>
    <row r="104" spans="1:22" ht="15.75">
      <c r="A104" s="15"/>
      <c r="B104" s="121"/>
      <c r="C104" s="121"/>
      <c r="D104" s="121"/>
      <c r="E104" s="121"/>
      <c r="F104" s="121"/>
      <c r="G104" s="121"/>
      <c r="H104" s="121"/>
      <c r="I104" s="121"/>
      <c r="J104" s="14"/>
      <c r="K104" s="14"/>
      <c r="L104" s="14"/>
      <c r="M104" s="14"/>
      <c r="N104" s="14"/>
      <c r="O104" s="14"/>
      <c r="P104" s="14"/>
      <c r="Q104" s="208"/>
      <c r="R104" s="208"/>
      <c r="S104" s="208"/>
      <c r="T104" s="208"/>
      <c r="U104" s="208"/>
    </row>
    <row r="105" spans="1:22" ht="15.75">
      <c r="A105" s="15"/>
      <c r="B105" s="121"/>
      <c r="C105" s="121"/>
      <c r="D105" s="121"/>
      <c r="E105" s="121"/>
      <c r="F105" s="121"/>
      <c r="G105" s="121"/>
      <c r="H105" s="121"/>
      <c r="I105" s="121"/>
    </row>
    <row r="106" spans="1:22" ht="15.75">
      <c r="A106" s="262" t="s">
        <v>11</v>
      </c>
      <c r="B106" s="262"/>
      <c r="C106" s="262"/>
      <c r="D106" s="262"/>
      <c r="E106" s="262"/>
      <c r="F106" s="262"/>
      <c r="G106" s="262"/>
      <c r="H106" s="262"/>
      <c r="I106" s="262"/>
    </row>
    <row r="107" spans="1:22" ht="15.75" customHeight="1">
      <c r="A107" s="5"/>
    </row>
    <row r="108" spans="1:22" ht="15.75">
      <c r="A108" s="263" t="s">
        <v>12</v>
      </c>
      <c r="B108" s="263"/>
      <c r="C108" s="287" t="s">
        <v>133</v>
      </c>
      <c r="D108" s="287"/>
      <c r="E108" s="287"/>
      <c r="F108" s="197"/>
      <c r="I108" s="185"/>
    </row>
    <row r="109" spans="1:22">
      <c r="A109" s="183"/>
      <c r="C109" s="277" t="s">
        <v>13</v>
      </c>
      <c r="D109" s="277"/>
      <c r="E109" s="277"/>
      <c r="F109" s="42"/>
      <c r="I109" s="184" t="s">
        <v>14</v>
      </c>
    </row>
    <row r="110" spans="1:22" ht="15.75">
      <c r="A110" s="43"/>
      <c r="C110" s="16"/>
      <c r="D110" s="16"/>
      <c r="G110" s="16"/>
      <c r="H110" s="16"/>
    </row>
    <row r="111" spans="1:22" ht="15.75" customHeight="1">
      <c r="A111" s="263" t="s">
        <v>15</v>
      </c>
      <c r="B111" s="263"/>
      <c r="C111" s="278"/>
      <c r="D111" s="278"/>
      <c r="E111" s="278"/>
      <c r="F111" s="198"/>
      <c r="I111" s="185"/>
    </row>
    <row r="112" spans="1:22">
      <c r="A112" s="183"/>
      <c r="C112" s="279" t="s">
        <v>13</v>
      </c>
      <c r="D112" s="279"/>
      <c r="E112" s="279"/>
      <c r="F112" s="183"/>
      <c r="I112" s="184" t="s">
        <v>14</v>
      </c>
    </row>
    <row r="113" spans="1:9" ht="15.75">
      <c r="A113" s="5" t="s">
        <v>16</v>
      </c>
    </row>
    <row r="114" spans="1:9">
      <c r="A114" s="288" t="s">
        <v>17</v>
      </c>
      <c r="B114" s="288"/>
      <c r="C114" s="288"/>
      <c r="D114" s="288"/>
      <c r="E114" s="288"/>
      <c r="F114" s="288"/>
      <c r="G114" s="288"/>
      <c r="H114" s="288"/>
      <c r="I114" s="288"/>
    </row>
    <row r="115" spans="1:9" ht="47.25" customHeight="1">
      <c r="A115" s="289" t="s">
        <v>18</v>
      </c>
      <c r="B115" s="289"/>
      <c r="C115" s="289"/>
      <c r="D115" s="289"/>
      <c r="E115" s="289"/>
      <c r="F115" s="289"/>
      <c r="G115" s="289"/>
      <c r="H115" s="289"/>
      <c r="I115" s="289"/>
    </row>
    <row r="116" spans="1:9" ht="31.5" customHeight="1">
      <c r="A116" s="289" t="s">
        <v>19</v>
      </c>
      <c r="B116" s="289"/>
      <c r="C116" s="289"/>
      <c r="D116" s="289"/>
      <c r="E116" s="289"/>
      <c r="F116" s="289"/>
      <c r="G116" s="289"/>
      <c r="H116" s="289"/>
      <c r="I116" s="289"/>
    </row>
    <row r="117" spans="1:9" ht="31.5" customHeight="1">
      <c r="A117" s="289" t="s">
        <v>24</v>
      </c>
      <c r="B117" s="289"/>
      <c r="C117" s="289"/>
      <c r="D117" s="289"/>
      <c r="E117" s="289"/>
      <c r="F117" s="289"/>
      <c r="G117" s="289"/>
      <c r="H117" s="289"/>
      <c r="I117" s="289"/>
    </row>
    <row r="118" spans="1:9" ht="15.75">
      <c r="A118" s="289" t="s">
        <v>23</v>
      </c>
      <c r="B118" s="289"/>
      <c r="C118" s="289"/>
      <c r="D118" s="289"/>
      <c r="E118" s="289"/>
      <c r="F118" s="289"/>
      <c r="G118" s="289"/>
      <c r="H118" s="289"/>
      <c r="I118" s="289"/>
    </row>
  </sheetData>
  <autoFilter ref="I14:I98"/>
  <mergeCells count="30">
    <mergeCell ref="A118:I118"/>
    <mergeCell ref="A106:I106"/>
    <mergeCell ref="A108:B108"/>
    <mergeCell ref="C108:E108"/>
    <mergeCell ref="C109:E109"/>
    <mergeCell ref="A111:B111"/>
    <mergeCell ref="C111:E111"/>
    <mergeCell ref="C112:E112"/>
    <mergeCell ref="A114:I114"/>
    <mergeCell ref="A115:I115"/>
    <mergeCell ref="A116:I116"/>
    <mergeCell ref="A117:I117"/>
    <mergeCell ref="R103:U103"/>
    <mergeCell ref="A27:I27"/>
    <mergeCell ref="A34:I34"/>
    <mergeCell ref="A43:I43"/>
    <mergeCell ref="A55:I55"/>
    <mergeCell ref="A77:I77"/>
    <mergeCell ref="A97:I97"/>
    <mergeCell ref="B98:G98"/>
    <mergeCell ref="B99:G99"/>
    <mergeCell ref="A101:I101"/>
    <mergeCell ref="A102:I102"/>
    <mergeCell ref="A103:I103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21" ht="15.75" customHeight="1">
      <c r="B1" s="57" t="s">
        <v>113</v>
      </c>
      <c r="I1" s="56"/>
    </row>
    <row r="2" spans="1:21" ht="15.75" customHeight="1">
      <c r="B2" s="46" t="s">
        <v>77</v>
      </c>
      <c r="J2" s="1"/>
      <c r="K2" s="1"/>
      <c r="L2" s="1"/>
      <c r="M2" s="1"/>
    </row>
    <row r="3" spans="1:21" ht="15.75" customHeight="1">
      <c r="A3" s="265" t="s">
        <v>238</v>
      </c>
      <c r="B3" s="265"/>
      <c r="C3" s="265"/>
      <c r="D3" s="265"/>
      <c r="E3" s="265"/>
      <c r="F3" s="265"/>
      <c r="G3" s="265"/>
      <c r="H3" s="265"/>
      <c r="I3" s="265"/>
      <c r="J3" s="2"/>
      <c r="K3" s="2"/>
      <c r="L3" s="2"/>
      <c r="M3" s="2"/>
    </row>
    <row r="4" spans="1:21" ht="33.75" customHeight="1">
      <c r="A4" s="266" t="s">
        <v>142</v>
      </c>
      <c r="B4" s="266"/>
      <c r="C4" s="266"/>
      <c r="D4" s="266"/>
      <c r="E4" s="266"/>
      <c r="F4" s="266"/>
      <c r="G4" s="266"/>
      <c r="H4" s="266"/>
      <c r="I4" s="266"/>
      <c r="J4" s="3"/>
      <c r="K4" s="3"/>
      <c r="L4" s="3"/>
      <c r="M4" s="3"/>
    </row>
    <row r="5" spans="1:21" ht="15.75" customHeight="1">
      <c r="A5" s="267" t="s">
        <v>239</v>
      </c>
      <c r="B5" s="268"/>
      <c r="C5" s="268"/>
      <c r="D5" s="268"/>
      <c r="E5" s="268"/>
      <c r="F5" s="268"/>
      <c r="G5" s="268"/>
      <c r="H5" s="268"/>
      <c r="I5" s="268"/>
      <c r="J5" s="4"/>
      <c r="K5" s="4"/>
      <c r="L5" s="4"/>
    </row>
    <row r="6" spans="1:21" ht="15.75" customHeight="1">
      <c r="A6" s="3"/>
      <c r="B6" s="193"/>
      <c r="C6" s="193"/>
      <c r="D6" s="193"/>
      <c r="E6" s="193"/>
      <c r="F6" s="193"/>
      <c r="G6" s="193"/>
      <c r="H6" s="193"/>
      <c r="I6" s="256">
        <v>42551</v>
      </c>
    </row>
    <row r="7" spans="1:21" ht="15.75">
      <c r="B7" s="190"/>
      <c r="C7" s="190"/>
      <c r="D7" s="190"/>
      <c r="E7" s="4"/>
      <c r="F7" s="4"/>
      <c r="G7" s="4"/>
      <c r="H7" s="4"/>
      <c r="J7" s="3"/>
      <c r="K7" s="3"/>
      <c r="L7" s="3"/>
      <c r="M7" s="3"/>
    </row>
    <row r="8" spans="1:21" ht="78.75" customHeight="1">
      <c r="A8" s="269" t="s">
        <v>275</v>
      </c>
      <c r="B8" s="269"/>
      <c r="C8" s="269"/>
      <c r="D8" s="269"/>
      <c r="E8" s="269"/>
      <c r="F8" s="269"/>
      <c r="G8" s="269"/>
      <c r="H8" s="269"/>
      <c r="I8" s="269"/>
      <c r="J8" s="3"/>
      <c r="K8" s="3"/>
      <c r="L8" s="3"/>
      <c r="M8" s="3"/>
    </row>
    <row r="9" spans="1:21" ht="15.75">
      <c r="A9" s="5"/>
      <c r="J9" s="4"/>
      <c r="K9" s="4"/>
      <c r="L9" s="4"/>
      <c r="M9" s="4"/>
    </row>
    <row r="10" spans="1:21" ht="47.25" customHeight="1">
      <c r="A10" s="270" t="s">
        <v>144</v>
      </c>
      <c r="B10" s="270"/>
      <c r="C10" s="270"/>
      <c r="D10" s="270"/>
      <c r="E10" s="270"/>
      <c r="F10" s="270"/>
      <c r="G10" s="270"/>
      <c r="H10" s="270"/>
      <c r="I10" s="270"/>
      <c r="J10" s="6"/>
      <c r="K10" s="6"/>
      <c r="L10" s="6"/>
      <c r="M10" s="6"/>
    </row>
    <row r="11" spans="1:21" ht="15.75" customHeight="1">
      <c r="A11" s="5"/>
      <c r="J11" s="3"/>
      <c r="K11" s="3"/>
      <c r="L11" s="3"/>
      <c r="M11" s="3"/>
    </row>
    <row r="12" spans="1:21" ht="51">
      <c r="A12" s="7" t="s">
        <v>0</v>
      </c>
      <c r="B12" s="7" t="s">
        <v>1</v>
      </c>
      <c r="C12" s="7" t="s">
        <v>2</v>
      </c>
      <c r="D12" s="7" t="s">
        <v>20</v>
      </c>
      <c r="E12" s="7" t="s">
        <v>21</v>
      </c>
      <c r="F12" s="7"/>
      <c r="G12" s="7" t="s">
        <v>25</v>
      </c>
      <c r="H12" s="7"/>
      <c r="I12" s="7" t="s">
        <v>3</v>
      </c>
      <c r="J12" s="4"/>
    </row>
    <row r="13" spans="1:21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21">
      <c r="A14" s="271" t="s">
        <v>4</v>
      </c>
      <c r="B14" s="272"/>
      <c r="C14" s="272"/>
      <c r="D14" s="272"/>
      <c r="E14" s="272"/>
      <c r="F14" s="272"/>
      <c r="G14" s="272"/>
      <c r="H14" s="272"/>
      <c r="I14" s="273"/>
      <c r="Q14" s="205"/>
      <c r="R14" s="205"/>
      <c r="S14" s="205"/>
      <c r="T14" s="205"/>
      <c r="U14" s="205"/>
    </row>
    <row r="15" spans="1:21" ht="30" customHeight="1">
      <c r="A15" s="210">
        <v>1</v>
      </c>
      <c r="B15" s="176" t="s">
        <v>117</v>
      </c>
      <c r="C15" s="211" t="s">
        <v>145</v>
      </c>
      <c r="D15" s="176" t="s">
        <v>180</v>
      </c>
      <c r="E15" s="212">
        <v>70.900000000000006</v>
      </c>
      <c r="F15" s="213">
        <f>SUM(E15*156/100)</f>
        <v>110.60400000000001</v>
      </c>
      <c r="G15" s="213">
        <v>175.38</v>
      </c>
      <c r="H15" s="214">
        <f t="shared" ref="H15:H24" si="0">SUM(F15*G15/1000)</f>
        <v>19.397729520000002</v>
      </c>
      <c r="I15" s="21">
        <f>F15/12*G15</f>
        <v>1616.4774600000001</v>
      </c>
      <c r="J15" s="200"/>
      <c r="K15" s="201"/>
      <c r="L15" s="201"/>
      <c r="M15" s="201"/>
      <c r="N15" s="201"/>
      <c r="O15" s="201"/>
      <c r="P15" s="201"/>
      <c r="Q15" s="201"/>
      <c r="R15" s="201"/>
      <c r="S15" s="201"/>
      <c r="T15" s="205"/>
      <c r="U15" s="205"/>
    </row>
    <row r="16" spans="1:21" ht="30" customHeight="1">
      <c r="A16" s="210">
        <v>2</v>
      </c>
      <c r="B16" s="176" t="s">
        <v>118</v>
      </c>
      <c r="C16" s="211" t="s">
        <v>145</v>
      </c>
      <c r="D16" s="176" t="s">
        <v>181</v>
      </c>
      <c r="E16" s="212">
        <v>212.7</v>
      </c>
      <c r="F16" s="213">
        <f>SUM(E16*104/100)</f>
        <v>221.208</v>
      </c>
      <c r="G16" s="213">
        <v>175.38</v>
      </c>
      <c r="H16" s="214">
        <f t="shared" si="0"/>
        <v>38.795459040000004</v>
      </c>
      <c r="I16" s="21">
        <f>F16/12*G16</f>
        <v>3232.9549200000001</v>
      </c>
      <c r="J16" s="200"/>
      <c r="K16" s="201"/>
      <c r="L16" s="201"/>
      <c r="M16" s="201"/>
      <c r="N16" s="201"/>
      <c r="O16" s="201"/>
      <c r="P16" s="201"/>
      <c r="Q16" s="201"/>
      <c r="R16" s="201"/>
      <c r="S16" s="201"/>
      <c r="T16" s="205"/>
      <c r="U16" s="205"/>
    </row>
    <row r="17" spans="1:21" ht="30" customHeight="1">
      <c r="A17" s="210">
        <v>3</v>
      </c>
      <c r="B17" s="176" t="s">
        <v>119</v>
      </c>
      <c r="C17" s="211" t="s">
        <v>145</v>
      </c>
      <c r="D17" s="176" t="s">
        <v>217</v>
      </c>
      <c r="E17" s="212">
        <f>SUM(E15+E16)</f>
        <v>283.60000000000002</v>
      </c>
      <c r="F17" s="213">
        <f>SUM(E17*24/100)</f>
        <v>68.064000000000007</v>
      </c>
      <c r="G17" s="213">
        <v>504.5</v>
      </c>
      <c r="H17" s="214">
        <f t="shared" si="0"/>
        <v>34.338287999999999</v>
      </c>
      <c r="I17" s="21">
        <f>F17/12*G17</f>
        <v>2861.5240000000003</v>
      </c>
      <c r="J17" s="200"/>
      <c r="K17" s="201"/>
      <c r="L17" s="201"/>
      <c r="M17" s="201"/>
      <c r="N17" s="201"/>
      <c r="O17" s="201"/>
      <c r="P17" s="201"/>
      <c r="Q17" s="201"/>
      <c r="R17" s="201"/>
      <c r="S17" s="201"/>
      <c r="T17" s="205"/>
      <c r="U17" s="205"/>
    </row>
    <row r="18" spans="1:21" hidden="1">
      <c r="A18" s="210">
        <v>4</v>
      </c>
      <c r="B18" s="176" t="s">
        <v>149</v>
      </c>
      <c r="C18" s="211" t="s">
        <v>150</v>
      </c>
      <c r="D18" s="176" t="s">
        <v>151</v>
      </c>
      <c r="E18" s="212">
        <v>40</v>
      </c>
      <c r="F18" s="213">
        <f>SUM(E18/10)</f>
        <v>4</v>
      </c>
      <c r="G18" s="213">
        <v>170.16</v>
      </c>
      <c r="H18" s="214">
        <f t="shared" si="0"/>
        <v>0.68064000000000002</v>
      </c>
      <c r="I18" s="21">
        <f>F18/2*G18</f>
        <v>340.32</v>
      </c>
      <c r="J18" s="200"/>
      <c r="K18" s="201"/>
      <c r="L18" s="201"/>
      <c r="M18" s="201"/>
      <c r="N18" s="201"/>
      <c r="O18" s="201"/>
      <c r="P18" s="201"/>
      <c r="Q18" s="201"/>
      <c r="R18" s="201"/>
      <c r="S18" s="201"/>
      <c r="T18" s="205"/>
      <c r="U18" s="205"/>
    </row>
    <row r="19" spans="1:21" hidden="1">
      <c r="A19" s="210">
        <v>5</v>
      </c>
      <c r="B19" s="176" t="s">
        <v>152</v>
      </c>
      <c r="C19" s="211" t="s">
        <v>145</v>
      </c>
      <c r="D19" s="176" t="s">
        <v>66</v>
      </c>
      <c r="E19" s="212">
        <v>10.5</v>
      </c>
      <c r="F19" s="213">
        <f t="shared" ref="F19:F24" si="1">SUM(E19/100)</f>
        <v>0.105</v>
      </c>
      <c r="G19" s="213">
        <v>217.88</v>
      </c>
      <c r="H19" s="214">
        <f t="shared" si="0"/>
        <v>2.2877399999999999E-2</v>
      </c>
      <c r="I19" s="21">
        <f t="shared" ref="I19:I24" si="2">F19*G19</f>
        <v>22.877399999999998</v>
      </c>
      <c r="J19" s="200"/>
      <c r="K19" s="201"/>
      <c r="L19" s="201"/>
      <c r="M19" s="201"/>
      <c r="N19" s="201"/>
      <c r="O19" s="201"/>
      <c r="P19" s="201"/>
      <c r="Q19" s="201"/>
      <c r="R19" s="201"/>
      <c r="S19" s="201"/>
      <c r="T19" s="205"/>
      <c r="U19" s="205"/>
    </row>
    <row r="20" spans="1:21" hidden="1">
      <c r="A20" s="210">
        <v>6</v>
      </c>
      <c r="B20" s="176" t="s">
        <v>153</v>
      </c>
      <c r="C20" s="211" t="s">
        <v>145</v>
      </c>
      <c r="D20" s="176" t="s">
        <v>66</v>
      </c>
      <c r="E20" s="212">
        <v>2.7</v>
      </c>
      <c r="F20" s="213">
        <f t="shared" si="1"/>
        <v>2.7000000000000003E-2</v>
      </c>
      <c r="G20" s="213">
        <v>216.12</v>
      </c>
      <c r="H20" s="214">
        <f t="shared" si="0"/>
        <v>5.8352400000000002E-3</v>
      </c>
      <c r="I20" s="21">
        <f t="shared" si="2"/>
        <v>5.8352400000000006</v>
      </c>
      <c r="J20" s="200"/>
      <c r="K20" s="201"/>
      <c r="L20" s="201"/>
      <c r="M20" s="201"/>
      <c r="N20" s="201"/>
      <c r="O20" s="201"/>
      <c r="P20" s="201"/>
      <c r="Q20" s="201"/>
      <c r="R20" s="201"/>
      <c r="S20" s="201"/>
      <c r="T20" s="205"/>
      <c r="U20" s="205"/>
    </row>
    <row r="21" spans="1:21" hidden="1">
      <c r="A21" s="210">
        <v>7</v>
      </c>
      <c r="B21" s="176" t="s">
        <v>154</v>
      </c>
      <c r="C21" s="211" t="s">
        <v>65</v>
      </c>
      <c r="D21" s="176" t="s">
        <v>151</v>
      </c>
      <c r="E21" s="212">
        <v>357</v>
      </c>
      <c r="F21" s="213">
        <f t="shared" si="1"/>
        <v>3.57</v>
      </c>
      <c r="G21" s="213">
        <v>269.26</v>
      </c>
      <c r="H21" s="214">
        <f t="shared" si="0"/>
        <v>0.96125819999999984</v>
      </c>
      <c r="I21" s="21">
        <f t="shared" si="2"/>
        <v>961.25819999999987</v>
      </c>
      <c r="J21" s="200"/>
      <c r="K21" s="201"/>
      <c r="L21" s="201"/>
      <c r="M21" s="201"/>
      <c r="N21" s="201"/>
      <c r="O21" s="201"/>
      <c r="P21" s="201"/>
      <c r="Q21" s="201"/>
      <c r="R21" s="201"/>
      <c r="S21" s="201"/>
      <c r="T21" s="205"/>
      <c r="U21" s="205"/>
    </row>
    <row r="22" spans="1:21" hidden="1">
      <c r="A22" s="210">
        <v>8</v>
      </c>
      <c r="B22" s="176" t="s">
        <v>155</v>
      </c>
      <c r="C22" s="211" t="s">
        <v>65</v>
      </c>
      <c r="D22" s="176" t="s">
        <v>151</v>
      </c>
      <c r="E22" s="216">
        <v>38.64</v>
      </c>
      <c r="F22" s="213">
        <f t="shared" si="1"/>
        <v>0.38640000000000002</v>
      </c>
      <c r="G22" s="213">
        <v>44.29</v>
      </c>
      <c r="H22" s="214">
        <f t="shared" si="0"/>
        <v>1.7113655999999998E-2</v>
      </c>
      <c r="I22" s="21">
        <f t="shared" si="2"/>
        <v>17.113655999999999</v>
      </c>
      <c r="J22" s="200"/>
      <c r="K22" s="201"/>
      <c r="L22" s="201"/>
      <c r="M22" s="201"/>
      <c r="N22" s="201"/>
      <c r="O22" s="201"/>
      <c r="P22" s="201"/>
      <c r="Q22" s="201"/>
      <c r="R22" s="201"/>
      <c r="S22" s="201"/>
      <c r="T22" s="205"/>
      <c r="U22" s="205"/>
    </row>
    <row r="23" spans="1:21" hidden="1">
      <c r="A23" s="210">
        <v>9</v>
      </c>
      <c r="B23" s="176" t="s">
        <v>156</v>
      </c>
      <c r="C23" s="211" t="s">
        <v>65</v>
      </c>
      <c r="D23" s="217" t="s">
        <v>151</v>
      </c>
      <c r="E23" s="27">
        <v>15</v>
      </c>
      <c r="F23" s="218">
        <f t="shared" si="1"/>
        <v>0.15</v>
      </c>
      <c r="G23" s="213">
        <v>389.72</v>
      </c>
      <c r="H23" s="214">
        <f t="shared" si="0"/>
        <v>5.8457999999999996E-2</v>
      </c>
      <c r="I23" s="21">
        <f t="shared" si="2"/>
        <v>58.457999999999998</v>
      </c>
      <c r="J23" s="200"/>
      <c r="K23" s="201"/>
      <c r="L23" s="201"/>
      <c r="M23" s="201"/>
      <c r="N23" s="201"/>
      <c r="O23" s="201"/>
      <c r="P23" s="201"/>
      <c r="Q23" s="201"/>
      <c r="R23" s="201"/>
      <c r="S23" s="201"/>
      <c r="T23" s="205"/>
      <c r="U23" s="205"/>
    </row>
    <row r="24" spans="1:21" hidden="1">
      <c r="A24" s="210">
        <v>10</v>
      </c>
      <c r="B24" s="176" t="s">
        <v>157</v>
      </c>
      <c r="C24" s="211" t="s">
        <v>65</v>
      </c>
      <c r="D24" s="176" t="s">
        <v>151</v>
      </c>
      <c r="E24" s="219">
        <v>6.38</v>
      </c>
      <c r="F24" s="213">
        <f t="shared" si="1"/>
        <v>6.3799999999999996E-2</v>
      </c>
      <c r="G24" s="213">
        <v>520.79999999999995</v>
      </c>
      <c r="H24" s="214">
        <f t="shared" si="0"/>
        <v>3.3227039999999992E-2</v>
      </c>
      <c r="I24" s="21">
        <f t="shared" si="2"/>
        <v>33.227039999999995</v>
      </c>
      <c r="J24" s="200"/>
      <c r="K24" s="201"/>
      <c r="L24" s="201"/>
      <c r="M24" s="201"/>
      <c r="N24" s="201"/>
      <c r="O24" s="201"/>
      <c r="P24" s="201"/>
      <c r="Q24" s="201"/>
      <c r="R24" s="201"/>
      <c r="S24" s="201"/>
      <c r="T24" s="205"/>
      <c r="U24" s="205"/>
    </row>
    <row r="25" spans="1:21" ht="15" customHeight="1">
      <c r="A25" s="210">
        <v>4</v>
      </c>
      <c r="B25" s="176" t="s">
        <v>79</v>
      </c>
      <c r="C25" s="211" t="s">
        <v>37</v>
      </c>
      <c r="D25" s="176" t="s">
        <v>182</v>
      </c>
      <c r="E25" s="212">
        <v>0.1</v>
      </c>
      <c r="F25" s="213">
        <f>SUM(E25*365)</f>
        <v>36.5</v>
      </c>
      <c r="G25" s="213">
        <v>147.03</v>
      </c>
      <c r="H25" s="214">
        <f>SUM(F25*G25/1000)</f>
        <v>5.3665950000000002</v>
      </c>
      <c r="I25" s="21">
        <f>F25/12*G25</f>
        <v>447.21625</v>
      </c>
      <c r="J25" s="200"/>
      <c r="K25" s="201"/>
      <c r="L25" s="201"/>
      <c r="M25" s="201"/>
      <c r="N25" s="201"/>
      <c r="O25" s="201"/>
      <c r="P25" s="201"/>
      <c r="Q25" s="201"/>
      <c r="R25" s="201"/>
      <c r="S25" s="201"/>
      <c r="T25" s="205"/>
      <c r="U25" s="205"/>
    </row>
    <row r="26" spans="1:21" ht="15" customHeight="1">
      <c r="A26" s="210">
        <v>5</v>
      </c>
      <c r="B26" s="220" t="s">
        <v>26</v>
      </c>
      <c r="C26" s="211" t="s">
        <v>27</v>
      </c>
      <c r="D26" s="220" t="s">
        <v>183</v>
      </c>
      <c r="E26" s="212">
        <v>2549.5</v>
      </c>
      <c r="F26" s="213">
        <f>SUM(E26*12)</f>
        <v>30594</v>
      </c>
      <c r="G26" s="213">
        <v>4.95</v>
      </c>
      <c r="H26" s="214">
        <f>SUM(F26*G26/1000)</f>
        <v>151.44030000000001</v>
      </c>
      <c r="I26" s="21">
        <f>F26/12*G26</f>
        <v>12620.025</v>
      </c>
      <c r="J26" s="200"/>
      <c r="K26" s="201"/>
      <c r="L26" s="201"/>
      <c r="M26" s="201"/>
      <c r="N26" s="201"/>
      <c r="O26" s="201"/>
      <c r="P26" s="201"/>
      <c r="Q26" s="201"/>
      <c r="R26" s="201"/>
      <c r="S26" s="201"/>
      <c r="T26" s="205"/>
      <c r="U26" s="205"/>
    </row>
    <row r="27" spans="1:21" ht="15" customHeight="1">
      <c r="A27" s="274" t="s">
        <v>218</v>
      </c>
      <c r="B27" s="282"/>
      <c r="C27" s="282"/>
      <c r="D27" s="282"/>
      <c r="E27" s="282"/>
      <c r="F27" s="282"/>
      <c r="G27" s="282"/>
      <c r="H27" s="282"/>
      <c r="I27" s="283"/>
      <c r="J27" s="200"/>
      <c r="K27" s="201"/>
      <c r="L27" s="201"/>
      <c r="M27" s="201"/>
      <c r="N27" s="201"/>
      <c r="O27" s="201"/>
      <c r="P27" s="201"/>
      <c r="Q27" s="201"/>
      <c r="R27" s="201"/>
      <c r="S27" s="201"/>
      <c r="T27" s="205"/>
      <c r="U27" s="205"/>
    </row>
    <row r="28" spans="1:21" ht="30" customHeight="1">
      <c r="A28" s="210">
        <v>6</v>
      </c>
      <c r="B28" s="176" t="s">
        <v>184</v>
      </c>
      <c r="C28" s="211" t="s">
        <v>185</v>
      </c>
      <c r="D28" s="176" t="s">
        <v>186</v>
      </c>
      <c r="E28" s="213">
        <v>704.3</v>
      </c>
      <c r="F28" s="213">
        <f>SUM(E28*52/1000)</f>
        <v>36.623599999999996</v>
      </c>
      <c r="G28" s="213">
        <v>155.88999999999999</v>
      </c>
      <c r="H28" s="214">
        <f t="shared" ref="H28:H33" si="3">SUM(F28*G28/1000)</f>
        <v>5.7092530039999989</v>
      </c>
      <c r="I28" s="21">
        <f>F28/6*G28</f>
        <v>951.54216733333317</v>
      </c>
      <c r="J28" s="200"/>
      <c r="K28" s="201"/>
      <c r="L28" s="201"/>
      <c r="M28" s="201"/>
      <c r="N28" s="201"/>
      <c r="O28" s="201"/>
      <c r="P28" s="201"/>
      <c r="Q28" s="201"/>
      <c r="R28" s="201"/>
      <c r="S28" s="201"/>
      <c r="T28" s="205"/>
      <c r="U28" s="205"/>
    </row>
    <row r="29" spans="1:21" ht="30" customHeight="1">
      <c r="A29" s="210">
        <v>7</v>
      </c>
      <c r="B29" s="176" t="s">
        <v>187</v>
      </c>
      <c r="C29" s="211" t="s">
        <v>185</v>
      </c>
      <c r="D29" s="176" t="s">
        <v>188</v>
      </c>
      <c r="E29" s="213">
        <v>70.430000000000007</v>
      </c>
      <c r="F29" s="213">
        <f>SUM(E29*78/1000)</f>
        <v>5.4935400000000012</v>
      </c>
      <c r="G29" s="213">
        <v>258.63</v>
      </c>
      <c r="H29" s="214">
        <f t="shared" si="3"/>
        <v>1.4207942502000004</v>
      </c>
      <c r="I29" s="21">
        <f t="shared" ref="I29" si="4">F29/6*G29</f>
        <v>236.79904170000006</v>
      </c>
      <c r="J29" s="200"/>
      <c r="K29" s="201"/>
      <c r="L29" s="201"/>
      <c r="M29" s="201"/>
      <c r="N29" s="201"/>
      <c r="O29" s="201"/>
      <c r="P29" s="201"/>
      <c r="Q29" s="201"/>
      <c r="R29" s="201"/>
      <c r="S29" s="201"/>
      <c r="T29" s="205"/>
      <c r="U29" s="205"/>
    </row>
    <row r="30" spans="1:21" ht="15.75" hidden="1" customHeight="1">
      <c r="A30" s="210">
        <v>8</v>
      </c>
      <c r="B30" s="176" t="s">
        <v>32</v>
      </c>
      <c r="C30" s="211" t="s">
        <v>185</v>
      </c>
      <c r="D30" s="176" t="s">
        <v>66</v>
      </c>
      <c r="E30" s="213">
        <v>704.3</v>
      </c>
      <c r="F30" s="213">
        <f>SUM(E30/1000)</f>
        <v>0.70429999999999993</v>
      </c>
      <c r="G30" s="213">
        <v>3020.33</v>
      </c>
      <c r="H30" s="214">
        <f t="shared" si="3"/>
        <v>2.1272184189999996</v>
      </c>
      <c r="I30" s="21">
        <f>F30*G30</f>
        <v>2127.2184189999998</v>
      </c>
      <c r="J30" s="200"/>
      <c r="K30" s="201"/>
      <c r="L30" s="201"/>
      <c r="M30" s="201"/>
      <c r="N30" s="201"/>
      <c r="O30" s="201"/>
      <c r="P30" s="201"/>
      <c r="Q30" s="201"/>
      <c r="R30" s="201"/>
      <c r="S30" s="201"/>
      <c r="T30" s="205"/>
      <c r="U30" s="205"/>
    </row>
    <row r="31" spans="1:21" ht="15.75" customHeight="1">
      <c r="A31" s="210">
        <v>8</v>
      </c>
      <c r="B31" s="176" t="s">
        <v>189</v>
      </c>
      <c r="C31" s="211" t="s">
        <v>35</v>
      </c>
      <c r="D31" s="176" t="s">
        <v>78</v>
      </c>
      <c r="E31" s="221">
        <v>0.33333333333333331</v>
      </c>
      <c r="F31" s="213">
        <f>155/3</f>
        <v>51.666666666666664</v>
      </c>
      <c r="G31" s="213">
        <v>56.69</v>
      </c>
      <c r="H31" s="214">
        <f>SUM(G31*155/3/1000)</f>
        <v>2.9289833333333331</v>
      </c>
      <c r="I31" s="21">
        <f>F31/6*G31</f>
        <v>488.16388888888883</v>
      </c>
      <c r="J31" s="200"/>
      <c r="K31" s="201"/>
      <c r="L31" s="201"/>
      <c r="M31" s="201"/>
      <c r="N31" s="201"/>
      <c r="O31" s="201"/>
      <c r="P31" s="201"/>
      <c r="Q31" s="201"/>
      <c r="R31" s="201"/>
      <c r="S31" s="201"/>
      <c r="T31" s="205"/>
      <c r="U31" s="205"/>
    </row>
    <row r="32" spans="1:21" ht="15" hidden="1" customHeight="1">
      <c r="A32" s="210">
        <v>17</v>
      </c>
      <c r="B32" s="176" t="s">
        <v>80</v>
      </c>
      <c r="C32" s="211" t="s">
        <v>37</v>
      </c>
      <c r="D32" s="176" t="s">
        <v>81</v>
      </c>
      <c r="E32" s="212"/>
      <c r="F32" s="213">
        <v>3</v>
      </c>
      <c r="G32" s="213">
        <v>191.32</v>
      </c>
      <c r="H32" s="214">
        <f t="shared" si="3"/>
        <v>0.57396000000000003</v>
      </c>
      <c r="I32" s="21">
        <v>0</v>
      </c>
      <c r="J32" s="200"/>
      <c r="K32" s="201"/>
      <c r="L32" s="201"/>
      <c r="M32" s="201"/>
      <c r="N32" s="201"/>
      <c r="O32" s="201"/>
      <c r="P32" s="201"/>
      <c r="Q32" s="201"/>
      <c r="R32" s="201"/>
      <c r="S32" s="201"/>
      <c r="T32" s="205"/>
      <c r="U32" s="205"/>
    </row>
    <row r="33" spans="1:21" ht="15" hidden="1" customHeight="1">
      <c r="A33" s="210">
        <v>16</v>
      </c>
      <c r="B33" s="176" t="s">
        <v>190</v>
      </c>
      <c r="C33" s="211" t="s">
        <v>36</v>
      </c>
      <c r="D33" s="176" t="s">
        <v>81</v>
      </c>
      <c r="E33" s="212"/>
      <c r="F33" s="213">
        <v>2</v>
      </c>
      <c r="G33" s="213">
        <v>1136.33</v>
      </c>
      <c r="H33" s="214">
        <f t="shared" si="3"/>
        <v>2.2726599999999997</v>
      </c>
      <c r="I33" s="21">
        <v>0</v>
      </c>
      <c r="J33" s="200"/>
      <c r="K33" s="201"/>
      <c r="L33" s="201"/>
      <c r="M33" s="201"/>
      <c r="N33" s="201"/>
      <c r="O33" s="201"/>
      <c r="P33" s="201"/>
      <c r="Q33" s="201"/>
      <c r="R33" s="201"/>
      <c r="S33" s="201"/>
      <c r="T33" s="205"/>
      <c r="U33" s="205"/>
    </row>
    <row r="34" spans="1:21" ht="15" hidden="1" customHeight="1">
      <c r="A34" s="274" t="s">
        <v>220</v>
      </c>
      <c r="B34" s="282"/>
      <c r="C34" s="282"/>
      <c r="D34" s="282"/>
      <c r="E34" s="282"/>
      <c r="F34" s="282"/>
      <c r="G34" s="282"/>
      <c r="H34" s="282"/>
      <c r="I34" s="283"/>
      <c r="J34" s="200"/>
      <c r="K34" s="201"/>
      <c r="L34" s="201"/>
      <c r="M34" s="201"/>
      <c r="N34" s="201"/>
      <c r="O34" s="201"/>
      <c r="P34" s="201"/>
      <c r="Q34" s="201"/>
      <c r="R34" s="201"/>
      <c r="S34" s="201"/>
      <c r="T34" s="205"/>
      <c r="U34" s="205"/>
    </row>
    <row r="35" spans="1:21" ht="15" hidden="1" customHeight="1">
      <c r="A35" s="210">
        <v>6</v>
      </c>
      <c r="B35" s="176" t="s">
        <v>30</v>
      </c>
      <c r="C35" s="211" t="s">
        <v>36</v>
      </c>
      <c r="D35" s="176"/>
      <c r="E35" s="212"/>
      <c r="F35" s="213">
        <v>8</v>
      </c>
      <c r="G35" s="213">
        <v>1527.22</v>
      </c>
      <c r="H35" s="214">
        <f t="shared" ref="H35:H42" si="5">SUM(F35*G35/1000)</f>
        <v>12.21776</v>
      </c>
      <c r="I35" s="21">
        <f>F35/6*G35</f>
        <v>2036.2933333333333</v>
      </c>
      <c r="J35" s="200"/>
      <c r="K35" s="201"/>
      <c r="L35" s="201"/>
      <c r="M35" s="201"/>
      <c r="N35" s="201"/>
      <c r="O35" s="201"/>
      <c r="P35" s="201"/>
      <c r="Q35" s="201"/>
      <c r="R35" s="201"/>
      <c r="S35" s="201"/>
      <c r="T35" s="205"/>
      <c r="U35" s="205"/>
    </row>
    <row r="36" spans="1:21" ht="15" hidden="1" customHeight="1">
      <c r="A36" s="210">
        <v>7</v>
      </c>
      <c r="B36" s="176" t="s">
        <v>191</v>
      </c>
      <c r="C36" s="211" t="s">
        <v>33</v>
      </c>
      <c r="D36" s="176" t="s">
        <v>192</v>
      </c>
      <c r="E36" s="212">
        <v>315</v>
      </c>
      <c r="F36" s="213">
        <f>E36*12/1000</f>
        <v>3.78</v>
      </c>
      <c r="G36" s="213">
        <v>2102.71</v>
      </c>
      <c r="H36" s="214">
        <f>G36*F36/1000</f>
        <v>7.9482437999999993</v>
      </c>
      <c r="I36" s="21">
        <f>F36/6*G36</f>
        <v>1324.7073</v>
      </c>
      <c r="J36" s="200"/>
      <c r="K36" s="201"/>
      <c r="L36" s="201"/>
      <c r="M36" s="201"/>
      <c r="N36" s="201"/>
      <c r="O36" s="201"/>
      <c r="P36" s="201"/>
      <c r="Q36" s="201"/>
      <c r="R36" s="201"/>
      <c r="S36" s="201"/>
      <c r="T36" s="205"/>
      <c r="U36" s="205"/>
    </row>
    <row r="37" spans="1:21" ht="15" hidden="1" customHeight="1">
      <c r="A37" s="210">
        <v>8</v>
      </c>
      <c r="B37" s="176" t="s">
        <v>193</v>
      </c>
      <c r="C37" s="211" t="s">
        <v>33</v>
      </c>
      <c r="D37" s="176" t="s">
        <v>194</v>
      </c>
      <c r="E37" s="212">
        <v>70.430000000000007</v>
      </c>
      <c r="F37" s="213">
        <f>E37*30/1000</f>
        <v>2.1129000000000002</v>
      </c>
      <c r="G37" s="213">
        <v>2102.71</v>
      </c>
      <c r="H37" s="214">
        <f>G37*F37/1000</f>
        <v>4.4428159590000007</v>
      </c>
      <c r="I37" s="21">
        <f>F37/6*G37</f>
        <v>740.46932650000008</v>
      </c>
      <c r="J37" s="200"/>
      <c r="K37" s="201"/>
      <c r="L37" s="201"/>
      <c r="M37" s="201"/>
      <c r="N37" s="201"/>
      <c r="O37" s="201"/>
      <c r="P37" s="201"/>
      <c r="Q37" s="201"/>
      <c r="R37" s="201"/>
      <c r="S37" s="201"/>
      <c r="T37" s="205"/>
      <c r="U37" s="205"/>
    </row>
    <row r="38" spans="1:21" ht="15" hidden="1" customHeight="1">
      <c r="A38" s="210">
        <v>9</v>
      </c>
      <c r="B38" s="176" t="s">
        <v>195</v>
      </c>
      <c r="C38" s="211" t="s">
        <v>196</v>
      </c>
      <c r="D38" s="176" t="s">
        <v>81</v>
      </c>
      <c r="E38" s="212"/>
      <c r="F38" s="213">
        <v>80</v>
      </c>
      <c r="G38" s="213">
        <v>213.2</v>
      </c>
      <c r="H38" s="214">
        <f>G38*F38/1000</f>
        <v>17.056000000000001</v>
      </c>
      <c r="I38" s="21">
        <v>0</v>
      </c>
      <c r="J38" s="200"/>
      <c r="K38" s="201"/>
      <c r="L38" s="201"/>
      <c r="M38" s="201"/>
      <c r="N38" s="201"/>
      <c r="O38" s="201"/>
      <c r="P38" s="201"/>
      <c r="Q38" s="201"/>
      <c r="R38" s="201"/>
      <c r="S38" s="201"/>
      <c r="T38" s="205"/>
      <c r="U38" s="205"/>
    </row>
    <row r="39" spans="1:21" ht="15" hidden="1" customHeight="1">
      <c r="A39" s="210">
        <v>9</v>
      </c>
      <c r="B39" s="176" t="s">
        <v>83</v>
      </c>
      <c r="C39" s="211" t="s">
        <v>33</v>
      </c>
      <c r="D39" s="176" t="s">
        <v>197</v>
      </c>
      <c r="E39" s="213">
        <v>70.430000000000007</v>
      </c>
      <c r="F39" s="213">
        <f>SUM(E39*155/1000)</f>
        <v>10.916650000000001</v>
      </c>
      <c r="G39" s="213">
        <v>350.75</v>
      </c>
      <c r="H39" s="214">
        <f t="shared" si="5"/>
        <v>3.8290149875000004</v>
      </c>
      <c r="I39" s="21">
        <f>F39/6*G39</f>
        <v>638.16916458333344</v>
      </c>
      <c r="J39" s="200"/>
      <c r="K39" s="201"/>
      <c r="L39" s="201"/>
      <c r="M39" s="201"/>
      <c r="N39" s="201"/>
      <c r="O39" s="201"/>
      <c r="P39" s="201"/>
      <c r="Q39" s="201"/>
      <c r="R39" s="201"/>
      <c r="S39" s="201"/>
      <c r="T39" s="205"/>
      <c r="U39" s="205"/>
    </row>
    <row r="40" spans="1:21" ht="45" hidden="1" customHeight="1">
      <c r="A40" s="210">
        <v>10</v>
      </c>
      <c r="B40" s="176" t="s">
        <v>106</v>
      </c>
      <c r="C40" s="211" t="s">
        <v>185</v>
      </c>
      <c r="D40" s="176" t="s">
        <v>198</v>
      </c>
      <c r="E40" s="213">
        <v>70.430000000000007</v>
      </c>
      <c r="F40" s="213">
        <f>SUM(E40*24/1000)</f>
        <v>1.6903200000000003</v>
      </c>
      <c r="G40" s="213">
        <v>5803.28</v>
      </c>
      <c r="H40" s="214">
        <f t="shared" si="5"/>
        <v>9.8094002496000012</v>
      </c>
      <c r="I40" s="21">
        <f>F40/6*G40</f>
        <v>1634.9000416000001</v>
      </c>
      <c r="J40" s="200"/>
      <c r="K40" s="201"/>
      <c r="L40" s="201"/>
      <c r="M40" s="201"/>
      <c r="N40" s="201"/>
      <c r="O40" s="201"/>
      <c r="P40" s="201"/>
      <c r="Q40" s="201"/>
      <c r="R40" s="201"/>
      <c r="S40" s="201"/>
      <c r="T40" s="205"/>
      <c r="U40" s="205"/>
    </row>
    <row r="41" spans="1:21" ht="15" hidden="1" customHeight="1">
      <c r="A41" s="210">
        <v>11</v>
      </c>
      <c r="B41" s="176" t="s">
        <v>199</v>
      </c>
      <c r="C41" s="211" t="s">
        <v>185</v>
      </c>
      <c r="D41" s="176" t="s">
        <v>84</v>
      </c>
      <c r="E41" s="213">
        <v>70.430000000000007</v>
      </c>
      <c r="F41" s="213">
        <f>SUM(E41*45/1000)</f>
        <v>3.1693500000000006</v>
      </c>
      <c r="G41" s="213">
        <v>428.7</v>
      </c>
      <c r="H41" s="214">
        <f t="shared" si="5"/>
        <v>1.3587003450000001</v>
      </c>
      <c r="I41" s="21">
        <f>F41/6*G41</f>
        <v>226.45005750000001</v>
      </c>
      <c r="J41" s="200"/>
      <c r="K41" s="201"/>
      <c r="L41" s="201"/>
      <c r="M41" s="201"/>
      <c r="N41" s="201"/>
      <c r="O41" s="201"/>
      <c r="P41" s="201"/>
      <c r="Q41" s="201"/>
      <c r="R41" s="201"/>
      <c r="S41" s="201"/>
      <c r="T41" s="205"/>
      <c r="U41" s="205"/>
    </row>
    <row r="42" spans="1:21" ht="15" hidden="1" customHeight="1">
      <c r="A42" s="210">
        <v>12</v>
      </c>
      <c r="B42" s="176" t="s">
        <v>85</v>
      </c>
      <c r="C42" s="211" t="s">
        <v>37</v>
      </c>
      <c r="D42" s="176"/>
      <c r="E42" s="212"/>
      <c r="F42" s="213">
        <v>0.8</v>
      </c>
      <c r="G42" s="213">
        <v>798</v>
      </c>
      <c r="H42" s="214">
        <f t="shared" si="5"/>
        <v>0.63840000000000008</v>
      </c>
      <c r="I42" s="21">
        <f>F42/6*G42</f>
        <v>106.39999999999999</v>
      </c>
      <c r="J42" s="200"/>
      <c r="K42" s="201"/>
      <c r="L42" s="201"/>
      <c r="M42" s="201"/>
      <c r="N42" s="201"/>
      <c r="O42" s="201"/>
      <c r="P42" s="201"/>
      <c r="Q42" s="201"/>
      <c r="R42" s="201"/>
      <c r="S42" s="201"/>
      <c r="T42" s="205"/>
      <c r="U42" s="205"/>
    </row>
    <row r="43" spans="1:21" ht="15" hidden="1" customHeight="1">
      <c r="A43" s="284" t="s">
        <v>221</v>
      </c>
      <c r="B43" s="285"/>
      <c r="C43" s="285"/>
      <c r="D43" s="285"/>
      <c r="E43" s="285"/>
      <c r="F43" s="285"/>
      <c r="G43" s="285"/>
      <c r="H43" s="285"/>
      <c r="I43" s="286"/>
      <c r="J43" s="200"/>
      <c r="K43" s="201"/>
      <c r="L43" s="201"/>
      <c r="M43" s="201"/>
      <c r="N43" s="201"/>
      <c r="O43" s="201"/>
      <c r="P43" s="201"/>
      <c r="Q43" s="201"/>
      <c r="R43" s="201"/>
      <c r="S43" s="201"/>
      <c r="T43" s="205"/>
      <c r="U43" s="205"/>
    </row>
    <row r="44" spans="1:21" ht="15" hidden="1" customHeight="1">
      <c r="A44" s="210">
        <v>17</v>
      </c>
      <c r="B44" s="176" t="s">
        <v>200</v>
      </c>
      <c r="C44" s="211" t="s">
        <v>185</v>
      </c>
      <c r="D44" s="176" t="s">
        <v>52</v>
      </c>
      <c r="E44" s="212">
        <v>1111.75</v>
      </c>
      <c r="F44" s="213">
        <f>SUM(E44*2/1000)</f>
        <v>2.2235</v>
      </c>
      <c r="G44" s="21">
        <v>809.74</v>
      </c>
      <c r="H44" s="214">
        <f t="shared" ref="H44:H54" si="6">SUM(F44*G44/1000)</f>
        <v>1.8004568900000002</v>
      </c>
      <c r="I44" s="21">
        <f>F44/2*G44</f>
        <v>900.22844500000008</v>
      </c>
      <c r="J44" s="200"/>
      <c r="K44" s="201"/>
      <c r="L44" s="201"/>
      <c r="M44" s="201"/>
      <c r="N44" s="201"/>
      <c r="O44" s="201"/>
      <c r="P44" s="201"/>
      <c r="Q44" s="201"/>
      <c r="R44" s="201"/>
      <c r="S44" s="201"/>
      <c r="T44" s="205"/>
      <c r="U44" s="205"/>
    </row>
    <row r="45" spans="1:21" ht="15" hidden="1" customHeight="1">
      <c r="A45" s="210">
        <v>18</v>
      </c>
      <c r="B45" s="176" t="s">
        <v>41</v>
      </c>
      <c r="C45" s="211" t="s">
        <v>185</v>
      </c>
      <c r="D45" s="176" t="s">
        <v>52</v>
      </c>
      <c r="E45" s="212">
        <v>88</v>
      </c>
      <c r="F45" s="213">
        <f>E45*2/1000</f>
        <v>0.17599999999999999</v>
      </c>
      <c r="G45" s="21">
        <v>579.48</v>
      </c>
      <c r="H45" s="214">
        <f t="shared" si="6"/>
        <v>0.10198847999999999</v>
      </c>
      <c r="I45" s="21">
        <f t="shared" ref="I45:I48" si="7">F45/2*G45</f>
        <v>50.994239999999998</v>
      </c>
      <c r="J45" s="200"/>
      <c r="K45" s="201"/>
      <c r="L45" s="201"/>
      <c r="M45" s="201"/>
      <c r="N45" s="201"/>
      <c r="O45" s="201"/>
      <c r="P45" s="201"/>
      <c r="Q45" s="201"/>
      <c r="R45" s="201"/>
      <c r="S45" s="201"/>
      <c r="T45" s="205"/>
      <c r="U45" s="205"/>
    </row>
    <row r="46" spans="1:21" ht="15" hidden="1" customHeight="1">
      <c r="A46" s="210">
        <v>19</v>
      </c>
      <c r="B46" s="176" t="s">
        <v>42</v>
      </c>
      <c r="C46" s="211" t="s">
        <v>185</v>
      </c>
      <c r="D46" s="176" t="s">
        <v>52</v>
      </c>
      <c r="E46" s="212">
        <v>1250.6199999999999</v>
      </c>
      <c r="F46" s="213">
        <f>SUM(E46*2/1000)</f>
        <v>2.5012399999999997</v>
      </c>
      <c r="G46" s="21">
        <v>579.48</v>
      </c>
      <c r="H46" s="214">
        <f t="shared" si="6"/>
        <v>1.4494185551999998</v>
      </c>
      <c r="I46" s="21">
        <f t="shared" si="7"/>
        <v>724.70927759999995</v>
      </c>
      <c r="J46" s="200"/>
      <c r="K46" s="201"/>
      <c r="L46" s="201"/>
      <c r="M46" s="201"/>
      <c r="N46" s="201"/>
      <c r="O46" s="201"/>
      <c r="P46" s="201"/>
      <c r="Q46" s="201"/>
      <c r="R46" s="201"/>
      <c r="S46" s="201"/>
      <c r="T46" s="205"/>
      <c r="U46" s="205"/>
    </row>
    <row r="47" spans="1:21" ht="15" hidden="1" customHeight="1">
      <c r="A47" s="210">
        <v>20</v>
      </c>
      <c r="B47" s="176" t="s">
        <v>43</v>
      </c>
      <c r="C47" s="211" t="s">
        <v>185</v>
      </c>
      <c r="D47" s="176" t="s">
        <v>52</v>
      </c>
      <c r="E47" s="212">
        <v>1295.68</v>
      </c>
      <c r="F47" s="213">
        <f>SUM(E47*2/1000)</f>
        <v>2.5913600000000003</v>
      </c>
      <c r="G47" s="21">
        <v>606.77</v>
      </c>
      <c r="H47" s="214">
        <f t="shared" si="6"/>
        <v>1.5723595072000001</v>
      </c>
      <c r="I47" s="21">
        <f t="shared" si="7"/>
        <v>786.17975360000003</v>
      </c>
      <c r="J47" s="200"/>
      <c r="K47" s="201"/>
      <c r="L47" s="201"/>
      <c r="M47" s="201"/>
      <c r="N47" s="201"/>
      <c r="O47" s="201"/>
      <c r="P47" s="201"/>
      <c r="Q47" s="201"/>
      <c r="R47" s="201"/>
      <c r="S47" s="201"/>
      <c r="T47" s="205"/>
      <c r="U47" s="205"/>
    </row>
    <row r="48" spans="1:21" ht="15" hidden="1" customHeight="1">
      <c r="A48" s="210">
        <v>21</v>
      </c>
      <c r="B48" s="176" t="s">
        <v>39</v>
      </c>
      <c r="C48" s="211" t="s">
        <v>40</v>
      </c>
      <c r="D48" s="176" t="s">
        <v>52</v>
      </c>
      <c r="E48" s="212">
        <v>85.84</v>
      </c>
      <c r="F48" s="213">
        <f>E48*2/100</f>
        <v>1.7168000000000001</v>
      </c>
      <c r="G48" s="21">
        <v>72.81</v>
      </c>
      <c r="H48" s="214">
        <f>G48*F48/1000</f>
        <v>0.125000208</v>
      </c>
      <c r="I48" s="21">
        <f t="shared" si="7"/>
        <v>62.500104000000007</v>
      </c>
      <c r="J48" s="200"/>
      <c r="K48" s="201"/>
      <c r="L48" s="201"/>
      <c r="M48" s="201"/>
      <c r="N48" s="201"/>
      <c r="O48" s="201"/>
      <c r="P48" s="201"/>
      <c r="Q48" s="201"/>
      <c r="R48" s="201"/>
      <c r="S48" s="201"/>
      <c r="T48" s="205"/>
      <c r="U48" s="205"/>
    </row>
    <row r="49" spans="1:21" ht="30" hidden="1" customHeight="1">
      <c r="A49" s="210">
        <v>22</v>
      </c>
      <c r="B49" s="176" t="s">
        <v>72</v>
      </c>
      <c r="C49" s="211" t="s">
        <v>185</v>
      </c>
      <c r="D49" s="176" t="s">
        <v>219</v>
      </c>
      <c r="E49" s="212">
        <v>897</v>
      </c>
      <c r="F49" s="213">
        <f>SUM(E49*5/1000)</f>
        <v>4.4850000000000003</v>
      </c>
      <c r="G49" s="21">
        <v>1213.55</v>
      </c>
      <c r="H49" s="214">
        <f t="shared" si="6"/>
        <v>5.4427717499999995</v>
      </c>
      <c r="I49" s="21">
        <f>F49/5*G49</f>
        <v>1088.5543499999999</v>
      </c>
      <c r="J49" s="200"/>
      <c r="K49" s="201"/>
      <c r="L49" s="201"/>
      <c r="M49" s="201"/>
      <c r="N49" s="201"/>
      <c r="O49" s="201"/>
      <c r="P49" s="201"/>
      <c r="Q49" s="201"/>
      <c r="R49" s="201"/>
      <c r="S49" s="201"/>
      <c r="T49" s="205"/>
      <c r="U49" s="205"/>
    </row>
    <row r="50" spans="1:21" ht="30" hidden="1" customHeight="1">
      <c r="A50" s="210"/>
      <c r="B50" s="176" t="s">
        <v>201</v>
      </c>
      <c r="C50" s="211" t="s">
        <v>185</v>
      </c>
      <c r="D50" s="176" t="s">
        <v>52</v>
      </c>
      <c r="E50" s="212">
        <v>897</v>
      </c>
      <c r="F50" s="213">
        <f>SUM(E50*2/1000)</f>
        <v>1.794</v>
      </c>
      <c r="G50" s="21">
        <v>1213.55</v>
      </c>
      <c r="H50" s="214">
        <f t="shared" si="6"/>
        <v>2.1771086999999998</v>
      </c>
      <c r="I50" s="21">
        <v>0</v>
      </c>
      <c r="J50" s="200"/>
      <c r="K50" s="201"/>
      <c r="L50" s="201"/>
      <c r="M50" s="201"/>
      <c r="N50" s="201"/>
      <c r="O50" s="201"/>
      <c r="P50" s="201"/>
      <c r="Q50" s="201"/>
      <c r="R50" s="201"/>
      <c r="S50" s="201"/>
      <c r="T50" s="205"/>
      <c r="U50" s="205"/>
    </row>
    <row r="51" spans="1:21" ht="30" hidden="1" customHeight="1">
      <c r="A51" s="210"/>
      <c r="B51" s="176" t="s">
        <v>202</v>
      </c>
      <c r="C51" s="211" t="s">
        <v>46</v>
      </c>
      <c r="D51" s="176" t="s">
        <v>52</v>
      </c>
      <c r="E51" s="212">
        <v>16</v>
      </c>
      <c r="F51" s="213">
        <f>SUM(E51*2/100)</f>
        <v>0.32</v>
      </c>
      <c r="G51" s="21">
        <v>2730.49</v>
      </c>
      <c r="H51" s="214">
        <f t="shared" si="6"/>
        <v>0.8737568</v>
      </c>
      <c r="I51" s="21">
        <v>0</v>
      </c>
      <c r="J51" s="200"/>
      <c r="K51" s="201"/>
      <c r="L51" s="201"/>
      <c r="M51" s="201"/>
      <c r="N51" s="201"/>
      <c r="O51" s="201"/>
      <c r="P51" s="201"/>
      <c r="Q51" s="201"/>
      <c r="R51" s="201"/>
      <c r="S51" s="201"/>
      <c r="T51" s="205"/>
      <c r="U51" s="205"/>
    </row>
    <row r="52" spans="1:21" ht="15.75" hidden="1" customHeight="1">
      <c r="A52" s="210"/>
      <c r="B52" s="176" t="s">
        <v>47</v>
      </c>
      <c r="C52" s="211" t="s">
        <v>48</v>
      </c>
      <c r="D52" s="176" t="s">
        <v>52</v>
      </c>
      <c r="E52" s="212">
        <v>1</v>
      </c>
      <c r="F52" s="213">
        <v>0.02</v>
      </c>
      <c r="G52" s="21">
        <v>5652.13</v>
      </c>
      <c r="H52" s="214">
        <f t="shared" si="6"/>
        <v>0.11304260000000001</v>
      </c>
      <c r="I52" s="21">
        <v>0</v>
      </c>
      <c r="J52" s="200"/>
      <c r="K52" s="201"/>
      <c r="L52" s="201"/>
      <c r="M52" s="201"/>
      <c r="N52" s="201"/>
      <c r="O52" s="201"/>
      <c r="P52" s="201"/>
      <c r="Q52" s="201"/>
      <c r="R52" s="201"/>
      <c r="S52" s="201"/>
      <c r="T52" s="205"/>
      <c r="U52" s="205"/>
    </row>
    <row r="53" spans="1:21" ht="15.75" hidden="1" customHeight="1">
      <c r="A53" s="210">
        <v>14</v>
      </c>
      <c r="B53" s="176" t="s">
        <v>203</v>
      </c>
      <c r="C53" s="211" t="s">
        <v>159</v>
      </c>
      <c r="D53" s="176" t="s">
        <v>86</v>
      </c>
      <c r="E53" s="212">
        <v>64</v>
      </c>
      <c r="F53" s="213">
        <f>E53*3</f>
        <v>192</v>
      </c>
      <c r="G53" s="21">
        <v>141.12</v>
      </c>
      <c r="H53" s="214">
        <f>F53*G53/1000</f>
        <v>27.095040000000001</v>
      </c>
      <c r="I53" s="21">
        <f>E53*G53</f>
        <v>9031.68</v>
      </c>
      <c r="J53" s="200"/>
      <c r="K53" s="201"/>
      <c r="L53" s="201"/>
      <c r="M53" s="201"/>
      <c r="N53" s="201"/>
      <c r="O53" s="201"/>
      <c r="P53" s="201"/>
      <c r="Q53" s="201"/>
      <c r="R53" s="201"/>
      <c r="S53" s="201"/>
      <c r="T53" s="205"/>
      <c r="U53" s="205"/>
    </row>
    <row r="54" spans="1:21" ht="15.75" hidden="1" customHeight="1">
      <c r="A54" s="210">
        <v>15</v>
      </c>
      <c r="B54" s="176" t="s">
        <v>51</v>
      </c>
      <c r="C54" s="211" t="s">
        <v>159</v>
      </c>
      <c r="D54" s="176" t="s">
        <v>86</v>
      </c>
      <c r="E54" s="212">
        <v>128</v>
      </c>
      <c r="F54" s="213">
        <f>SUM(E54)*3</f>
        <v>384</v>
      </c>
      <c r="G54" s="21">
        <v>65.67</v>
      </c>
      <c r="H54" s="214">
        <f t="shared" si="6"/>
        <v>25.217279999999999</v>
      </c>
      <c r="I54" s="21">
        <f>E54*G54</f>
        <v>8405.76</v>
      </c>
      <c r="J54" s="200"/>
      <c r="K54" s="201"/>
      <c r="L54" s="201"/>
      <c r="M54" s="201"/>
      <c r="N54" s="201"/>
      <c r="O54" s="201"/>
      <c r="P54" s="201"/>
      <c r="Q54" s="201"/>
      <c r="R54" s="201"/>
      <c r="S54" s="201"/>
      <c r="T54" s="205"/>
      <c r="U54" s="205"/>
    </row>
    <row r="55" spans="1:21" ht="15.75" hidden="1" customHeight="1">
      <c r="A55" s="274" t="s">
        <v>222</v>
      </c>
      <c r="B55" s="275"/>
      <c r="C55" s="275"/>
      <c r="D55" s="275"/>
      <c r="E55" s="275"/>
      <c r="F55" s="275"/>
      <c r="G55" s="275"/>
      <c r="H55" s="275"/>
      <c r="I55" s="276"/>
      <c r="J55" s="200"/>
      <c r="K55" s="201"/>
      <c r="L55" s="201"/>
      <c r="M55" s="201"/>
      <c r="N55" s="201"/>
      <c r="O55" s="201"/>
      <c r="P55" s="201"/>
      <c r="Q55" s="201"/>
      <c r="R55" s="201"/>
      <c r="S55" s="201"/>
      <c r="T55" s="205"/>
      <c r="U55" s="205"/>
    </row>
    <row r="56" spans="1:21" ht="15" hidden="1" customHeight="1">
      <c r="A56" s="210"/>
      <c r="B56" s="251" t="s">
        <v>53</v>
      </c>
      <c r="C56" s="250"/>
      <c r="D56" s="249"/>
      <c r="E56" s="212"/>
      <c r="F56" s="213"/>
      <c r="G56" s="213"/>
      <c r="H56" s="214"/>
      <c r="I56" s="21"/>
      <c r="J56" s="200"/>
      <c r="K56" s="201"/>
      <c r="L56" s="201"/>
      <c r="M56" s="201"/>
      <c r="N56" s="201"/>
      <c r="O56" s="201"/>
      <c r="P56" s="201"/>
      <c r="Q56" s="201"/>
      <c r="R56" s="201"/>
      <c r="S56" s="201"/>
      <c r="T56" s="205"/>
      <c r="U56" s="205"/>
    </row>
    <row r="57" spans="1:21" ht="30" hidden="1" customHeight="1">
      <c r="A57" s="210">
        <v>16</v>
      </c>
      <c r="B57" s="176" t="s">
        <v>204</v>
      </c>
      <c r="C57" s="211" t="s">
        <v>145</v>
      </c>
      <c r="D57" s="176" t="s">
        <v>205</v>
      </c>
      <c r="E57" s="212">
        <v>123.175</v>
      </c>
      <c r="F57" s="213">
        <f>SUM(E57*6/100)</f>
        <v>7.3904999999999994</v>
      </c>
      <c r="G57" s="21">
        <v>1547.28</v>
      </c>
      <c r="H57" s="214">
        <f>SUM(F57*G57/1000)</f>
        <v>11.43517284</v>
      </c>
      <c r="I57" s="21">
        <f>F57/6*G57</f>
        <v>1905.8621399999997</v>
      </c>
      <c r="J57" s="200"/>
      <c r="K57" s="201"/>
      <c r="L57" s="201"/>
      <c r="M57" s="201"/>
      <c r="N57" s="201"/>
      <c r="O57" s="201"/>
      <c r="P57" s="201"/>
      <c r="Q57" s="201"/>
      <c r="R57" s="201"/>
      <c r="S57" s="201"/>
      <c r="T57" s="205"/>
      <c r="U57" s="205"/>
    </row>
    <row r="58" spans="1:21" ht="15" hidden="1" customHeight="1">
      <c r="A58" s="223"/>
      <c r="B58" s="251" t="s">
        <v>54</v>
      </c>
      <c r="C58" s="250"/>
      <c r="D58" s="249"/>
      <c r="E58" s="226"/>
      <c r="F58" s="227"/>
      <c r="G58" s="21"/>
      <c r="H58" s="228"/>
      <c r="I58" s="21"/>
      <c r="J58" s="200"/>
      <c r="K58" s="201"/>
      <c r="L58" s="201"/>
      <c r="M58" s="201"/>
      <c r="N58" s="201"/>
      <c r="O58" s="201"/>
      <c r="P58" s="201"/>
      <c r="Q58" s="201"/>
      <c r="R58" s="201"/>
      <c r="S58" s="201"/>
      <c r="T58" s="205"/>
      <c r="U58" s="205"/>
    </row>
    <row r="59" spans="1:21" ht="15" hidden="1" customHeight="1">
      <c r="A59" s="223"/>
      <c r="B59" s="225" t="s">
        <v>206</v>
      </c>
      <c r="C59" s="224" t="s">
        <v>65</v>
      </c>
      <c r="D59" s="225" t="s">
        <v>66</v>
      </c>
      <c r="E59" s="226">
        <v>897</v>
      </c>
      <c r="F59" s="227">
        <v>8.9700000000000006</v>
      </c>
      <c r="G59" s="21">
        <v>793.61</v>
      </c>
      <c r="H59" s="228">
        <f>F59*G59/1000</f>
        <v>7.1186817000000007</v>
      </c>
      <c r="I59" s="21">
        <v>0</v>
      </c>
      <c r="J59" s="200"/>
      <c r="K59" s="201"/>
      <c r="L59" s="201"/>
      <c r="M59" s="201"/>
      <c r="N59" s="201"/>
      <c r="O59" s="201"/>
      <c r="P59" s="201"/>
      <c r="Q59" s="201"/>
      <c r="R59" s="201"/>
      <c r="S59" s="201"/>
      <c r="T59" s="205"/>
      <c r="U59" s="205"/>
    </row>
    <row r="60" spans="1:21" ht="15" hidden="1" customHeight="1">
      <c r="A60" s="223"/>
      <c r="B60" s="251" t="s">
        <v>56</v>
      </c>
      <c r="C60" s="250"/>
      <c r="D60" s="250"/>
      <c r="E60" s="226"/>
      <c r="F60" s="229"/>
      <c r="G60" s="229"/>
      <c r="H60" s="227" t="s">
        <v>183</v>
      </c>
      <c r="I60" s="21"/>
      <c r="J60" s="200"/>
      <c r="K60" s="201"/>
      <c r="L60" s="201"/>
      <c r="M60" s="201"/>
      <c r="N60" s="201"/>
      <c r="O60" s="201"/>
      <c r="P60" s="201"/>
      <c r="Q60" s="201"/>
      <c r="R60" s="201"/>
      <c r="S60" s="201"/>
      <c r="T60" s="205"/>
      <c r="U60" s="205"/>
    </row>
    <row r="61" spans="1:21" ht="15" hidden="1" customHeight="1">
      <c r="A61" s="25">
        <v>17</v>
      </c>
      <c r="B61" s="32" t="s">
        <v>57</v>
      </c>
      <c r="C61" s="33" t="s">
        <v>159</v>
      </c>
      <c r="D61" s="252" t="s">
        <v>81</v>
      </c>
      <c r="E61" s="27">
        <v>15</v>
      </c>
      <c r="F61" s="213">
        <v>15</v>
      </c>
      <c r="G61" s="21">
        <v>222.4</v>
      </c>
      <c r="H61" s="215">
        <f t="shared" ref="H61:H74" si="8">SUM(F61*G61/1000)</f>
        <v>3.3359999999999999</v>
      </c>
      <c r="I61" s="21">
        <f>G61*2</f>
        <v>444.8</v>
      </c>
      <c r="J61" s="200"/>
      <c r="K61" s="201"/>
      <c r="L61" s="201"/>
      <c r="M61" s="201"/>
      <c r="N61" s="201"/>
      <c r="O61" s="201"/>
      <c r="P61" s="201"/>
      <c r="Q61" s="201"/>
      <c r="R61" s="201"/>
      <c r="S61" s="201"/>
      <c r="T61" s="205"/>
      <c r="U61" s="205"/>
    </row>
    <row r="62" spans="1:21" ht="15" hidden="1" customHeight="1">
      <c r="A62" s="25"/>
      <c r="B62" s="23" t="s">
        <v>58</v>
      </c>
      <c r="C62" s="25" t="s">
        <v>159</v>
      </c>
      <c r="D62" s="176" t="s">
        <v>81</v>
      </c>
      <c r="E62" s="27">
        <v>5</v>
      </c>
      <c r="F62" s="213">
        <v>5</v>
      </c>
      <c r="G62" s="21">
        <v>76.25</v>
      </c>
      <c r="H62" s="215">
        <f t="shared" si="8"/>
        <v>0.38124999999999998</v>
      </c>
      <c r="I62" s="21">
        <v>0</v>
      </c>
      <c r="J62" s="200"/>
      <c r="K62" s="201"/>
      <c r="L62" s="201"/>
      <c r="M62" s="201"/>
      <c r="N62" s="201"/>
      <c r="O62" s="201"/>
      <c r="P62" s="201"/>
      <c r="Q62" s="201"/>
      <c r="R62" s="201"/>
      <c r="S62" s="201"/>
      <c r="T62" s="205"/>
      <c r="U62" s="205"/>
    </row>
    <row r="63" spans="1:21" ht="15" hidden="1" customHeight="1">
      <c r="A63" s="25">
        <v>23</v>
      </c>
      <c r="B63" s="23" t="s">
        <v>59</v>
      </c>
      <c r="C63" s="25" t="s">
        <v>160</v>
      </c>
      <c r="D63" s="23" t="s">
        <v>66</v>
      </c>
      <c r="E63" s="212">
        <v>10052</v>
      </c>
      <c r="F63" s="21">
        <f>SUM(E63/100)</f>
        <v>100.52</v>
      </c>
      <c r="G63" s="21">
        <v>212.15</v>
      </c>
      <c r="H63" s="215">
        <f t="shared" si="8"/>
        <v>21.325317999999999</v>
      </c>
      <c r="I63" s="21">
        <f>F63*G63</f>
        <v>21325.317999999999</v>
      </c>
      <c r="J63" s="200"/>
      <c r="K63" s="201"/>
      <c r="L63" s="201"/>
      <c r="M63" s="201"/>
      <c r="N63" s="201"/>
      <c r="O63" s="201"/>
      <c r="P63" s="201"/>
      <c r="Q63" s="201"/>
      <c r="R63" s="201"/>
      <c r="S63" s="201"/>
      <c r="T63" s="205"/>
      <c r="U63" s="205"/>
    </row>
    <row r="64" spans="1:21" ht="15" hidden="1" customHeight="1">
      <c r="A64" s="25">
        <v>24</v>
      </c>
      <c r="B64" s="23" t="s">
        <v>60</v>
      </c>
      <c r="C64" s="25" t="s">
        <v>161</v>
      </c>
      <c r="D64" s="23"/>
      <c r="E64" s="212">
        <v>10052</v>
      </c>
      <c r="F64" s="21">
        <f>SUM(E64/1000)</f>
        <v>10.052</v>
      </c>
      <c r="G64" s="21">
        <v>165.21</v>
      </c>
      <c r="H64" s="215">
        <f t="shared" si="8"/>
        <v>1.66069092</v>
      </c>
      <c r="I64" s="21">
        <f t="shared" ref="I64:I67" si="9">F64*G64</f>
        <v>1660.69092</v>
      </c>
      <c r="J64" s="200"/>
      <c r="K64" s="201"/>
      <c r="L64" s="201"/>
      <c r="M64" s="201"/>
      <c r="N64" s="201"/>
      <c r="O64" s="201"/>
      <c r="P64" s="201"/>
      <c r="Q64" s="201"/>
      <c r="R64" s="201"/>
      <c r="S64" s="201"/>
      <c r="T64" s="205"/>
      <c r="U64" s="205"/>
    </row>
    <row r="65" spans="1:21" ht="15" hidden="1" customHeight="1">
      <c r="A65" s="25">
        <v>25</v>
      </c>
      <c r="B65" s="23" t="s">
        <v>61</v>
      </c>
      <c r="C65" s="25" t="s">
        <v>93</v>
      </c>
      <c r="D65" s="23" t="s">
        <v>66</v>
      </c>
      <c r="E65" s="212">
        <v>2200</v>
      </c>
      <c r="F65" s="21">
        <f>SUM(E65/100)</f>
        <v>22</v>
      </c>
      <c r="G65" s="21">
        <v>2074.63</v>
      </c>
      <c r="H65" s="215">
        <f t="shared" si="8"/>
        <v>45.641860000000001</v>
      </c>
      <c r="I65" s="21">
        <f t="shared" si="9"/>
        <v>45641.86</v>
      </c>
      <c r="J65" s="200"/>
      <c r="K65" s="201"/>
      <c r="L65" s="201"/>
      <c r="M65" s="201"/>
      <c r="N65" s="201"/>
      <c r="O65" s="201"/>
      <c r="P65" s="201"/>
      <c r="Q65" s="201"/>
      <c r="R65" s="201"/>
      <c r="S65" s="201"/>
      <c r="T65" s="205"/>
      <c r="U65" s="205"/>
    </row>
    <row r="66" spans="1:21" ht="15" hidden="1" customHeight="1">
      <c r="A66" s="25">
        <v>26</v>
      </c>
      <c r="B66" s="230" t="s">
        <v>162</v>
      </c>
      <c r="C66" s="25" t="s">
        <v>37</v>
      </c>
      <c r="D66" s="23"/>
      <c r="E66" s="212">
        <v>9.4</v>
      </c>
      <c r="F66" s="21">
        <f>SUM(E66)</f>
        <v>9.4</v>
      </c>
      <c r="G66" s="21">
        <v>42.67</v>
      </c>
      <c r="H66" s="215">
        <f t="shared" si="8"/>
        <v>0.40109800000000001</v>
      </c>
      <c r="I66" s="21">
        <f t="shared" si="9"/>
        <v>401.09800000000001</v>
      </c>
      <c r="J66" s="200"/>
      <c r="K66" s="201"/>
      <c r="L66" s="201"/>
      <c r="M66" s="201"/>
      <c r="N66" s="201"/>
      <c r="O66" s="201"/>
      <c r="P66" s="201"/>
      <c r="Q66" s="201"/>
      <c r="R66" s="201"/>
      <c r="S66" s="201"/>
      <c r="T66" s="205"/>
      <c r="U66" s="205"/>
    </row>
    <row r="67" spans="1:21" ht="15" hidden="1" customHeight="1">
      <c r="A67" s="255">
        <v>27</v>
      </c>
      <c r="B67" s="230" t="s">
        <v>163</v>
      </c>
      <c r="C67" s="25" t="s">
        <v>37</v>
      </c>
      <c r="D67" s="23"/>
      <c r="E67" s="212">
        <v>9.4</v>
      </c>
      <c r="F67" s="21">
        <f>SUM(E67)</f>
        <v>9.4</v>
      </c>
      <c r="G67" s="21">
        <v>39.81</v>
      </c>
      <c r="H67" s="215">
        <f t="shared" si="8"/>
        <v>0.37421400000000005</v>
      </c>
      <c r="I67" s="21">
        <f t="shared" si="9"/>
        <v>374.21400000000006</v>
      </c>
      <c r="J67" s="200"/>
      <c r="K67" s="201"/>
      <c r="L67" s="201"/>
      <c r="M67" s="201"/>
      <c r="N67" s="201"/>
      <c r="O67" s="201"/>
      <c r="P67" s="201"/>
      <c r="Q67" s="201"/>
      <c r="R67" s="201"/>
      <c r="S67" s="201"/>
      <c r="T67" s="205"/>
      <c r="U67" s="205"/>
    </row>
    <row r="68" spans="1:21" ht="15" hidden="1" customHeight="1">
      <c r="A68" s="25"/>
      <c r="B68" s="23" t="s">
        <v>73</v>
      </c>
      <c r="C68" s="25" t="s">
        <v>74</v>
      </c>
      <c r="D68" s="23" t="s">
        <v>66</v>
      </c>
      <c r="E68" s="27">
        <v>5</v>
      </c>
      <c r="F68" s="213">
        <v>5</v>
      </c>
      <c r="G68" s="21">
        <v>49.88</v>
      </c>
      <c r="H68" s="215">
        <f t="shared" si="8"/>
        <v>0.24940000000000001</v>
      </c>
      <c r="I68" s="21">
        <v>0</v>
      </c>
      <c r="J68" s="200"/>
      <c r="K68" s="201"/>
      <c r="L68" s="201"/>
      <c r="M68" s="201"/>
      <c r="N68" s="201"/>
      <c r="O68" s="201"/>
      <c r="P68" s="201"/>
      <c r="Q68" s="201"/>
      <c r="R68" s="201"/>
      <c r="S68" s="201"/>
      <c r="T68" s="205"/>
      <c r="U68" s="205"/>
    </row>
    <row r="69" spans="1:21" ht="15" hidden="1" customHeight="1">
      <c r="A69" s="255"/>
      <c r="B69" s="188" t="s">
        <v>87</v>
      </c>
      <c r="C69" s="253"/>
      <c r="D69" s="253"/>
      <c r="E69" s="27"/>
      <c r="F69" s="21"/>
      <c r="G69" s="21"/>
      <c r="H69" s="215" t="s">
        <v>183</v>
      </c>
      <c r="I69" s="21"/>
      <c r="J69" s="200"/>
      <c r="K69" s="201"/>
      <c r="L69" s="201"/>
      <c r="M69" s="201"/>
      <c r="N69" s="201"/>
      <c r="O69" s="201"/>
      <c r="P69" s="201"/>
      <c r="Q69" s="201"/>
      <c r="R69" s="201"/>
      <c r="S69" s="201"/>
      <c r="T69" s="205"/>
      <c r="U69" s="205"/>
    </row>
    <row r="70" spans="1:21" ht="15" hidden="1" customHeight="1">
      <c r="A70" s="25"/>
      <c r="B70" s="23" t="s">
        <v>88</v>
      </c>
      <c r="C70" s="25" t="s">
        <v>90</v>
      </c>
      <c r="D70" s="23"/>
      <c r="E70" s="27">
        <v>3</v>
      </c>
      <c r="F70" s="21">
        <v>0.3</v>
      </c>
      <c r="G70" s="21">
        <v>501.62</v>
      </c>
      <c r="H70" s="215">
        <f t="shared" si="8"/>
        <v>0.15048599999999998</v>
      </c>
      <c r="I70" s="21">
        <v>0</v>
      </c>
      <c r="J70" s="200"/>
      <c r="K70" s="201"/>
      <c r="L70" s="201"/>
      <c r="M70" s="201"/>
      <c r="N70" s="201"/>
      <c r="O70" s="201"/>
      <c r="P70" s="201"/>
      <c r="Q70" s="201"/>
      <c r="R70" s="201"/>
      <c r="S70" s="201"/>
      <c r="T70" s="205"/>
      <c r="U70" s="205"/>
    </row>
    <row r="71" spans="1:21" ht="15" hidden="1" customHeight="1">
      <c r="A71" s="25"/>
      <c r="B71" s="23" t="s">
        <v>89</v>
      </c>
      <c r="C71" s="25" t="s">
        <v>35</v>
      </c>
      <c r="D71" s="23"/>
      <c r="E71" s="27">
        <v>1</v>
      </c>
      <c r="F71" s="232">
        <v>1</v>
      </c>
      <c r="G71" s="21">
        <v>852.99</v>
      </c>
      <c r="H71" s="215">
        <f>F71*G71/1000</f>
        <v>0.85299000000000003</v>
      </c>
      <c r="I71" s="21">
        <v>0</v>
      </c>
      <c r="J71" s="200"/>
      <c r="K71" s="201"/>
      <c r="L71" s="201"/>
      <c r="M71" s="201"/>
      <c r="N71" s="201"/>
      <c r="O71" s="201"/>
      <c r="P71" s="201"/>
      <c r="Q71" s="201"/>
      <c r="R71" s="201"/>
      <c r="S71" s="201"/>
      <c r="T71" s="205"/>
      <c r="U71" s="205"/>
    </row>
    <row r="72" spans="1:21" ht="15" hidden="1" customHeight="1">
      <c r="A72" s="25"/>
      <c r="B72" s="23" t="s">
        <v>126</v>
      </c>
      <c r="C72" s="25" t="s">
        <v>35</v>
      </c>
      <c r="D72" s="23"/>
      <c r="E72" s="27">
        <v>1</v>
      </c>
      <c r="F72" s="21">
        <v>1</v>
      </c>
      <c r="G72" s="21">
        <v>358.51</v>
      </c>
      <c r="H72" s="215">
        <f>G72*F72/1000</f>
        <v>0.35851</v>
      </c>
      <c r="I72" s="21">
        <v>0</v>
      </c>
      <c r="J72" s="200"/>
      <c r="K72" s="201"/>
      <c r="L72" s="201"/>
      <c r="M72" s="201"/>
      <c r="N72" s="201"/>
      <c r="O72" s="201"/>
      <c r="P72" s="201"/>
      <c r="Q72" s="201"/>
      <c r="R72" s="201"/>
      <c r="S72" s="201"/>
      <c r="T72" s="205"/>
      <c r="U72" s="205"/>
    </row>
    <row r="73" spans="1:21" ht="15" hidden="1" customHeight="1">
      <c r="A73" s="255"/>
      <c r="B73" s="234" t="s">
        <v>91</v>
      </c>
      <c r="C73" s="253"/>
      <c r="D73" s="253"/>
      <c r="E73" s="27"/>
      <c r="F73" s="21"/>
      <c r="G73" s="21" t="s">
        <v>183</v>
      </c>
      <c r="H73" s="215" t="s">
        <v>183</v>
      </c>
      <c r="I73" s="21"/>
      <c r="J73" s="200"/>
      <c r="K73" s="201"/>
      <c r="L73" s="201"/>
      <c r="M73" s="201"/>
      <c r="N73" s="201"/>
      <c r="O73" s="201"/>
      <c r="P73" s="201"/>
      <c r="Q73" s="201"/>
      <c r="R73" s="201"/>
      <c r="S73" s="201"/>
      <c r="T73" s="205"/>
      <c r="U73" s="205"/>
    </row>
    <row r="74" spans="1:21" ht="15" hidden="1" customHeight="1">
      <c r="A74" s="25"/>
      <c r="B74" s="85" t="s">
        <v>92</v>
      </c>
      <c r="C74" s="25" t="s">
        <v>93</v>
      </c>
      <c r="D74" s="23"/>
      <c r="E74" s="27"/>
      <c r="F74" s="21">
        <v>1</v>
      </c>
      <c r="G74" s="21">
        <v>2579.44</v>
      </c>
      <c r="H74" s="215">
        <f t="shared" si="8"/>
        <v>2.57944</v>
      </c>
      <c r="I74" s="21">
        <v>0</v>
      </c>
      <c r="J74" s="200"/>
      <c r="K74" s="201"/>
      <c r="L74" s="201"/>
      <c r="M74" s="201"/>
      <c r="N74" s="201"/>
      <c r="O74" s="201"/>
      <c r="P74" s="201"/>
      <c r="Q74" s="201"/>
      <c r="R74" s="201"/>
      <c r="S74" s="201"/>
      <c r="T74" s="205"/>
      <c r="U74" s="205"/>
    </row>
    <row r="75" spans="1:21" ht="15" hidden="1" customHeight="1">
      <c r="A75" s="248"/>
      <c r="B75" s="188" t="s">
        <v>165</v>
      </c>
      <c r="C75" s="254"/>
      <c r="D75" s="254"/>
      <c r="E75" s="237"/>
      <c r="F75" s="21"/>
      <c r="G75" s="21"/>
      <c r="H75" s="215"/>
      <c r="I75" s="21"/>
      <c r="J75" s="200"/>
      <c r="K75" s="201"/>
      <c r="L75" s="201"/>
      <c r="M75" s="201"/>
      <c r="N75" s="201"/>
      <c r="O75" s="201"/>
      <c r="P75" s="201"/>
      <c r="Q75" s="201"/>
      <c r="R75" s="201"/>
      <c r="S75" s="201"/>
      <c r="T75" s="205"/>
      <c r="U75" s="205"/>
    </row>
    <row r="76" spans="1:21" ht="15" hidden="1" customHeight="1">
      <c r="A76" s="236">
        <v>28</v>
      </c>
      <c r="B76" s="252" t="s">
        <v>166</v>
      </c>
      <c r="C76" s="33"/>
      <c r="D76" s="32"/>
      <c r="E76" s="237"/>
      <c r="F76" s="21">
        <v>1</v>
      </c>
      <c r="G76" s="21">
        <v>20950</v>
      </c>
      <c r="H76" s="215">
        <f>G76*F76/1000</f>
        <v>20.95</v>
      </c>
      <c r="I76" s="21">
        <f>F76*G76</f>
        <v>20950</v>
      </c>
      <c r="J76" s="200"/>
      <c r="K76" s="201"/>
      <c r="L76" s="201"/>
      <c r="M76" s="201"/>
      <c r="N76" s="201"/>
      <c r="O76" s="201"/>
      <c r="P76" s="201"/>
      <c r="Q76" s="201"/>
      <c r="R76" s="201"/>
      <c r="S76" s="201"/>
      <c r="T76" s="205"/>
      <c r="U76" s="205"/>
    </row>
    <row r="77" spans="1:21" ht="15" customHeight="1">
      <c r="A77" s="274" t="s">
        <v>240</v>
      </c>
      <c r="B77" s="275"/>
      <c r="C77" s="275"/>
      <c r="D77" s="275"/>
      <c r="E77" s="275"/>
      <c r="F77" s="275"/>
      <c r="G77" s="275"/>
      <c r="H77" s="275"/>
      <c r="I77" s="276"/>
      <c r="J77" s="200"/>
      <c r="K77" s="201"/>
      <c r="L77" s="201"/>
      <c r="M77" s="201"/>
      <c r="N77" s="201"/>
      <c r="O77" s="201"/>
      <c r="P77" s="201"/>
      <c r="Q77" s="201"/>
      <c r="R77" s="201"/>
      <c r="S77" s="201"/>
      <c r="T77" s="205"/>
      <c r="U77" s="205"/>
    </row>
    <row r="78" spans="1:21" ht="15" customHeight="1">
      <c r="A78" s="25">
        <v>9</v>
      </c>
      <c r="B78" s="176" t="s">
        <v>207</v>
      </c>
      <c r="C78" s="25" t="s">
        <v>70</v>
      </c>
      <c r="D78" s="238"/>
      <c r="E78" s="21">
        <v>2549.5</v>
      </c>
      <c r="F78" s="21">
        <f>SUM(E78*12)</f>
        <v>30594</v>
      </c>
      <c r="G78" s="21">
        <v>2.1</v>
      </c>
      <c r="H78" s="215">
        <f>SUM(F78*G78/1000)</f>
        <v>64.247399999999999</v>
      </c>
      <c r="I78" s="21">
        <f>F78/12*G78</f>
        <v>5353.95</v>
      </c>
      <c r="J78" s="200"/>
      <c r="K78" s="201"/>
      <c r="L78" s="201"/>
      <c r="M78" s="201"/>
      <c r="N78" s="201"/>
      <c r="O78" s="201"/>
      <c r="P78" s="201"/>
      <c r="Q78" s="201"/>
      <c r="R78" s="201"/>
      <c r="S78" s="201"/>
      <c r="T78" s="205"/>
      <c r="U78" s="205"/>
    </row>
    <row r="79" spans="1:21" ht="30" customHeight="1">
      <c r="A79" s="255">
        <v>10</v>
      </c>
      <c r="B79" s="23" t="s">
        <v>94</v>
      </c>
      <c r="C79" s="25"/>
      <c r="D79" s="85"/>
      <c r="E79" s="212">
        <f>E78</f>
        <v>2549.5</v>
      </c>
      <c r="F79" s="21">
        <f>E79*12</f>
        <v>30594</v>
      </c>
      <c r="G79" s="21">
        <v>1.63</v>
      </c>
      <c r="H79" s="215">
        <f>F79*G79/1000</f>
        <v>49.868219999999994</v>
      </c>
      <c r="I79" s="21">
        <f>F79/12*G79</f>
        <v>4155.6849999999995</v>
      </c>
      <c r="J79" s="200"/>
      <c r="K79" s="201"/>
      <c r="L79" s="201"/>
      <c r="M79" s="201"/>
      <c r="N79" s="201"/>
      <c r="O79" s="201"/>
      <c r="P79" s="201"/>
      <c r="Q79" s="201"/>
      <c r="R79" s="201"/>
      <c r="S79" s="201"/>
      <c r="T79" s="205"/>
      <c r="U79" s="205"/>
    </row>
    <row r="80" spans="1:21" ht="15" customHeight="1">
      <c r="A80" s="239"/>
      <c r="B80" s="73" t="s">
        <v>99</v>
      </c>
      <c r="C80" s="234"/>
      <c r="D80" s="233"/>
      <c r="E80" s="235"/>
      <c r="F80" s="235"/>
      <c r="G80" s="235"/>
      <c r="H80" s="222">
        <f>H79</f>
        <v>49.868219999999994</v>
      </c>
      <c r="I80" s="235">
        <f>I15+I16+I17+I25+I26+I28+I29+I31+I78+I79</f>
        <v>31964.337727922226</v>
      </c>
      <c r="J80" s="202"/>
      <c r="K80" s="203"/>
      <c r="L80" s="203"/>
      <c r="M80" s="203"/>
      <c r="N80" s="203"/>
      <c r="O80" s="203"/>
      <c r="P80" s="203"/>
      <c r="Q80" s="203"/>
      <c r="R80" s="203"/>
      <c r="S80" s="203"/>
      <c r="T80" s="205"/>
      <c r="U80" s="205"/>
    </row>
    <row r="81" spans="1:22" ht="15" customHeight="1">
      <c r="A81" s="239"/>
      <c r="B81" s="145" t="s">
        <v>75</v>
      </c>
      <c r="C81" s="25"/>
      <c r="D81" s="85"/>
      <c r="E81" s="21"/>
      <c r="F81" s="21"/>
      <c r="G81" s="21"/>
      <c r="H81" s="222" t="e">
        <f>SUM(H80+#REF!+#REF!+#REF!+#REF!+#REF!+#REF!)</f>
        <v>#REF!</v>
      </c>
      <c r="I81" s="21"/>
      <c r="J81" s="200"/>
      <c r="K81" s="201"/>
      <c r="L81" s="201"/>
      <c r="M81" s="201"/>
      <c r="N81" s="201"/>
      <c r="O81" s="201"/>
      <c r="P81" s="201"/>
      <c r="Q81" s="201"/>
      <c r="R81" s="201"/>
      <c r="S81" s="201"/>
      <c r="T81" s="205"/>
      <c r="U81" s="205"/>
    </row>
    <row r="82" spans="1:22" ht="15" customHeight="1">
      <c r="A82" s="242">
        <v>11</v>
      </c>
      <c r="B82" s="243" t="s">
        <v>108</v>
      </c>
      <c r="C82" s="240" t="s">
        <v>159</v>
      </c>
      <c r="D82" s="23"/>
      <c r="E82" s="27"/>
      <c r="F82" s="21">
        <v>1</v>
      </c>
      <c r="G82" s="21">
        <v>179.96</v>
      </c>
      <c r="H82" s="215">
        <f>G82*F82/1000</f>
        <v>0.17996000000000001</v>
      </c>
      <c r="I82" s="260">
        <f>G82</f>
        <v>179.96</v>
      </c>
      <c r="J82" s="200"/>
      <c r="K82" s="201"/>
      <c r="L82" s="201"/>
      <c r="M82" s="201"/>
      <c r="N82" s="201"/>
      <c r="O82" s="201"/>
      <c r="P82" s="201"/>
      <c r="Q82" s="201"/>
      <c r="R82" s="201"/>
      <c r="S82" s="201"/>
      <c r="T82" s="205"/>
      <c r="U82" s="205"/>
    </row>
    <row r="83" spans="1:22" ht="15" customHeight="1">
      <c r="A83" s="210">
        <v>12</v>
      </c>
      <c r="B83" s="176" t="s">
        <v>214</v>
      </c>
      <c r="C83" s="211" t="s">
        <v>159</v>
      </c>
      <c r="D83" s="23"/>
      <c r="E83" s="27"/>
      <c r="F83" s="21">
        <v>1</v>
      </c>
      <c r="G83" s="21">
        <v>81.73</v>
      </c>
      <c r="H83" s="215">
        <f>G83*F83/1000</f>
        <v>8.1729999999999997E-2</v>
      </c>
      <c r="I83" s="260">
        <f t="shared" ref="I83" si="10">G83</f>
        <v>81.73</v>
      </c>
      <c r="J83" s="200"/>
      <c r="K83" s="201"/>
      <c r="L83" s="201"/>
      <c r="M83" s="201"/>
      <c r="N83" s="201"/>
      <c r="O83" s="201"/>
      <c r="P83" s="201"/>
      <c r="Q83" s="201"/>
      <c r="R83" s="201"/>
      <c r="S83" s="201"/>
      <c r="T83" s="205"/>
      <c r="U83" s="205"/>
    </row>
    <row r="84" spans="1:22" ht="15" customHeight="1">
      <c r="A84" s="242">
        <v>13</v>
      </c>
      <c r="B84" s="243" t="s">
        <v>215</v>
      </c>
      <c r="C84" s="240" t="s">
        <v>70</v>
      </c>
      <c r="D84" s="23"/>
      <c r="E84" s="27"/>
      <c r="F84" s="21">
        <v>1.5</v>
      </c>
      <c r="G84" s="21">
        <v>429.55</v>
      </c>
      <c r="H84" s="215">
        <f>G84*F84/1000</f>
        <v>0.64432500000000004</v>
      </c>
      <c r="I84" s="260">
        <f>G84*F84</f>
        <v>644.32500000000005</v>
      </c>
      <c r="J84" s="200"/>
      <c r="K84" s="201"/>
      <c r="L84" s="201"/>
      <c r="M84" s="201"/>
      <c r="N84" s="201"/>
      <c r="O84" s="201"/>
      <c r="P84" s="201"/>
      <c r="Q84" s="201"/>
      <c r="R84" s="201"/>
      <c r="S84" s="201"/>
      <c r="T84" s="205"/>
      <c r="U84" s="205"/>
    </row>
    <row r="85" spans="1:22" ht="15" customHeight="1">
      <c r="A85" s="25"/>
      <c r="B85" s="247" t="s">
        <v>216</v>
      </c>
      <c r="C85" s="246"/>
      <c r="D85" s="246"/>
      <c r="E85" s="21"/>
      <c r="F85" s="21"/>
      <c r="G85" s="21"/>
      <c r="H85" s="222">
        <f>SUM(H82:H84)</f>
        <v>0.90601500000000001</v>
      </c>
      <c r="I85" s="235">
        <f>I82+I83+I84</f>
        <v>906.0150000000001</v>
      </c>
      <c r="J85" s="200"/>
      <c r="K85" s="201"/>
      <c r="L85" s="201"/>
      <c r="M85" s="201"/>
      <c r="N85" s="201"/>
      <c r="O85" s="201"/>
      <c r="P85" s="201"/>
      <c r="Q85" s="201"/>
      <c r="R85" s="201"/>
      <c r="S85" s="201"/>
      <c r="T85" s="205"/>
      <c r="U85" s="205"/>
    </row>
    <row r="86" spans="1:22" ht="15" customHeight="1">
      <c r="A86" s="51"/>
      <c r="B86" s="85" t="s">
        <v>95</v>
      </c>
      <c r="C86" s="24"/>
      <c r="D86" s="24"/>
      <c r="E86" s="77"/>
      <c r="F86" s="77"/>
      <c r="G86" s="78"/>
      <c r="H86" s="78"/>
      <c r="I86" s="26">
        <v>0</v>
      </c>
      <c r="J86" s="204"/>
      <c r="K86" s="205"/>
      <c r="L86" s="29"/>
      <c r="M86" s="30"/>
      <c r="N86" s="31"/>
      <c r="O86" s="205"/>
      <c r="P86" s="205"/>
      <c r="Q86" s="205"/>
      <c r="R86" s="205"/>
      <c r="S86" s="205"/>
      <c r="T86" s="205"/>
      <c r="U86" s="205"/>
    </row>
    <row r="87" spans="1:22" ht="15" customHeight="1">
      <c r="A87" s="51"/>
      <c r="B87" s="81" t="s">
        <v>64</v>
      </c>
      <c r="C87" s="24"/>
      <c r="D87" s="24"/>
      <c r="E87" s="77"/>
      <c r="F87" s="77"/>
      <c r="G87" s="78"/>
      <c r="H87" s="78"/>
      <c r="I87" s="79">
        <f>I80+I85</f>
        <v>32870.352727922225</v>
      </c>
      <c r="J87" s="204"/>
      <c r="K87" s="205"/>
      <c r="L87" s="29"/>
      <c r="M87" s="30"/>
      <c r="N87" s="31"/>
      <c r="O87" s="205"/>
      <c r="P87" s="205"/>
      <c r="Q87" s="205"/>
      <c r="R87" s="205"/>
      <c r="S87" s="205"/>
      <c r="T87" s="205"/>
      <c r="U87" s="205"/>
    </row>
    <row r="88" spans="1:22" ht="15.75">
      <c r="A88" s="263" t="s">
        <v>241</v>
      </c>
      <c r="B88" s="263"/>
      <c r="C88" s="263"/>
      <c r="D88" s="263"/>
      <c r="E88" s="263"/>
      <c r="F88" s="263"/>
      <c r="G88" s="263"/>
      <c r="H88" s="263"/>
      <c r="I88" s="263"/>
      <c r="J88" s="205"/>
      <c r="K88" s="205"/>
      <c r="L88" s="205"/>
      <c r="M88" s="205"/>
      <c r="N88" s="205"/>
      <c r="O88" s="205"/>
      <c r="P88" s="205"/>
      <c r="Q88" s="205"/>
      <c r="R88" s="205"/>
      <c r="S88" s="205"/>
      <c r="T88" s="205"/>
      <c r="U88" s="205"/>
    </row>
    <row r="89" spans="1:22" ht="15.75">
      <c r="A89" s="13"/>
      <c r="B89" s="264" t="s">
        <v>242</v>
      </c>
      <c r="C89" s="264"/>
      <c r="D89" s="264"/>
      <c r="E89" s="264"/>
      <c r="F89" s="264"/>
      <c r="G89" s="264"/>
      <c r="H89" s="196"/>
      <c r="I89" s="4"/>
      <c r="J89" s="205"/>
      <c r="K89" s="205"/>
      <c r="L89" s="205"/>
      <c r="M89" s="205"/>
      <c r="N89" s="205"/>
      <c r="O89" s="205"/>
      <c r="P89" s="205"/>
      <c r="Q89" s="205"/>
      <c r="R89" s="205"/>
      <c r="S89" s="205"/>
      <c r="T89" s="205"/>
      <c r="U89" s="205"/>
    </row>
    <row r="90" spans="1:22" ht="15.75">
      <c r="A90" s="187"/>
      <c r="B90" s="280" t="s">
        <v>7</v>
      </c>
      <c r="C90" s="280"/>
      <c r="D90" s="280"/>
      <c r="E90" s="280"/>
      <c r="F90" s="280"/>
      <c r="G90" s="280"/>
      <c r="H90" s="199"/>
      <c r="I90" s="123"/>
      <c r="J90" s="205"/>
      <c r="K90" s="205"/>
      <c r="L90" s="205"/>
      <c r="M90" s="205"/>
      <c r="N90" s="205"/>
      <c r="O90" s="205"/>
      <c r="P90" s="205"/>
      <c r="Q90" s="205"/>
      <c r="R90" s="205"/>
      <c r="S90" s="205"/>
      <c r="T90" s="205"/>
      <c r="U90" s="205"/>
    </row>
    <row r="91" spans="1:22" ht="15.75" customHeight="1">
      <c r="A91" s="124"/>
      <c r="B91" s="124"/>
      <c r="C91" s="124"/>
      <c r="D91" s="124"/>
      <c r="E91" s="124"/>
      <c r="F91" s="124"/>
      <c r="G91" s="124"/>
      <c r="H91" s="124"/>
      <c r="I91" s="124"/>
      <c r="J91" s="4"/>
      <c r="K91" s="4"/>
      <c r="L91" s="4"/>
      <c r="M91" s="4"/>
      <c r="N91" s="4"/>
      <c r="O91" s="4"/>
      <c r="P91" s="4"/>
      <c r="Q91" s="206"/>
      <c r="R91" s="206"/>
      <c r="S91" s="206"/>
      <c r="T91" s="206"/>
      <c r="U91" s="206"/>
      <c r="V91" s="12"/>
    </row>
    <row r="92" spans="1:22" ht="15.75" customHeight="1">
      <c r="A92" s="281" t="s">
        <v>8</v>
      </c>
      <c r="B92" s="281"/>
      <c r="C92" s="281"/>
      <c r="D92" s="281"/>
      <c r="E92" s="281"/>
      <c r="F92" s="281"/>
      <c r="G92" s="281"/>
      <c r="H92" s="281"/>
      <c r="I92" s="281"/>
      <c r="J92" s="43"/>
      <c r="K92" s="43"/>
      <c r="L92" s="4"/>
      <c r="M92" s="4"/>
      <c r="N92" s="4"/>
      <c r="O92" s="4"/>
      <c r="P92" s="4"/>
      <c r="Q92" s="206"/>
      <c r="R92" s="206"/>
      <c r="S92" s="206"/>
      <c r="T92" s="206"/>
      <c r="U92" s="206"/>
    </row>
    <row r="93" spans="1:22" ht="15.75">
      <c r="A93" s="281" t="s">
        <v>9</v>
      </c>
      <c r="B93" s="281"/>
      <c r="C93" s="281"/>
      <c r="D93" s="281"/>
      <c r="E93" s="281"/>
      <c r="F93" s="281"/>
      <c r="G93" s="281"/>
      <c r="H93" s="281"/>
      <c r="I93" s="281"/>
      <c r="J93" s="4"/>
      <c r="K93" s="4"/>
      <c r="L93" s="4"/>
      <c r="M93" s="4"/>
      <c r="N93" s="4"/>
      <c r="O93" s="4"/>
      <c r="P93" s="4"/>
      <c r="Q93" s="206"/>
      <c r="R93" s="205"/>
      <c r="S93" s="206"/>
      <c r="T93" s="206"/>
      <c r="U93" s="206"/>
    </row>
    <row r="94" spans="1:22" ht="15.75">
      <c r="A94" s="263" t="s">
        <v>10</v>
      </c>
      <c r="B94" s="263"/>
      <c r="C94" s="263"/>
      <c r="D94" s="263"/>
      <c r="E94" s="263"/>
      <c r="F94" s="263"/>
      <c r="G94" s="263"/>
      <c r="H94" s="263"/>
      <c r="I94" s="263"/>
      <c r="J94" s="6"/>
      <c r="K94" s="6"/>
      <c r="L94" s="6"/>
      <c r="M94" s="6"/>
      <c r="N94" s="6"/>
      <c r="O94" s="6"/>
      <c r="P94" s="6"/>
      <c r="Q94" s="207"/>
      <c r="R94" s="261"/>
      <c r="S94" s="261"/>
      <c r="T94" s="261"/>
      <c r="U94" s="261"/>
    </row>
    <row r="95" spans="1:22" ht="15.75">
      <c r="A95" s="15"/>
      <c r="B95" s="121"/>
      <c r="C95" s="121"/>
      <c r="D95" s="121"/>
      <c r="E95" s="121"/>
      <c r="F95" s="121"/>
      <c r="G95" s="121"/>
      <c r="H95" s="121"/>
      <c r="I95" s="121"/>
      <c r="J95" s="14"/>
      <c r="K95" s="14"/>
      <c r="L95" s="14"/>
      <c r="M95" s="14"/>
      <c r="N95" s="14"/>
      <c r="O95" s="14"/>
      <c r="P95" s="14"/>
      <c r="Q95" s="208"/>
      <c r="R95" s="208"/>
      <c r="S95" s="208"/>
      <c r="T95" s="208"/>
      <c r="U95" s="208"/>
    </row>
    <row r="96" spans="1:22" ht="15.75">
      <c r="A96" s="15"/>
      <c r="B96" s="121"/>
      <c r="C96" s="121"/>
      <c r="D96" s="121"/>
      <c r="E96" s="121"/>
      <c r="F96" s="121"/>
      <c r="G96" s="121"/>
      <c r="H96" s="121"/>
      <c r="I96" s="121"/>
    </row>
    <row r="97" spans="1:9" ht="15.75">
      <c r="A97" s="262" t="s">
        <v>11</v>
      </c>
      <c r="B97" s="262"/>
      <c r="C97" s="262"/>
      <c r="D97" s="262"/>
      <c r="E97" s="262"/>
      <c r="F97" s="262"/>
      <c r="G97" s="262"/>
      <c r="H97" s="262"/>
      <c r="I97" s="262"/>
    </row>
    <row r="98" spans="1:9" ht="15.75" customHeight="1">
      <c r="A98" s="5"/>
    </row>
    <row r="99" spans="1:9" ht="15.75">
      <c r="A99" s="263" t="s">
        <v>12</v>
      </c>
      <c r="B99" s="263"/>
      <c r="C99" s="287" t="s">
        <v>133</v>
      </c>
      <c r="D99" s="287"/>
      <c r="E99" s="287"/>
      <c r="F99" s="197"/>
      <c r="I99" s="191"/>
    </row>
    <row r="100" spans="1:9">
      <c r="A100" s="192"/>
      <c r="C100" s="277" t="s">
        <v>13</v>
      </c>
      <c r="D100" s="277"/>
      <c r="E100" s="277"/>
      <c r="F100" s="42"/>
      <c r="I100" s="189" t="s">
        <v>14</v>
      </c>
    </row>
    <row r="101" spans="1:9" ht="15.75">
      <c r="A101" s="43"/>
      <c r="C101" s="16"/>
      <c r="D101" s="16"/>
      <c r="G101" s="16"/>
      <c r="H101" s="16"/>
    </row>
    <row r="102" spans="1:9" ht="15.75" customHeight="1">
      <c r="A102" s="263" t="s">
        <v>15</v>
      </c>
      <c r="B102" s="263"/>
      <c r="C102" s="278"/>
      <c r="D102" s="278"/>
      <c r="E102" s="278"/>
      <c r="F102" s="198"/>
      <c r="I102" s="191"/>
    </row>
    <row r="103" spans="1:9">
      <c r="A103" s="192"/>
      <c r="C103" s="279" t="s">
        <v>13</v>
      </c>
      <c r="D103" s="279"/>
      <c r="E103" s="279"/>
      <c r="F103" s="192"/>
      <c r="I103" s="189" t="s">
        <v>14</v>
      </c>
    </row>
    <row r="104" spans="1:9" ht="15.75">
      <c r="A104" s="5" t="s">
        <v>16</v>
      </c>
    </row>
    <row r="105" spans="1:9">
      <c r="A105" s="288" t="s">
        <v>17</v>
      </c>
      <c r="B105" s="288"/>
      <c r="C105" s="288"/>
      <c r="D105" s="288"/>
      <c r="E105" s="288"/>
      <c r="F105" s="288"/>
      <c r="G105" s="288"/>
      <c r="H105" s="288"/>
      <c r="I105" s="288"/>
    </row>
    <row r="106" spans="1:9" ht="47.25" customHeight="1">
      <c r="A106" s="289" t="s">
        <v>18</v>
      </c>
      <c r="B106" s="289"/>
      <c r="C106" s="289"/>
      <c r="D106" s="289"/>
      <c r="E106" s="289"/>
      <c r="F106" s="289"/>
      <c r="G106" s="289"/>
      <c r="H106" s="289"/>
      <c r="I106" s="289"/>
    </row>
    <row r="107" spans="1:9" ht="31.5" customHeight="1">
      <c r="A107" s="289" t="s">
        <v>19</v>
      </c>
      <c r="B107" s="289"/>
      <c r="C107" s="289"/>
      <c r="D107" s="289"/>
      <c r="E107" s="289"/>
      <c r="F107" s="289"/>
      <c r="G107" s="289"/>
      <c r="H107" s="289"/>
      <c r="I107" s="289"/>
    </row>
    <row r="108" spans="1:9" ht="31.5" customHeight="1">
      <c r="A108" s="289" t="s">
        <v>24</v>
      </c>
      <c r="B108" s="289"/>
      <c r="C108" s="289"/>
      <c r="D108" s="289"/>
      <c r="E108" s="289"/>
      <c r="F108" s="289"/>
      <c r="G108" s="289"/>
      <c r="H108" s="289"/>
      <c r="I108" s="289"/>
    </row>
    <row r="109" spans="1:9" ht="15.75">
      <c r="A109" s="289" t="s">
        <v>23</v>
      </c>
      <c r="B109" s="289"/>
      <c r="C109" s="289"/>
      <c r="D109" s="289"/>
      <c r="E109" s="289"/>
      <c r="F109" s="289"/>
      <c r="G109" s="289"/>
      <c r="H109" s="289"/>
      <c r="I109" s="289"/>
    </row>
  </sheetData>
  <autoFilter ref="I14:I89"/>
  <mergeCells count="30">
    <mergeCell ref="A14:I14"/>
    <mergeCell ref="A3:I3"/>
    <mergeCell ref="A4:I4"/>
    <mergeCell ref="A5:I5"/>
    <mergeCell ref="A8:I8"/>
    <mergeCell ref="A10:I10"/>
    <mergeCell ref="R94:U94"/>
    <mergeCell ref="A27:I27"/>
    <mergeCell ref="A34:I34"/>
    <mergeCell ref="A43:I43"/>
    <mergeCell ref="A55:I55"/>
    <mergeCell ref="A77:I77"/>
    <mergeCell ref="A88:I88"/>
    <mergeCell ref="B89:G89"/>
    <mergeCell ref="B90:G90"/>
    <mergeCell ref="A92:I92"/>
    <mergeCell ref="A93:I93"/>
    <mergeCell ref="A94:I94"/>
    <mergeCell ref="A109:I109"/>
    <mergeCell ref="A97:I97"/>
    <mergeCell ref="A99:B99"/>
    <mergeCell ref="C99:E99"/>
    <mergeCell ref="C100:E100"/>
    <mergeCell ref="A102:B102"/>
    <mergeCell ref="C102:E102"/>
    <mergeCell ref="C103:E103"/>
    <mergeCell ref="A105:I105"/>
    <mergeCell ref="A106:I106"/>
    <mergeCell ref="A107:I107"/>
    <mergeCell ref="A108:I108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07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21" ht="15.75" customHeight="1">
      <c r="B1" s="57" t="s">
        <v>113</v>
      </c>
      <c r="I1" s="56"/>
    </row>
    <row r="2" spans="1:21" ht="15.75" customHeight="1">
      <c r="B2" s="46" t="s">
        <v>77</v>
      </c>
      <c r="J2" s="1"/>
      <c r="K2" s="1"/>
      <c r="L2" s="1"/>
      <c r="M2" s="1"/>
    </row>
    <row r="3" spans="1:21" ht="15.75" customHeight="1">
      <c r="A3" s="265" t="s">
        <v>243</v>
      </c>
      <c r="B3" s="265"/>
      <c r="C3" s="265"/>
      <c r="D3" s="265"/>
      <c r="E3" s="265"/>
      <c r="F3" s="265"/>
      <c r="G3" s="265"/>
      <c r="H3" s="265"/>
      <c r="I3" s="265"/>
      <c r="J3" s="2"/>
      <c r="K3" s="2"/>
      <c r="L3" s="2"/>
      <c r="M3" s="2"/>
    </row>
    <row r="4" spans="1:21" ht="33.75" customHeight="1">
      <c r="A4" s="266" t="s">
        <v>142</v>
      </c>
      <c r="B4" s="266"/>
      <c r="C4" s="266"/>
      <c r="D4" s="266"/>
      <c r="E4" s="266"/>
      <c r="F4" s="266"/>
      <c r="G4" s="266"/>
      <c r="H4" s="266"/>
      <c r="I4" s="266"/>
      <c r="J4" s="3"/>
      <c r="K4" s="3"/>
      <c r="L4" s="3"/>
      <c r="M4" s="3"/>
    </row>
    <row r="5" spans="1:21" ht="15.75" customHeight="1">
      <c r="A5" s="267" t="s">
        <v>244</v>
      </c>
      <c r="B5" s="268"/>
      <c r="C5" s="268"/>
      <c r="D5" s="268"/>
      <c r="E5" s="268"/>
      <c r="F5" s="268"/>
      <c r="G5" s="268"/>
      <c r="H5" s="268"/>
      <c r="I5" s="268"/>
      <c r="J5" s="4"/>
      <c r="K5" s="4"/>
      <c r="L5" s="4"/>
    </row>
    <row r="6" spans="1:21" ht="15.75" customHeight="1">
      <c r="A6" s="3"/>
      <c r="B6" s="193"/>
      <c r="C6" s="193"/>
      <c r="D6" s="193"/>
      <c r="E6" s="193"/>
      <c r="F6" s="193"/>
      <c r="G6" s="193"/>
      <c r="H6" s="193"/>
      <c r="I6" s="256">
        <v>42582</v>
      </c>
    </row>
    <row r="7" spans="1:21" ht="15.75">
      <c r="B7" s="190"/>
      <c r="C7" s="190"/>
      <c r="D7" s="190"/>
      <c r="E7" s="4"/>
      <c r="F7" s="4"/>
      <c r="G7" s="4"/>
      <c r="H7" s="4"/>
      <c r="J7" s="3"/>
      <c r="K7" s="3"/>
      <c r="L7" s="3"/>
      <c r="M7" s="3"/>
    </row>
    <row r="8" spans="1:21" ht="78.75" customHeight="1">
      <c r="A8" s="269" t="s">
        <v>275</v>
      </c>
      <c r="B8" s="269"/>
      <c r="C8" s="269"/>
      <c r="D8" s="269"/>
      <c r="E8" s="269"/>
      <c r="F8" s="269"/>
      <c r="G8" s="269"/>
      <c r="H8" s="269"/>
      <c r="I8" s="269"/>
      <c r="J8" s="3"/>
      <c r="K8" s="3"/>
      <c r="L8" s="3"/>
      <c r="M8" s="3"/>
    </row>
    <row r="9" spans="1:21" ht="15.75">
      <c r="A9" s="5"/>
      <c r="J9" s="4"/>
      <c r="K9" s="4"/>
      <c r="L9" s="4"/>
      <c r="M9" s="4"/>
    </row>
    <row r="10" spans="1:21" ht="47.25" customHeight="1">
      <c r="A10" s="270" t="s">
        <v>144</v>
      </c>
      <c r="B10" s="270"/>
      <c r="C10" s="270"/>
      <c r="D10" s="270"/>
      <c r="E10" s="270"/>
      <c r="F10" s="270"/>
      <c r="G10" s="270"/>
      <c r="H10" s="270"/>
      <c r="I10" s="270"/>
      <c r="J10" s="6"/>
      <c r="K10" s="6"/>
      <c r="L10" s="6"/>
      <c r="M10" s="6"/>
    </row>
    <row r="11" spans="1:21" ht="15.75" customHeight="1">
      <c r="A11" s="5"/>
      <c r="J11" s="3"/>
      <c r="K11" s="3"/>
      <c r="L11" s="3"/>
      <c r="M11" s="3"/>
    </row>
    <row r="12" spans="1:21" ht="51">
      <c r="A12" s="7" t="s">
        <v>0</v>
      </c>
      <c r="B12" s="7" t="s">
        <v>1</v>
      </c>
      <c r="C12" s="7" t="s">
        <v>2</v>
      </c>
      <c r="D12" s="7" t="s">
        <v>20</v>
      </c>
      <c r="E12" s="7" t="s">
        <v>21</v>
      </c>
      <c r="F12" s="7"/>
      <c r="G12" s="7" t="s">
        <v>25</v>
      </c>
      <c r="H12" s="7"/>
      <c r="I12" s="7" t="s">
        <v>3</v>
      </c>
      <c r="J12" s="4"/>
    </row>
    <row r="13" spans="1:21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21">
      <c r="A14" s="271" t="s">
        <v>4</v>
      </c>
      <c r="B14" s="272"/>
      <c r="C14" s="272"/>
      <c r="D14" s="272"/>
      <c r="E14" s="272"/>
      <c r="F14" s="272"/>
      <c r="G14" s="272"/>
      <c r="H14" s="272"/>
      <c r="I14" s="273"/>
      <c r="Q14" s="205"/>
      <c r="R14" s="205"/>
      <c r="S14" s="205"/>
      <c r="T14" s="205"/>
      <c r="U14" s="205"/>
    </row>
    <row r="15" spans="1:21" ht="30" customHeight="1">
      <c r="A15" s="210">
        <v>1</v>
      </c>
      <c r="B15" s="176" t="s">
        <v>117</v>
      </c>
      <c r="C15" s="211" t="s">
        <v>145</v>
      </c>
      <c r="D15" s="176" t="s">
        <v>180</v>
      </c>
      <c r="E15" s="212">
        <v>70.900000000000006</v>
      </c>
      <c r="F15" s="213">
        <f>SUM(E15*156/100)</f>
        <v>110.60400000000001</v>
      </c>
      <c r="G15" s="213">
        <v>175.38</v>
      </c>
      <c r="H15" s="214">
        <f t="shared" ref="H15:H24" si="0">SUM(F15*G15/1000)</f>
        <v>19.397729520000002</v>
      </c>
      <c r="I15" s="21">
        <f>F15/12*G15</f>
        <v>1616.4774600000001</v>
      </c>
      <c r="J15" s="200"/>
      <c r="K15" s="201"/>
      <c r="L15" s="201"/>
      <c r="M15" s="201"/>
      <c r="N15" s="201"/>
      <c r="O15" s="201"/>
      <c r="P15" s="201"/>
      <c r="Q15" s="201"/>
      <c r="R15" s="201"/>
      <c r="S15" s="201"/>
      <c r="T15" s="205"/>
      <c r="U15" s="205"/>
    </row>
    <row r="16" spans="1:21" ht="30" customHeight="1">
      <c r="A16" s="210">
        <v>2</v>
      </c>
      <c r="B16" s="176" t="s">
        <v>118</v>
      </c>
      <c r="C16" s="211" t="s">
        <v>145</v>
      </c>
      <c r="D16" s="176" t="s">
        <v>181</v>
      </c>
      <c r="E16" s="212">
        <v>212.7</v>
      </c>
      <c r="F16" s="213">
        <f>SUM(E16*104/100)</f>
        <v>221.208</v>
      </c>
      <c r="G16" s="213">
        <v>175.38</v>
      </c>
      <c r="H16" s="214">
        <f t="shared" si="0"/>
        <v>38.795459040000004</v>
      </c>
      <c r="I16" s="21">
        <f>F16/12*G16</f>
        <v>3232.9549200000001</v>
      </c>
      <c r="J16" s="200"/>
      <c r="K16" s="201"/>
      <c r="L16" s="201"/>
      <c r="M16" s="201"/>
      <c r="N16" s="201"/>
      <c r="O16" s="201"/>
      <c r="P16" s="201"/>
      <c r="Q16" s="201"/>
      <c r="R16" s="201"/>
      <c r="S16" s="201"/>
      <c r="T16" s="205"/>
      <c r="U16" s="205"/>
    </row>
    <row r="17" spans="1:21" ht="30" customHeight="1">
      <c r="A17" s="210">
        <v>3</v>
      </c>
      <c r="B17" s="176" t="s">
        <v>119</v>
      </c>
      <c r="C17" s="211" t="s">
        <v>145</v>
      </c>
      <c r="D17" s="176" t="s">
        <v>217</v>
      </c>
      <c r="E17" s="212">
        <f>SUM(E15+E16)</f>
        <v>283.60000000000002</v>
      </c>
      <c r="F17" s="213">
        <f>SUM(E17*24/100)</f>
        <v>68.064000000000007</v>
      </c>
      <c r="G17" s="213">
        <v>504.5</v>
      </c>
      <c r="H17" s="214">
        <f t="shared" si="0"/>
        <v>34.338287999999999</v>
      </c>
      <c r="I17" s="21">
        <f>F17/12*G17</f>
        <v>2861.5240000000003</v>
      </c>
      <c r="J17" s="200"/>
      <c r="K17" s="201"/>
      <c r="L17" s="201"/>
      <c r="M17" s="201"/>
      <c r="N17" s="201"/>
      <c r="O17" s="201"/>
      <c r="P17" s="201"/>
      <c r="Q17" s="201"/>
      <c r="R17" s="201"/>
      <c r="S17" s="201"/>
      <c r="T17" s="205"/>
      <c r="U17" s="205"/>
    </row>
    <row r="18" spans="1:21" hidden="1">
      <c r="A18" s="210">
        <v>4</v>
      </c>
      <c r="B18" s="176" t="s">
        <v>149</v>
      </c>
      <c r="C18" s="211" t="s">
        <v>150</v>
      </c>
      <c r="D18" s="176" t="s">
        <v>151</v>
      </c>
      <c r="E18" s="212">
        <v>40</v>
      </c>
      <c r="F18" s="213">
        <f>SUM(E18/10)</f>
        <v>4</v>
      </c>
      <c r="G18" s="213">
        <v>170.16</v>
      </c>
      <c r="H18" s="214">
        <f t="shared" si="0"/>
        <v>0.68064000000000002</v>
      </c>
      <c r="I18" s="21">
        <f>F18/2*G18</f>
        <v>340.32</v>
      </c>
      <c r="J18" s="200"/>
      <c r="K18" s="201"/>
      <c r="L18" s="201"/>
      <c r="M18" s="201"/>
      <c r="N18" s="201"/>
      <c r="O18" s="201"/>
      <c r="P18" s="201"/>
      <c r="Q18" s="201"/>
      <c r="R18" s="201"/>
      <c r="S18" s="201"/>
      <c r="T18" s="205"/>
      <c r="U18" s="205"/>
    </row>
    <row r="19" spans="1:21" hidden="1">
      <c r="A19" s="210">
        <v>5</v>
      </c>
      <c r="B19" s="176" t="s">
        <v>152</v>
      </c>
      <c r="C19" s="211" t="s">
        <v>145</v>
      </c>
      <c r="D19" s="176" t="s">
        <v>66</v>
      </c>
      <c r="E19" s="212">
        <v>10.5</v>
      </c>
      <c r="F19" s="213">
        <f t="shared" ref="F19:F24" si="1">SUM(E19/100)</f>
        <v>0.105</v>
      </c>
      <c r="G19" s="213">
        <v>217.88</v>
      </c>
      <c r="H19" s="214">
        <f t="shared" si="0"/>
        <v>2.2877399999999999E-2</v>
      </c>
      <c r="I19" s="21">
        <f t="shared" ref="I19:I24" si="2">F19*G19</f>
        <v>22.877399999999998</v>
      </c>
      <c r="J19" s="200"/>
      <c r="K19" s="201"/>
      <c r="L19" s="201"/>
      <c r="M19" s="201"/>
      <c r="N19" s="201"/>
      <c r="O19" s="201"/>
      <c r="P19" s="201"/>
      <c r="Q19" s="201"/>
      <c r="R19" s="201"/>
      <c r="S19" s="201"/>
      <c r="T19" s="205"/>
      <c r="U19" s="205"/>
    </row>
    <row r="20" spans="1:21" hidden="1">
      <c r="A20" s="210">
        <v>6</v>
      </c>
      <c r="B20" s="176" t="s">
        <v>153</v>
      </c>
      <c r="C20" s="211" t="s">
        <v>145</v>
      </c>
      <c r="D20" s="176" t="s">
        <v>66</v>
      </c>
      <c r="E20" s="212">
        <v>2.7</v>
      </c>
      <c r="F20" s="213">
        <f t="shared" si="1"/>
        <v>2.7000000000000003E-2</v>
      </c>
      <c r="G20" s="213">
        <v>216.12</v>
      </c>
      <c r="H20" s="214">
        <f t="shared" si="0"/>
        <v>5.8352400000000002E-3</v>
      </c>
      <c r="I20" s="21">
        <f t="shared" si="2"/>
        <v>5.8352400000000006</v>
      </c>
      <c r="J20" s="200"/>
      <c r="K20" s="201"/>
      <c r="L20" s="201"/>
      <c r="M20" s="201"/>
      <c r="N20" s="201"/>
      <c r="O20" s="201"/>
      <c r="P20" s="201"/>
      <c r="Q20" s="201"/>
      <c r="R20" s="201"/>
      <c r="S20" s="201"/>
      <c r="T20" s="205"/>
      <c r="U20" s="205"/>
    </row>
    <row r="21" spans="1:21" hidden="1">
      <c r="A21" s="210">
        <v>7</v>
      </c>
      <c r="B21" s="176" t="s">
        <v>154</v>
      </c>
      <c r="C21" s="211" t="s">
        <v>65</v>
      </c>
      <c r="D21" s="176" t="s">
        <v>151</v>
      </c>
      <c r="E21" s="212">
        <v>357</v>
      </c>
      <c r="F21" s="213">
        <f t="shared" si="1"/>
        <v>3.57</v>
      </c>
      <c r="G21" s="213">
        <v>269.26</v>
      </c>
      <c r="H21" s="214">
        <f t="shared" si="0"/>
        <v>0.96125819999999984</v>
      </c>
      <c r="I21" s="21">
        <f t="shared" si="2"/>
        <v>961.25819999999987</v>
      </c>
      <c r="J21" s="200"/>
      <c r="K21" s="201"/>
      <c r="L21" s="201"/>
      <c r="M21" s="201"/>
      <c r="N21" s="201"/>
      <c r="O21" s="201"/>
      <c r="P21" s="201"/>
      <c r="Q21" s="201"/>
      <c r="R21" s="201"/>
      <c r="S21" s="201"/>
      <c r="T21" s="205"/>
      <c r="U21" s="205"/>
    </row>
    <row r="22" spans="1:21" hidden="1">
      <c r="A22" s="210">
        <v>8</v>
      </c>
      <c r="B22" s="176" t="s">
        <v>155</v>
      </c>
      <c r="C22" s="211" t="s">
        <v>65</v>
      </c>
      <c r="D22" s="176" t="s">
        <v>151</v>
      </c>
      <c r="E22" s="216">
        <v>38.64</v>
      </c>
      <c r="F22" s="213">
        <f t="shared" si="1"/>
        <v>0.38640000000000002</v>
      </c>
      <c r="G22" s="213">
        <v>44.29</v>
      </c>
      <c r="H22" s="214">
        <f t="shared" si="0"/>
        <v>1.7113655999999998E-2</v>
      </c>
      <c r="I22" s="21">
        <f t="shared" si="2"/>
        <v>17.113655999999999</v>
      </c>
      <c r="J22" s="200"/>
      <c r="K22" s="201"/>
      <c r="L22" s="201"/>
      <c r="M22" s="201"/>
      <c r="N22" s="201"/>
      <c r="O22" s="201"/>
      <c r="P22" s="201"/>
      <c r="Q22" s="201"/>
      <c r="R22" s="201"/>
      <c r="S22" s="201"/>
      <c r="T22" s="205"/>
      <c r="U22" s="205"/>
    </row>
    <row r="23" spans="1:21" hidden="1">
      <c r="A23" s="210">
        <v>9</v>
      </c>
      <c r="B23" s="176" t="s">
        <v>156</v>
      </c>
      <c r="C23" s="211" t="s">
        <v>65</v>
      </c>
      <c r="D23" s="217" t="s">
        <v>151</v>
      </c>
      <c r="E23" s="27">
        <v>15</v>
      </c>
      <c r="F23" s="218">
        <f t="shared" si="1"/>
        <v>0.15</v>
      </c>
      <c r="G23" s="213">
        <v>389.72</v>
      </c>
      <c r="H23" s="214">
        <f t="shared" si="0"/>
        <v>5.8457999999999996E-2</v>
      </c>
      <c r="I23" s="21">
        <f t="shared" si="2"/>
        <v>58.457999999999998</v>
      </c>
      <c r="J23" s="200"/>
      <c r="K23" s="201"/>
      <c r="L23" s="201"/>
      <c r="M23" s="201"/>
      <c r="N23" s="201"/>
      <c r="O23" s="201"/>
      <c r="P23" s="201"/>
      <c r="Q23" s="201"/>
      <c r="R23" s="201"/>
      <c r="S23" s="201"/>
      <c r="T23" s="205"/>
      <c r="U23" s="205"/>
    </row>
    <row r="24" spans="1:21" hidden="1">
      <c r="A24" s="210">
        <v>10</v>
      </c>
      <c r="B24" s="176" t="s">
        <v>157</v>
      </c>
      <c r="C24" s="211" t="s">
        <v>65</v>
      </c>
      <c r="D24" s="176" t="s">
        <v>151</v>
      </c>
      <c r="E24" s="219">
        <v>6.38</v>
      </c>
      <c r="F24" s="213">
        <f t="shared" si="1"/>
        <v>6.3799999999999996E-2</v>
      </c>
      <c r="G24" s="213">
        <v>520.79999999999995</v>
      </c>
      <c r="H24" s="214">
        <f t="shared" si="0"/>
        <v>3.3227039999999992E-2</v>
      </c>
      <c r="I24" s="21">
        <f t="shared" si="2"/>
        <v>33.227039999999995</v>
      </c>
      <c r="J24" s="200"/>
      <c r="K24" s="201"/>
      <c r="L24" s="201"/>
      <c r="M24" s="201"/>
      <c r="N24" s="201"/>
      <c r="O24" s="201"/>
      <c r="P24" s="201"/>
      <c r="Q24" s="201"/>
      <c r="R24" s="201"/>
      <c r="S24" s="201"/>
      <c r="T24" s="205"/>
      <c r="U24" s="205"/>
    </row>
    <row r="25" spans="1:21" ht="15" customHeight="1">
      <c r="A25" s="210">
        <v>4</v>
      </c>
      <c r="B25" s="176" t="s">
        <v>79</v>
      </c>
      <c r="C25" s="211" t="s">
        <v>37</v>
      </c>
      <c r="D25" s="176" t="s">
        <v>182</v>
      </c>
      <c r="E25" s="212">
        <v>0.1</v>
      </c>
      <c r="F25" s="213">
        <f>SUM(E25*365)</f>
        <v>36.5</v>
      </c>
      <c r="G25" s="213">
        <v>147.03</v>
      </c>
      <c r="H25" s="214">
        <f>SUM(F25*G25/1000)</f>
        <v>5.3665950000000002</v>
      </c>
      <c r="I25" s="21">
        <f>F25/12*G25</f>
        <v>447.21625</v>
      </c>
      <c r="J25" s="200"/>
      <c r="K25" s="201"/>
      <c r="L25" s="201"/>
      <c r="M25" s="201"/>
      <c r="N25" s="201"/>
      <c r="O25" s="201"/>
      <c r="P25" s="201"/>
      <c r="Q25" s="201"/>
      <c r="R25" s="201"/>
      <c r="S25" s="201"/>
      <c r="T25" s="205"/>
      <c r="U25" s="205"/>
    </row>
    <row r="26" spans="1:21" ht="15" customHeight="1">
      <c r="A26" s="210">
        <v>5</v>
      </c>
      <c r="B26" s="220" t="s">
        <v>26</v>
      </c>
      <c r="C26" s="211" t="s">
        <v>27</v>
      </c>
      <c r="D26" s="220" t="s">
        <v>183</v>
      </c>
      <c r="E26" s="212">
        <v>2549.5</v>
      </c>
      <c r="F26" s="213">
        <f>SUM(E26*12)</f>
        <v>30594</v>
      </c>
      <c r="G26" s="213">
        <v>4.95</v>
      </c>
      <c r="H26" s="214">
        <f>SUM(F26*G26/1000)</f>
        <v>151.44030000000001</v>
      </c>
      <c r="I26" s="21">
        <f>F26/12*G26</f>
        <v>12620.025</v>
      </c>
      <c r="J26" s="200"/>
      <c r="K26" s="201"/>
      <c r="L26" s="201"/>
      <c r="M26" s="201"/>
      <c r="N26" s="201"/>
      <c r="O26" s="201"/>
      <c r="P26" s="201"/>
      <c r="Q26" s="201"/>
      <c r="R26" s="201"/>
      <c r="S26" s="201"/>
      <c r="T26" s="205"/>
      <c r="U26" s="205"/>
    </row>
    <row r="27" spans="1:21" ht="15" customHeight="1">
      <c r="A27" s="274" t="s">
        <v>218</v>
      </c>
      <c r="B27" s="282"/>
      <c r="C27" s="282"/>
      <c r="D27" s="282"/>
      <c r="E27" s="282"/>
      <c r="F27" s="282"/>
      <c r="G27" s="282"/>
      <c r="H27" s="282"/>
      <c r="I27" s="283"/>
      <c r="J27" s="200"/>
      <c r="K27" s="201"/>
      <c r="L27" s="201"/>
      <c r="M27" s="201"/>
      <c r="N27" s="201"/>
      <c r="O27" s="201"/>
      <c r="P27" s="201"/>
      <c r="Q27" s="201"/>
      <c r="R27" s="201"/>
      <c r="S27" s="201"/>
      <c r="T27" s="205"/>
      <c r="U27" s="205"/>
    </row>
    <row r="28" spans="1:21" ht="30" customHeight="1">
      <c r="A28" s="210">
        <v>6</v>
      </c>
      <c r="B28" s="176" t="s">
        <v>184</v>
      </c>
      <c r="C28" s="211" t="s">
        <v>185</v>
      </c>
      <c r="D28" s="176" t="s">
        <v>186</v>
      </c>
      <c r="E28" s="213">
        <v>704.3</v>
      </c>
      <c r="F28" s="213">
        <f>SUM(E28*52/1000)</f>
        <v>36.623599999999996</v>
      </c>
      <c r="G28" s="213">
        <v>155.88999999999999</v>
      </c>
      <c r="H28" s="214">
        <f t="shared" ref="H28:H33" si="3">SUM(F28*G28/1000)</f>
        <v>5.7092530039999989</v>
      </c>
      <c r="I28" s="21">
        <f>F28/6*G28</f>
        <v>951.54216733333317</v>
      </c>
      <c r="J28" s="200"/>
      <c r="K28" s="201"/>
      <c r="L28" s="201"/>
      <c r="M28" s="201"/>
      <c r="N28" s="201"/>
      <c r="O28" s="201"/>
      <c r="P28" s="201"/>
      <c r="Q28" s="201"/>
      <c r="R28" s="201"/>
      <c r="S28" s="201"/>
      <c r="T28" s="205"/>
      <c r="U28" s="205"/>
    </row>
    <row r="29" spans="1:21" ht="30" customHeight="1">
      <c r="A29" s="210">
        <v>7</v>
      </c>
      <c r="B29" s="176" t="s">
        <v>187</v>
      </c>
      <c r="C29" s="211" t="s">
        <v>185</v>
      </c>
      <c r="D29" s="176" t="s">
        <v>188</v>
      </c>
      <c r="E29" s="213">
        <v>70.430000000000007</v>
      </c>
      <c r="F29" s="213">
        <f>SUM(E29*78/1000)</f>
        <v>5.4935400000000012</v>
      </c>
      <c r="G29" s="213">
        <v>258.63</v>
      </c>
      <c r="H29" s="214">
        <f t="shared" si="3"/>
        <v>1.4207942502000004</v>
      </c>
      <c r="I29" s="21">
        <f t="shared" ref="I29" si="4">F29/6*G29</f>
        <v>236.79904170000006</v>
      </c>
      <c r="J29" s="200"/>
      <c r="K29" s="201"/>
      <c r="L29" s="201"/>
      <c r="M29" s="201"/>
      <c r="N29" s="201"/>
      <c r="O29" s="201"/>
      <c r="P29" s="201"/>
      <c r="Q29" s="201"/>
      <c r="R29" s="201"/>
      <c r="S29" s="201"/>
      <c r="T29" s="205"/>
      <c r="U29" s="205"/>
    </row>
    <row r="30" spans="1:21" ht="15.75" hidden="1" customHeight="1">
      <c r="A30" s="210">
        <v>15</v>
      </c>
      <c r="B30" s="176" t="s">
        <v>32</v>
      </c>
      <c r="C30" s="211" t="s">
        <v>185</v>
      </c>
      <c r="D30" s="176" t="s">
        <v>66</v>
      </c>
      <c r="E30" s="213">
        <v>704.3</v>
      </c>
      <c r="F30" s="213">
        <f>SUM(E30/1000)</f>
        <v>0.70429999999999993</v>
      </c>
      <c r="G30" s="213">
        <v>3020.33</v>
      </c>
      <c r="H30" s="214">
        <f t="shared" si="3"/>
        <v>2.1272184189999996</v>
      </c>
      <c r="I30" s="21">
        <f>F30*G30</f>
        <v>2127.2184189999998</v>
      </c>
      <c r="J30" s="200"/>
      <c r="K30" s="201"/>
      <c r="L30" s="201"/>
      <c r="M30" s="201"/>
      <c r="N30" s="201"/>
      <c r="O30" s="201"/>
      <c r="P30" s="201"/>
      <c r="Q30" s="201"/>
      <c r="R30" s="201"/>
      <c r="S30" s="201"/>
      <c r="T30" s="205"/>
      <c r="U30" s="205"/>
    </row>
    <row r="31" spans="1:21" ht="15.75" customHeight="1">
      <c r="A31" s="210">
        <v>8</v>
      </c>
      <c r="B31" s="176" t="s">
        <v>189</v>
      </c>
      <c r="C31" s="211" t="s">
        <v>35</v>
      </c>
      <c r="D31" s="176" t="s">
        <v>78</v>
      </c>
      <c r="E31" s="221">
        <v>0.33333333333333331</v>
      </c>
      <c r="F31" s="213">
        <f>155/3</f>
        <v>51.666666666666664</v>
      </c>
      <c r="G31" s="213">
        <v>56.69</v>
      </c>
      <c r="H31" s="214">
        <f>SUM(G31*155/3/1000)</f>
        <v>2.9289833333333331</v>
      </c>
      <c r="I31" s="21">
        <f>F31/6*G31</f>
        <v>488.16388888888883</v>
      </c>
      <c r="J31" s="200"/>
      <c r="K31" s="201"/>
      <c r="L31" s="201"/>
      <c r="M31" s="201"/>
      <c r="N31" s="201"/>
      <c r="O31" s="201"/>
      <c r="P31" s="201"/>
      <c r="Q31" s="201"/>
      <c r="R31" s="201"/>
      <c r="S31" s="201"/>
      <c r="T31" s="205"/>
      <c r="U31" s="205"/>
    </row>
    <row r="32" spans="1:21" ht="15" hidden="1" customHeight="1">
      <c r="A32" s="210">
        <v>17</v>
      </c>
      <c r="B32" s="176" t="s">
        <v>80</v>
      </c>
      <c r="C32" s="211" t="s">
        <v>37</v>
      </c>
      <c r="D32" s="176" t="s">
        <v>81</v>
      </c>
      <c r="E32" s="212"/>
      <c r="F32" s="213">
        <v>3</v>
      </c>
      <c r="G32" s="213">
        <v>191.32</v>
      </c>
      <c r="H32" s="214">
        <f t="shared" si="3"/>
        <v>0.57396000000000003</v>
      </c>
      <c r="I32" s="21">
        <v>0</v>
      </c>
      <c r="J32" s="200"/>
      <c r="K32" s="201"/>
      <c r="L32" s="201"/>
      <c r="M32" s="201"/>
      <c r="N32" s="201"/>
      <c r="O32" s="201"/>
      <c r="P32" s="201"/>
      <c r="Q32" s="201"/>
      <c r="R32" s="201"/>
      <c r="S32" s="201"/>
      <c r="T32" s="205"/>
      <c r="U32" s="205"/>
    </row>
    <row r="33" spans="1:21" ht="15" hidden="1" customHeight="1">
      <c r="A33" s="210">
        <v>16</v>
      </c>
      <c r="B33" s="176" t="s">
        <v>190</v>
      </c>
      <c r="C33" s="211" t="s">
        <v>36</v>
      </c>
      <c r="D33" s="176" t="s">
        <v>81</v>
      </c>
      <c r="E33" s="212"/>
      <c r="F33" s="213">
        <v>2</v>
      </c>
      <c r="G33" s="213">
        <v>1136.33</v>
      </c>
      <c r="H33" s="214">
        <f t="shared" si="3"/>
        <v>2.2726599999999997</v>
      </c>
      <c r="I33" s="21">
        <v>0</v>
      </c>
      <c r="J33" s="200"/>
      <c r="K33" s="201"/>
      <c r="L33" s="201"/>
      <c r="M33" s="201"/>
      <c r="N33" s="201"/>
      <c r="O33" s="201"/>
      <c r="P33" s="201"/>
      <c r="Q33" s="201"/>
      <c r="R33" s="201"/>
      <c r="S33" s="201"/>
      <c r="T33" s="205"/>
      <c r="U33" s="205"/>
    </row>
    <row r="34" spans="1:21" ht="15" hidden="1" customHeight="1">
      <c r="A34" s="274" t="s">
        <v>220</v>
      </c>
      <c r="B34" s="282"/>
      <c r="C34" s="282"/>
      <c r="D34" s="282"/>
      <c r="E34" s="282"/>
      <c r="F34" s="282"/>
      <c r="G34" s="282"/>
      <c r="H34" s="282"/>
      <c r="I34" s="283"/>
      <c r="J34" s="200"/>
      <c r="K34" s="201"/>
      <c r="L34" s="201"/>
      <c r="M34" s="201"/>
      <c r="N34" s="201"/>
      <c r="O34" s="201"/>
      <c r="P34" s="201"/>
      <c r="Q34" s="201"/>
      <c r="R34" s="201"/>
      <c r="S34" s="201"/>
      <c r="T34" s="205"/>
      <c r="U34" s="205"/>
    </row>
    <row r="35" spans="1:21" ht="15" hidden="1" customHeight="1">
      <c r="A35" s="210">
        <v>6</v>
      </c>
      <c r="B35" s="176" t="s">
        <v>30</v>
      </c>
      <c r="C35" s="211" t="s">
        <v>36</v>
      </c>
      <c r="D35" s="176"/>
      <c r="E35" s="212"/>
      <c r="F35" s="213">
        <v>8</v>
      </c>
      <c r="G35" s="213">
        <v>1527.22</v>
      </c>
      <c r="H35" s="214">
        <f t="shared" ref="H35:H42" si="5">SUM(F35*G35/1000)</f>
        <v>12.21776</v>
      </c>
      <c r="I35" s="21">
        <f>F35/6*G35</f>
        <v>2036.2933333333333</v>
      </c>
      <c r="J35" s="200"/>
      <c r="K35" s="201"/>
      <c r="L35" s="201"/>
      <c r="M35" s="201"/>
      <c r="N35" s="201"/>
      <c r="O35" s="201"/>
      <c r="P35" s="201"/>
      <c r="Q35" s="201"/>
      <c r="R35" s="201"/>
      <c r="S35" s="201"/>
      <c r="T35" s="205"/>
      <c r="U35" s="205"/>
    </row>
    <row r="36" spans="1:21" ht="15" hidden="1" customHeight="1">
      <c r="A36" s="210">
        <v>7</v>
      </c>
      <c r="B36" s="176" t="s">
        <v>191</v>
      </c>
      <c r="C36" s="211" t="s">
        <v>33</v>
      </c>
      <c r="D36" s="176" t="s">
        <v>192</v>
      </c>
      <c r="E36" s="212">
        <v>315</v>
      </c>
      <c r="F36" s="213">
        <f>E36*12/1000</f>
        <v>3.78</v>
      </c>
      <c r="G36" s="213">
        <v>2102.71</v>
      </c>
      <c r="H36" s="214">
        <f>G36*F36/1000</f>
        <v>7.9482437999999993</v>
      </c>
      <c r="I36" s="21">
        <f>F36/6*G36</f>
        <v>1324.7073</v>
      </c>
      <c r="J36" s="200"/>
      <c r="K36" s="201"/>
      <c r="L36" s="201"/>
      <c r="M36" s="201"/>
      <c r="N36" s="201"/>
      <c r="O36" s="201"/>
      <c r="P36" s="201"/>
      <c r="Q36" s="201"/>
      <c r="R36" s="201"/>
      <c r="S36" s="201"/>
      <c r="T36" s="205"/>
      <c r="U36" s="205"/>
    </row>
    <row r="37" spans="1:21" ht="15" hidden="1" customHeight="1">
      <c r="A37" s="210">
        <v>8</v>
      </c>
      <c r="B37" s="176" t="s">
        <v>193</v>
      </c>
      <c r="C37" s="211" t="s">
        <v>33</v>
      </c>
      <c r="D37" s="176" t="s">
        <v>194</v>
      </c>
      <c r="E37" s="212">
        <v>70.430000000000007</v>
      </c>
      <c r="F37" s="213">
        <f>E37*30/1000</f>
        <v>2.1129000000000002</v>
      </c>
      <c r="G37" s="213">
        <v>2102.71</v>
      </c>
      <c r="H37" s="214">
        <f>G37*F37/1000</f>
        <v>4.4428159590000007</v>
      </c>
      <c r="I37" s="21">
        <f>F37/6*G37</f>
        <v>740.46932650000008</v>
      </c>
      <c r="J37" s="200"/>
      <c r="K37" s="201"/>
      <c r="L37" s="201"/>
      <c r="M37" s="201"/>
      <c r="N37" s="201"/>
      <c r="O37" s="201"/>
      <c r="P37" s="201"/>
      <c r="Q37" s="201"/>
      <c r="R37" s="201"/>
      <c r="S37" s="201"/>
      <c r="T37" s="205"/>
      <c r="U37" s="205"/>
    </row>
    <row r="38" spans="1:21" ht="15" hidden="1" customHeight="1">
      <c r="A38" s="210">
        <v>9</v>
      </c>
      <c r="B38" s="176" t="s">
        <v>195</v>
      </c>
      <c r="C38" s="211" t="s">
        <v>196</v>
      </c>
      <c r="D38" s="176" t="s">
        <v>81</v>
      </c>
      <c r="E38" s="212"/>
      <c r="F38" s="213">
        <v>80</v>
      </c>
      <c r="G38" s="213">
        <v>213.2</v>
      </c>
      <c r="H38" s="214">
        <f>G38*F38/1000</f>
        <v>17.056000000000001</v>
      </c>
      <c r="I38" s="21">
        <v>0</v>
      </c>
      <c r="J38" s="200"/>
      <c r="K38" s="201"/>
      <c r="L38" s="201"/>
      <c r="M38" s="201"/>
      <c r="N38" s="201"/>
      <c r="O38" s="201"/>
      <c r="P38" s="201"/>
      <c r="Q38" s="201"/>
      <c r="R38" s="201"/>
      <c r="S38" s="201"/>
      <c r="T38" s="205"/>
      <c r="U38" s="205"/>
    </row>
    <row r="39" spans="1:21" ht="15" hidden="1" customHeight="1">
      <c r="A39" s="210">
        <v>9</v>
      </c>
      <c r="B39" s="176" t="s">
        <v>83</v>
      </c>
      <c r="C39" s="211" t="s">
        <v>33</v>
      </c>
      <c r="D39" s="176" t="s">
        <v>197</v>
      </c>
      <c r="E39" s="213">
        <v>70.430000000000007</v>
      </c>
      <c r="F39" s="213">
        <f>SUM(E39*155/1000)</f>
        <v>10.916650000000001</v>
      </c>
      <c r="G39" s="213">
        <v>350.75</v>
      </c>
      <c r="H39" s="214">
        <f t="shared" si="5"/>
        <v>3.8290149875000004</v>
      </c>
      <c r="I39" s="21">
        <f>F39/6*G39</f>
        <v>638.16916458333344</v>
      </c>
      <c r="J39" s="200"/>
      <c r="K39" s="201"/>
      <c r="L39" s="201"/>
      <c r="M39" s="201"/>
      <c r="N39" s="201"/>
      <c r="O39" s="201"/>
      <c r="P39" s="201"/>
      <c r="Q39" s="201"/>
      <c r="R39" s="201"/>
      <c r="S39" s="201"/>
      <c r="T39" s="205"/>
      <c r="U39" s="205"/>
    </row>
    <row r="40" spans="1:21" ht="45" hidden="1" customHeight="1">
      <c r="A40" s="210">
        <v>10</v>
      </c>
      <c r="B40" s="176" t="s">
        <v>106</v>
      </c>
      <c r="C40" s="211" t="s">
        <v>185</v>
      </c>
      <c r="D40" s="176" t="s">
        <v>198</v>
      </c>
      <c r="E40" s="213">
        <v>70.430000000000007</v>
      </c>
      <c r="F40" s="213">
        <f>SUM(E40*24/1000)</f>
        <v>1.6903200000000003</v>
      </c>
      <c r="G40" s="213">
        <v>5803.28</v>
      </c>
      <c r="H40" s="214">
        <f t="shared" si="5"/>
        <v>9.8094002496000012</v>
      </c>
      <c r="I40" s="21">
        <f>F40/6*G40</f>
        <v>1634.9000416000001</v>
      </c>
      <c r="J40" s="200"/>
      <c r="K40" s="201"/>
      <c r="L40" s="201"/>
      <c r="M40" s="201"/>
      <c r="N40" s="201"/>
      <c r="O40" s="201"/>
      <c r="P40" s="201"/>
      <c r="Q40" s="201"/>
      <c r="R40" s="201"/>
      <c r="S40" s="201"/>
      <c r="T40" s="205"/>
      <c r="U40" s="205"/>
    </row>
    <row r="41" spans="1:21" ht="15" hidden="1" customHeight="1">
      <c r="A41" s="210">
        <v>11</v>
      </c>
      <c r="B41" s="176" t="s">
        <v>199</v>
      </c>
      <c r="C41" s="211" t="s">
        <v>185</v>
      </c>
      <c r="D41" s="176" t="s">
        <v>84</v>
      </c>
      <c r="E41" s="213">
        <v>70.430000000000007</v>
      </c>
      <c r="F41" s="213">
        <f>SUM(E41*45/1000)</f>
        <v>3.1693500000000006</v>
      </c>
      <c r="G41" s="213">
        <v>428.7</v>
      </c>
      <c r="H41" s="214">
        <f t="shared" si="5"/>
        <v>1.3587003450000001</v>
      </c>
      <c r="I41" s="21">
        <f>F41/6*G41</f>
        <v>226.45005750000001</v>
      </c>
      <c r="J41" s="200"/>
      <c r="K41" s="201"/>
      <c r="L41" s="201"/>
      <c r="M41" s="201"/>
      <c r="N41" s="201"/>
      <c r="O41" s="201"/>
      <c r="P41" s="201"/>
      <c r="Q41" s="201"/>
      <c r="R41" s="201"/>
      <c r="S41" s="201"/>
      <c r="T41" s="205"/>
      <c r="U41" s="205"/>
    </row>
    <row r="42" spans="1:21" ht="15" hidden="1" customHeight="1">
      <c r="A42" s="210">
        <v>12</v>
      </c>
      <c r="B42" s="176" t="s">
        <v>85</v>
      </c>
      <c r="C42" s="211" t="s">
        <v>37</v>
      </c>
      <c r="D42" s="176"/>
      <c r="E42" s="212"/>
      <c r="F42" s="213">
        <v>0.8</v>
      </c>
      <c r="G42" s="213">
        <v>798</v>
      </c>
      <c r="H42" s="214">
        <f t="shared" si="5"/>
        <v>0.63840000000000008</v>
      </c>
      <c r="I42" s="21">
        <f>F42/6*G42</f>
        <v>106.39999999999999</v>
      </c>
      <c r="J42" s="200"/>
      <c r="K42" s="201"/>
      <c r="L42" s="201"/>
      <c r="M42" s="201"/>
      <c r="N42" s="201"/>
      <c r="O42" s="201"/>
      <c r="P42" s="201"/>
      <c r="Q42" s="201"/>
      <c r="R42" s="201"/>
      <c r="S42" s="201"/>
      <c r="T42" s="205"/>
      <c r="U42" s="205"/>
    </row>
    <row r="43" spans="1:21" ht="15" hidden="1" customHeight="1">
      <c r="A43" s="284" t="s">
        <v>221</v>
      </c>
      <c r="B43" s="285"/>
      <c r="C43" s="285"/>
      <c r="D43" s="285"/>
      <c r="E43" s="285"/>
      <c r="F43" s="285"/>
      <c r="G43" s="285"/>
      <c r="H43" s="285"/>
      <c r="I43" s="286"/>
      <c r="J43" s="200"/>
      <c r="K43" s="201"/>
      <c r="L43" s="201"/>
      <c r="M43" s="201"/>
      <c r="N43" s="201"/>
      <c r="O43" s="201"/>
      <c r="P43" s="201"/>
      <c r="Q43" s="201"/>
      <c r="R43" s="201"/>
      <c r="S43" s="201"/>
      <c r="T43" s="205"/>
      <c r="U43" s="205"/>
    </row>
    <row r="44" spans="1:21" ht="15" hidden="1" customHeight="1">
      <c r="A44" s="210">
        <v>17</v>
      </c>
      <c r="B44" s="176" t="s">
        <v>200</v>
      </c>
      <c r="C44" s="211" t="s">
        <v>185</v>
      </c>
      <c r="D44" s="176" t="s">
        <v>52</v>
      </c>
      <c r="E44" s="212">
        <v>1111.75</v>
      </c>
      <c r="F44" s="213">
        <f>SUM(E44*2/1000)</f>
        <v>2.2235</v>
      </c>
      <c r="G44" s="21">
        <v>809.74</v>
      </c>
      <c r="H44" s="214">
        <f t="shared" ref="H44:H54" si="6">SUM(F44*G44/1000)</f>
        <v>1.8004568900000002</v>
      </c>
      <c r="I44" s="21">
        <f>F44/2*G44</f>
        <v>900.22844500000008</v>
      </c>
      <c r="J44" s="200"/>
      <c r="K44" s="201"/>
      <c r="L44" s="201"/>
      <c r="M44" s="201"/>
      <c r="N44" s="201"/>
      <c r="O44" s="201"/>
      <c r="P44" s="201"/>
      <c r="Q44" s="201"/>
      <c r="R44" s="201"/>
      <c r="S44" s="201"/>
      <c r="T44" s="205"/>
      <c r="U44" s="205"/>
    </row>
    <row r="45" spans="1:21" ht="15" hidden="1" customHeight="1">
      <c r="A45" s="210">
        <v>18</v>
      </c>
      <c r="B45" s="176" t="s">
        <v>41</v>
      </c>
      <c r="C45" s="211" t="s">
        <v>185</v>
      </c>
      <c r="D45" s="176" t="s">
        <v>52</v>
      </c>
      <c r="E45" s="212">
        <v>88</v>
      </c>
      <c r="F45" s="213">
        <f>E45*2/1000</f>
        <v>0.17599999999999999</v>
      </c>
      <c r="G45" s="21">
        <v>579.48</v>
      </c>
      <c r="H45" s="214">
        <f t="shared" si="6"/>
        <v>0.10198847999999999</v>
      </c>
      <c r="I45" s="21">
        <f t="shared" ref="I45:I48" si="7">F45/2*G45</f>
        <v>50.994239999999998</v>
      </c>
      <c r="J45" s="200"/>
      <c r="K45" s="201"/>
      <c r="L45" s="201"/>
      <c r="M45" s="201"/>
      <c r="N45" s="201"/>
      <c r="O45" s="201"/>
      <c r="P45" s="201"/>
      <c r="Q45" s="201"/>
      <c r="R45" s="201"/>
      <c r="S45" s="201"/>
      <c r="T45" s="205"/>
      <c r="U45" s="205"/>
    </row>
    <row r="46" spans="1:21" ht="15" hidden="1" customHeight="1">
      <c r="A46" s="210">
        <v>19</v>
      </c>
      <c r="B46" s="176" t="s">
        <v>42</v>
      </c>
      <c r="C46" s="211" t="s">
        <v>185</v>
      </c>
      <c r="D46" s="176" t="s">
        <v>52</v>
      </c>
      <c r="E46" s="212">
        <v>1250.6199999999999</v>
      </c>
      <c r="F46" s="213">
        <f>SUM(E46*2/1000)</f>
        <v>2.5012399999999997</v>
      </c>
      <c r="G46" s="21">
        <v>579.48</v>
      </c>
      <c r="H46" s="214">
        <f t="shared" si="6"/>
        <v>1.4494185551999998</v>
      </c>
      <c r="I46" s="21">
        <f t="shared" si="7"/>
        <v>724.70927759999995</v>
      </c>
      <c r="J46" s="200"/>
      <c r="K46" s="201"/>
      <c r="L46" s="201"/>
      <c r="M46" s="201"/>
      <c r="N46" s="201"/>
      <c r="O46" s="201"/>
      <c r="P46" s="201"/>
      <c r="Q46" s="201"/>
      <c r="R46" s="201"/>
      <c r="S46" s="201"/>
      <c r="T46" s="205"/>
      <c r="U46" s="205"/>
    </row>
    <row r="47" spans="1:21" ht="15" hidden="1" customHeight="1">
      <c r="A47" s="210">
        <v>20</v>
      </c>
      <c r="B47" s="176" t="s">
        <v>43</v>
      </c>
      <c r="C47" s="211" t="s">
        <v>185</v>
      </c>
      <c r="D47" s="176" t="s">
        <v>52</v>
      </c>
      <c r="E47" s="212">
        <v>1295.68</v>
      </c>
      <c r="F47" s="213">
        <f>SUM(E47*2/1000)</f>
        <v>2.5913600000000003</v>
      </c>
      <c r="G47" s="21">
        <v>606.77</v>
      </c>
      <c r="H47" s="214">
        <f t="shared" si="6"/>
        <v>1.5723595072000001</v>
      </c>
      <c r="I47" s="21">
        <f t="shared" si="7"/>
        <v>786.17975360000003</v>
      </c>
      <c r="J47" s="200"/>
      <c r="K47" s="201"/>
      <c r="L47" s="201"/>
      <c r="M47" s="201"/>
      <c r="N47" s="201"/>
      <c r="O47" s="201"/>
      <c r="P47" s="201"/>
      <c r="Q47" s="201"/>
      <c r="R47" s="201"/>
      <c r="S47" s="201"/>
      <c r="T47" s="205"/>
      <c r="U47" s="205"/>
    </row>
    <row r="48" spans="1:21" ht="15" hidden="1" customHeight="1">
      <c r="A48" s="210">
        <v>21</v>
      </c>
      <c r="B48" s="176" t="s">
        <v>39</v>
      </c>
      <c r="C48" s="211" t="s">
        <v>40</v>
      </c>
      <c r="D48" s="176" t="s">
        <v>52</v>
      </c>
      <c r="E48" s="212">
        <v>85.84</v>
      </c>
      <c r="F48" s="213">
        <f>E48*2/100</f>
        <v>1.7168000000000001</v>
      </c>
      <c r="G48" s="21">
        <v>72.81</v>
      </c>
      <c r="H48" s="214">
        <f>G48*F48/1000</f>
        <v>0.125000208</v>
      </c>
      <c r="I48" s="21">
        <f t="shared" si="7"/>
        <v>62.500104000000007</v>
      </c>
      <c r="J48" s="200"/>
      <c r="K48" s="201"/>
      <c r="L48" s="201"/>
      <c r="M48" s="201"/>
      <c r="N48" s="201"/>
      <c r="O48" s="201"/>
      <c r="P48" s="201"/>
      <c r="Q48" s="201"/>
      <c r="R48" s="201"/>
      <c r="S48" s="201"/>
      <c r="T48" s="205"/>
      <c r="U48" s="205"/>
    </row>
    <row r="49" spans="1:21" ht="30" hidden="1" customHeight="1">
      <c r="A49" s="210">
        <v>22</v>
      </c>
      <c r="B49" s="176" t="s">
        <v>72</v>
      </c>
      <c r="C49" s="211" t="s">
        <v>185</v>
      </c>
      <c r="D49" s="176" t="s">
        <v>219</v>
      </c>
      <c r="E49" s="212">
        <v>897</v>
      </c>
      <c r="F49" s="213">
        <f>SUM(E49*5/1000)</f>
        <v>4.4850000000000003</v>
      </c>
      <c r="G49" s="21">
        <v>1213.55</v>
      </c>
      <c r="H49" s="214">
        <f t="shared" si="6"/>
        <v>5.4427717499999995</v>
      </c>
      <c r="I49" s="21">
        <f>F49/5*G49</f>
        <v>1088.5543499999999</v>
      </c>
      <c r="J49" s="200"/>
      <c r="K49" s="201"/>
      <c r="L49" s="201"/>
      <c r="M49" s="201"/>
      <c r="N49" s="201"/>
      <c r="O49" s="201"/>
      <c r="P49" s="201"/>
      <c r="Q49" s="201"/>
      <c r="R49" s="201"/>
      <c r="S49" s="201"/>
      <c r="T49" s="205"/>
      <c r="U49" s="205"/>
    </row>
    <row r="50" spans="1:21" ht="30" hidden="1" customHeight="1">
      <c r="A50" s="210"/>
      <c r="B50" s="176" t="s">
        <v>201</v>
      </c>
      <c r="C50" s="211" t="s">
        <v>185</v>
      </c>
      <c r="D50" s="176" t="s">
        <v>52</v>
      </c>
      <c r="E50" s="212">
        <v>897</v>
      </c>
      <c r="F50" s="213">
        <f>SUM(E50*2/1000)</f>
        <v>1.794</v>
      </c>
      <c r="G50" s="21">
        <v>1213.55</v>
      </c>
      <c r="H50" s="214">
        <f t="shared" si="6"/>
        <v>2.1771086999999998</v>
      </c>
      <c r="I50" s="21">
        <v>0</v>
      </c>
      <c r="J50" s="200"/>
      <c r="K50" s="201"/>
      <c r="L50" s="201"/>
      <c r="M50" s="201"/>
      <c r="N50" s="201"/>
      <c r="O50" s="201"/>
      <c r="P50" s="201"/>
      <c r="Q50" s="201"/>
      <c r="R50" s="201"/>
      <c r="S50" s="201"/>
      <c r="T50" s="205"/>
      <c r="U50" s="205"/>
    </row>
    <row r="51" spans="1:21" ht="30" hidden="1" customHeight="1">
      <c r="A51" s="210"/>
      <c r="B51" s="176" t="s">
        <v>202</v>
      </c>
      <c r="C51" s="211" t="s">
        <v>46</v>
      </c>
      <c r="D51" s="176" t="s">
        <v>52</v>
      </c>
      <c r="E51" s="212">
        <v>16</v>
      </c>
      <c r="F51" s="213">
        <f>SUM(E51*2/100)</f>
        <v>0.32</v>
      </c>
      <c r="G51" s="21">
        <v>2730.49</v>
      </c>
      <c r="H51" s="214">
        <f t="shared" si="6"/>
        <v>0.8737568</v>
      </c>
      <c r="I51" s="21">
        <v>0</v>
      </c>
      <c r="J51" s="200"/>
      <c r="K51" s="201"/>
      <c r="L51" s="201"/>
      <c r="M51" s="201"/>
      <c r="N51" s="201"/>
      <c r="O51" s="201"/>
      <c r="P51" s="201"/>
      <c r="Q51" s="201"/>
      <c r="R51" s="201"/>
      <c r="S51" s="201"/>
      <c r="T51" s="205"/>
      <c r="U51" s="205"/>
    </row>
    <row r="52" spans="1:21" ht="15.75" hidden="1" customHeight="1">
      <c r="A52" s="210"/>
      <c r="B52" s="176" t="s">
        <v>47</v>
      </c>
      <c r="C52" s="211" t="s">
        <v>48</v>
      </c>
      <c r="D52" s="176" t="s">
        <v>52</v>
      </c>
      <c r="E52" s="212">
        <v>1</v>
      </c>
      <c r="F52" s="213">
        <v>0.02</v>
      </c>
      <c r="G52" s="21">
        <v>5652.13</v>
      </c>
      <c r="H52" s="214">
        <f t="shared" si="6"/>
        <v>0.11304260000000001</v>
      </c>
      <c r="I52" s="21">
        <v>0</v>
      </c>
      <c r="J52" s="200"/>
      <c r="K52" s="201"/>
      <c r="L52" s="201"/>
      <c r="M52" s="201"/>
      <c r="N52" s="201"/>
      <c r="O52" s="201"/>
      <c r="P52" s="201"/>
      <c r="Q52" s="201"/>
      <c r="R52" s="201"/>
      <c r="S52" s="201"/>
      <c r="T52" s="205"/>
      <c r="U52" s="205"/>
    </row>
    <row r="53" spans="1:21" ht="15.75" hidden="1" customHeight="1">
      <c r="A53" s="210">
        <v>14</v>
      </c>
      <c r="B53" s="176" t="s">
        <v>203</v>
      </c>
      <c r="C53" s="211" t="s">
        <v>159</v>
      </c>
      <c r="D53" s="176" t="s">
        <v>86</v>
      </c>
      <c r="E53" s="212">
        <v>64</v>
      </c>
      <c r="F53" s="213">
        <f>E53*3</f>
        <v>192</v>
      </c>
      <c r="G53" s="21">
        <v>141.12</v>
      </c>
      <c r="H53" s="214">
        <f>F53*G53/1000</f>
        <v>27.095040000000001</v>
      </c>
      <c r="I53" s="21">
        <f>E53*G53</f>
        <v>9031.68</v>
      </c>
      <c r="J53" s="200"/>
      <c r="K53" s="201"/>
      <c r="L53" s="201"/>
      <c r="M53" s="201"/>
      <c r="N53" s="201"/>
      <c r="O53" s="201"/>
      <c r="P53" s="201"/>
      <c r="Q53" s="201"/>
      <c r="R53" s="201"/>
      <c r="S53" s="201"/>
      <c r="T53" s="205"/>
      <c r="U53" s="205"/>
    </row>
    <row r="54" spans="1:21" ht="15.75" hidden="1" customHeight="1">
      <c r="A54" s="210">
        <v>15</v>
      </c>
      <c r="B54" s="176" t="s">
        <v>51</v>
      </c>
      <c r="C54" s="211" t="s">
        <v>159</v>
      </c>
      <c r="D54" s="176" t="s">
        <v>86</v>
      </c>
      <c r="E54" s="212">
        <v>128</v>
      </c>
      <c r="F54" s="213">
        <f>SUM(E54)*3</f>
        <v>384</v>
      </c>
      <c r="G54" s="21">
        <v>65.67</v>
      </c>
      <c r="H54" s="214">
        <f t="shared" si="6"/>
        <v>25.217279999999999</v>
      </c>
      <c r="I54" s="21">
        <f>E54*G54</f>
        <v>8405.76</v>
      </c>
      <c r="J54" s="200"/>
      <c r="K54" s="201"/>
      <c r="L54" s="201"/>
      <c r="M54" s="201"/>
      <c r="N54" s="201"/>
      <c r="O54" s="201"/>
      <c r="P54" s="201"/>
      <c r="Q54" s="201"/>
      <c r="R54" s="201"/>
      <c r="S54" s="201"/>
      <c r="T54" s="205"/>
      <c r="U54" s="205"/>
    </row>
    <row r="55" spans="1:21" ht="15.75" hidden="1" customHeight="1">
      <c r="A55" s="274" t="s">
        <v>222</v>
      </c>
      <c r="B55" s="275"/>
      <c r="C55" s="275"/>
      <c r="D55" s="275"/>
      <c r="E55" s="275"/>
      <c r="F55" s="275"/>
      <c r="G55" s="275"/>
      <c r="H55" s="275"/>
      <c r="I55" s="276"/>
      <c r="J55" s="200"/>
      <c r="K55" s="201"/>
      <c r="L55" s="201"/>
      <c r="M55" s="201"/>
      <c r="N55" s="201"/>
      <c r="O55" s="201"/>
      <c r="P55" s="201"/>
      <c r="Q55" s="201"/>
      <c r="R55" s="201"/>
      <c r="S55" s="201"/>
      <c r="T55" s="205"/>
      <c r="U55" s="205"/>
    </row>
    <row r="56" spans="1:21" ht="15" hidden="1" customHeight="1">
      <c r="A56" s="210"/>
      <c r="B56" s="251" t="s">
        <v>53</v>
      </c>
      <c r="C56" s="250"/>
      <c r="D56" s="249"/>
      <c r="E56" s="212"/>
      <c r="F56" s="213"/>
      <c r="G56" s="213"/>
      <c r="H56" s="214"/>
      <c r="I56" s="21"/>
      <c r="J56" s="200"/>
      <c r="K56" s="201"/>
      <c r="L56" s="201"/>
      <c r="M56" s="201"/>
      <c r="N56" s="201"/>
      <c r="O56" s="201"/>
      <c r="P56" s="201"/>
      <c r="Q56" s="201"/>
      <c r="R56" s="201"/>
      <c r="S56" s="201"/>
      <c r="T56" s="205"/>
      <c r="U56" s="205"/>
    </row>
    <row r="57" spans="1:21" ht="30" hidden="1" customHeight="1">
      <c r="A57" s="210">
        <v>16</v>
      </c>
      <c r="B57" s="176" t="s">
        <v>204</v>
      </c>
      <c r="C57" s="211" t="s">
        <v>145</v>
      </c>
      <c r="D57" s="176" t="s">
        <v>205</v>
      </c>
      <c r="E57" s="212">
        <v>123.175</v>
      </c>
      <c r="F57" s="213">
        <f>SUM(E57*6/100)</f>
        <v>7.3904999999999994</v>
      </c>
      <c r="G57" s="21">
        <v>1547.28</v>
      </c>
      <c r="H57" s="214">
        <f>SUM(F57*G57/1000)</f>
        <v>11.43517284</v>
      </c>
      <c r="I57" s="21">
        <f>F57/6*G57</f>
        <v>1905.8621399999997</v>
      </c>
      <c r="J57" s="200"/>
      <c r="K57" s="201"/>
      <c r="L57" s="201"/>
      <c r="M57" s="201"/>
      <c r="N57" s="201"/>
      <c r="O57" s="201"/>
      <c r="P57" s="201"/>
      <c r="Q57" s="201"/>
      <c r="R57" s="201"/>
      <c r="S57" s="201"/>
      <c r="T57" s="205"/>
      <c r="U57" s="205"/>
    </row>
    <row r="58" spans="1:21" ht="15" hidden="1" customHeight="1">
      <c r="A58" s="223"/>
      <c r="B58" s="251" t="s">
        <v>54</v>
      </c>
      <c r="C58" s="250"/>
      <c r="D58" s="249"/>
      <c r="E58" s="226"/>
      <c r="F58" s="227"/>
      <c r="G58" s="21"/>
      <c r="H58" s="228"/>
      <c r="I58" s="21"/>
      <c r="J58" s="200"/>
      <c r="K58" s="201"/>
      <c r="L58" s="201"/>
      <c r="M58" s="201"/>
      <c r="N58" s="201"/>
      <c r="O58" s="201"/>
      <c r="P58" s="201"/>
      <c r="Q58" s="201"/>
      <c r="R58" s="201"/>
      <c r="S58" s="201"/>
      <c r="T58" s="205"/>
      <c r="U58" s="205"/>
    </row>
    <row r="59" spans="1:21" ht="15" hidden="1" customHeight="1">
      <c r="A59" s="223"/>
      <c r="B59" s="225" t="s">
        <v>206</v>
      </c>
      <c r="C59" s="224" t="s">
        <v>65</v>
      </c>
      <c r="D59" s="225" t="s">
        <v>66</v>
      </c>
      <c r="E59" s="226">
        <v>897</v>
      </c>
      <c r="F59" s="227">
        <v>8.9700000000000006</v>
      </c>
      <c r="G59" s="21">
        <v>793.61</v>
      </c>
      <c r="H59" s="228">
        <f>F59*G59/1000</f>
        <v>7.1186817000000007</v>
      </c>
      <c r="I59" s="21">
        <v>0</v>
      </c>
      <c r="J59" s="200"/>
      <c r="K59" s="201"/>
      <c r="L59" s="201"/>
      <c r="M59" s="201"/>
      <c r="N59" s="201"/>
      <c r="O59" s="201"/>
      <c r="P59" s="201"/>
      <c r="Q59" s="201"/>
      <c r="R59" s="201"/>
      <c r="S59" s="201"/>
      <c r="T59" s="205"/>
      <c r="U59" s="205"/>
    </row>
    <row r="60" spans="1:21" ht="15" hidden="1" customHeight="1">
      <c r="A60" s="223"/>
      <c r="B60" s="251" t="s">
        <v>56</v>
      </c>
      <c r="C60" s="250"/>
      <c r="D60" s="250"/>
      <c r="E60" s="226"/>
      <c r="F60" s="229"/>
      <c r="G60" s="229"/>
      <c r="H60" s="227" t="s">
        <v>183</v>
      </c>
      <c r="I60" s="21"/>
      <c r="J60" s="200"/>
      <c r="K60" s="201"/>
      <c r="L60" s="201"/>
      <c r="M60" s="201"/>
      <c r="N60" s="201"/>
      <c r="O60" s="201"/>
      <c r="P60" s="201"/>
      <c r="Q60" s="201"/>
      <c r="R60" s="201"/>
      <c r="S60" s="201"/>
      <c r="T60" s="205"/>
      <c r="U60" s="205"/>
    </row>
    <row r="61" spans="1:21" ht="15" hidden="1" customHeight="1">
      <c r="A61" s="25">
        <v>17</v>
      </c>
      <c r="B61" s="32" t="s">
        <v>57</v>
      </c>
      <c r="C61" s="33" t="s">
        <v>159</v>
      </c>
      <c r="D61" s="252" t="s">
        <v>81</v>
      </c>
      <c r="E61" s="27">
        <v>15</v>
      </c>
      <c r="F61" s="213">
        <v>15</v>
      </c>
      <c r="G61" s="21">
        <v>222.4</v>
      </c>
      <c r="H61" s="215">
        <f t="shared" ref="H61:H74" si="8">SUM(F61*G61/1000)</f>
        <v>3.3359999999999999</v>
      </c>
      <c r="I61" s="21">
        <f>G61*2</f>
        <v>444.8</v>
      </c>
      <c r="J61" s="200"/>
      <c r="K61" s="201"/>
      <c r="L61" s="201"/>
      <c r="M61" s="201"/>
      <c r="N61" s="201"/>
      <c r="O61" s="201"/>
      <c r="P61" s="201"/>
      <c r="Q61" s="201"/>
      <c r="R61" s="201"/>
      <c r="S61" s="201"/>
      <c r="T61" s="205"/>
      <c r="U61" s="205"/>
    </row>
    <row r="62" spans="1:21" ht="15" hidden="1" customHeight="1">
      <c r="A62" s="25"/>
      <c r="B62" s="23" t="s">
        <v>58</v>
      </c>
      <c r="C62" s="25" t="s">
        <v>159</v>
      </c>
      <c r="D62" s="176" t="s">
        <v>81</v>
      </c>
      <c r="E62" s="27">
        <v>5</v>
      </c>
      <c r="F62" s="213">
        <v>5</v>
      </c>
      <c r="G62" s="21">
        <v>76.25</v>
      </c>
      <c r="H62" s="215">
        <f t="shared" si="8"/>
        <v>0.38124999999999998</v>
      </c>
      <c r="I62" s="21">
        <v>0</v>
      </c>
      <c r="J62" s="200"/>
      <c r="K62" s="201"/>
      <c r="L62" s="201"/>
      <c r="M62" s="201"/>
      <c r="N62" s="201"/>
      <c r="O62" s="201"/>
      <c r="P62" s="201"/>
      <c r="Q62" s="201"/>
      <c r="R62" s="201"/>
      <c r="S62" s="201"/>
      <c r="T62" s="205"/>
      <c r="U62" s="205"/>
    </row>
    <row r="63" spans="1:21" ht="15" hidden="1" customHeight="1">
      <c r="A63" s="25">
        <v>23</v>
      </c>
      <c r="B63" s="23" t="s">
        <v>59</v>
      </c>
      <c r="C63" s="25" t="s">
        <v>160</v>
      </c>
      <c r="D63" s="23" t="s">
        <v>66</v>
      </c>
      <c r="E63" s="212">
        <v>10052</v>
      </c>
      <c r="F63" s="21">
        <f>SUM(E63/100)</f>
        <v>100.52</v>
      </c>
      <c r="G63" s="21">
        <v>212.15</v>
      </c>
      <c r="H63" s="215">
        <f t="shared" si="8"/>
        <v>21.325317999999999</v>
      </c>
      <c r="I63" s="21">
        <f>F63*G63</f>
        <v>21325.317999999999</v>
      </c>
      <c r="J63" s="200"/>
      <c r="K63" s="201"/>
      <c r="L63" s="201"/>
      <c r="M63" s="201"/>
      <c r="N63" s="201"/>
      <c r="O63" s="201"/>
      <c r="P63" s="201"/>
      <c r="Q63" s="201"/>
      <c r="R63" s="201"/>
      <c r="S63" s="201"/>
      <c r="T63" s="205"/>
      <c r="U63" s="205"/>
    </row>
    <row r="64" spans="1:21" ht="15" hidden="1" customHeight="1">
      <c r="A64" s="25">
        <v>24</v>
      </c>
      <c r="B64" s="23" t="s">
        <v>60</v>
      </c>
      <c r="C64" s="25" t="s">
        <v>161</v>
      </c>
      <c r="D64" s="23"/>
      <c r="E64" s="212">
        <v>10052</v>
      </c>
      <c r="F64" s="21">
        <f>SUM(E64/1000)</f>
        <v>10.052</v>
      </c>
      <c r="G64" s="21">
        <v>165.21</v>
      </c>
      <c r="H64" s="215">
        <f t="shared" si="8"/>
        <v>1.66069092</v>
      </c>
      <c r="I64" s="21">
        <f t="shared" ref="I64:I67" si="9">F64*G64</f>
        <v>1660.69092</v>
      </c>
      <c r="J64" s="200"/>
      <c r="K64" s="201"/>
      <c r="L64" s="201"/>
      <c r="M64" s="201"/>
      <c r="N64" s="201"/>
      <c r="O64" s="201"/>
      <c r="P64" s="201"/>
      <c r="Q64" s="201"/>
      <c r="R64" s="201"/>
      <c r="S64" s="201"/>
      <c r="T64" s="205"/>
      <c r="U64" s="205"/>
    </row>
    <row r="65" spans="1:21" ht="15" hidden="1" customHeight="1">
      <c r="A65" s="25">
        <v>25</v>
      </c>
      <c r="B65" s="23" t="s">
        <v>61</v>
      </c>
      <c r="C65" s="25" t="s">
        <v>93</v>
      </c>
      <c r="D65" s="23" t="s">
        <v>66</v>
      </c>
      <c r="E65" s="212">
        <v>2200</v>
      </c>
      <c r="F65" s="21">
        <f>SUM(E65/100)</f>
        <v>22</v>
      </c>
      <c r="G65" s="21">
        <v>2074.63</v>
      </c>
      <c r="H65" s="215">
        <f t="shared" si="8"/>
        <v>45.641860000000001</v>
      </c>
      <c r="I65" s="21">
        <f t="shared" si="9"/>
        <v>45641.86</v>
      </c>
      <c r="J65" s="200"/>
      <c r="K65" s="201"/>
      <c r="L65" s="201"/>
      <c r="M65" s="201"/>
      <c r="N65" s="201"/>
      <c r="O65" s="201"/>
      <c r="P65" s="201"/>
      <c r="Q65" s="201"/>
      <c r="R65" s="201"/>
      <c r="S65" s="201"/>
      <c r="T65" s="205"/>
      <c r="U65" s="205"/>
    </row>
    <row r="66" spans="1:21" ht="15" hidden="1" customHeight="1">
      <c r="A66" s="25">
        <v>26</v>
      </c>
      <c r="B66" s="230" t="s">
        <v>162</v>
      </c>
      <c r="C66" s="25" t="s">
        <v>37</v>
      </c>
      <c r="D66" s="23"/>
      <c r="E66" s="212">
        <v>9.4</v>
      </c>
      <c r="F66" s="21">
        <f>SUM(E66)</f>
        <v>9.4</v>
      </c>
      <c r="G66" s="21">
        <v>42.67</v>
      </c>
      <c r="H66" s="215">
        <f t="shared" si="8"/>
        <v>0.40109800000000001</v>
      </c>
      <c r="I66" s="21">
        <f t="shared" si="9"/>
        <v>401.09800000000001</v>
      </c>
      <c r="J66" s="200"/>
      <c r="K66" s="201"/>
      <c r="L66" s="201"/>
      <c r="M66" s="201"/>
      <c r="N66" s="201"/>
      <c r="O66" s="201"/>
      <c r="P66" s="201"/>
      <c r="Q66" s="201"/>
      <c r="R66" s="201"/>
      <c r="S66" s="201"/>
      <c r="T66" s="205"/>
      <c r="U66" s="205"/>
    </row>
    <row r="67" spans="1:21" ht="15" hidden="1" customHeight="1">
      <c r="A67" s="255">
        <v>27</v>
      </c>
      <c r="B67" s="230" t="s">
        <v>163</v>
      </c>
      <c r="C67" s="25" t="s">
        <v>37</v>
      </c>
      <c r="D67" s="23"/>
      <c r="E67" s="212">
        <v>9.4</v>
      </c>
      <c r="F67" s="21">
        <f>SUM(E67)</f>
        <v>9.4</v>
      </c>
      <c r="G67" s="21">
        <v>39.81</v>
      </c>
      <c r="H67" s="215">
        <f t="shared" si="8"/>
        <v>0.37421400000000005</v>
      </c>
      <c r="I67" s="21">
        <f t="shared" si="9"/>
        <v>374.21400000000006</v>
      </c>
      <c r="J67" s="200"/>
      <c r="K67" s="201"/>
      <c r="L67" s="201"/>
      <c r="M67" s="201"/>
      <c r="N67" s="201"/>
      <c r="O67" s="201"/>
      <c r="P67" s="201"/>
      <c r="Q67" s="201"/>
      <c r="R67" s="201"/>
      <c r="S67" s="201"/>
      <c r="T67" s="205"/>
      <c r="U67" s="205"/>
    </row>
    <row r="68" spans="1:21" ht="15" hidden="1" customHeight="1">
      <c r="A68" s="25"/>
      <c r="B68" s="23" t="s">
        <v>73</v>
      </c>
      <c r="C68" s="25" t="s">
        <v>74</v>
      </c>
      <c r="D68" s="23" t="s">
        <v>66</v>
      </c>
      <c r="E68" s="27">
        <v>5</v>
      </c>
      <c r="F68" s="213">
        <v>5</v>
      </c>
      <c r="G68" s="21">
        <v>49.88</v>
      </c>
      <c r="H68" s="215">
        <f t="shared" si="8"/>
        <v>0.24940000000000001</v>
      </c>
      <c r="I68" s="21">
        <v>0</v>
      </c>
      <c r="J68" s="200"/>
      <c r="K68" s="201"/>
      <c r="L68" s="201"/>
      <c r="M68" s="201"/>
      <c r="N68" s="201"/>
      <c r="O68" s="201"/>
      <c r="P68" s="201"/>
      <c r="Q68" s="201"/>
      <c r="R68" s="201"/>
      <c r="S68" s="201"/>
      <c r="T68" s="205"/>
      <c r="U68" s="205"/>
    </row>
    <row r="69" spans="1:21" ht="15" hidden="1" customHeight="1">
      <c r="A69" s="255"/>
      <c r="B69" s="188" t="s">
        <v>87</v>
      </c>
      <c r="C69" s="253"/>
      <c r="D69" s="253"/>
      <c r="E69" s="27"/>
      <c r="F69" s="21"/>
      <c r="G69" s="21"/>
      <c r="H69" s="215" t="s">
        <v>183</v>
      </c>
      <c r="I69" s="21"/>
      <c r="J69" s="200"/>
      <c r="K69" s="201"/>
      <c r="L69" s="201"/>
      <c r="M69" s="201"/>
      <c r="N69" s="201"/>
      <c r="O69" s="201"/>
      <c r="P69" s="201"/>
      <c r="Q69" s="201"/>
      <c r="R69" s="201"/>
      <c r="S69" s="201"/>
      <c r="T69" s="205"/>
      <c r="U69" s="205"/>
    </row>
    <row r="70" spans="1:21" ht="15" hidden="1" customHeight="1">
      <c r="A70" s="25"/>
      <c r="B70" s="23" t="s">
        <v>88</v>
      </c>
      <c r="C70" s="25" t="s">
        <v>90</v>
      </c>
      <c r="D70" s="23"/>
      <c r="E70" s="27">
        <v>3</v>
      </c>
      <c r="F70" s="21">
        <v>0.3</v>
      </c>
      <c r="G70" s="21">
        <v>501.62</v>
      </c>
      <c r="H70" s="215">
        <f t="shared" si="8"/>
        <v>0.15048599999999998</v>
      </c>
      <c r="I70" s="21">
        <v>0</v>
      </c>
      <c r="J70" s="200"/>
      <c r="K70" s="201"/>
      <c r="L70" s="201"/>
      <c r="M70" s="201"/>
      <c r="N70" s="201"/>
      <c r="O70" s="201"/>
      <c r="P70" s="201"/>
      <c r="Q70" s="201"/>
      <c r="R70" s="201"/>
      <c r="S70" s="201"/>
      <c r="T70" s="205"/>
      <c r="U70" s="205"/>
    </row>
    <row r="71" spans="1:21" ht="15" hidden="1" customHeight="1">
      <c r="A71" s="25"/>
      <c r="B71" s="23" t="s">
        <v>89</v>
      </c>
      <c r="C71" s="25" t="s">
        <v>35</v>
      </c>
      <c r="D71" s="23"/>
      <c r="E71" s="27">
        <v>1</v>
      </c>
      <c r="F71" s="232">
        <v>1</v>
      </c>
      <c r="G71" s="21">
        <v>852.99</v>
      </c>
      <c r="H71" s="215">
        <f>F71*G71/1000</f>
        <v>0.85299000000000003</v>
      </c>
      <c r="I71" s="21">
        <v>0</v>
      </c>
      <c r="J71" s="200"/>
      <c r="K71" s="201"/>
      <c r="L71" s="201"/>
      <c r="M71" s="201"/>
      <c r="N71" s="201"/>
      <c r="O71" s="201"/>
      <c r="P71" s="201"/>
      <c r="Q71" s="201"/>
      <c r="R71" s="201"/>
      <c r="S71" s="201"/>
      <c r="T71" s="205"/>
      <c r="U71" s="205"/>
    </row>
    <row r="72" spans="1:21" ht="15" hidden="1" customHeight="1">
      <c r="A72" s="25"/>
      <c r="B72" s="23" t="s">
        <v>126</v>
      </c>
      <c r="C72" s="25" t="s">
        <v>35</v>
      </c>
      <c r="D72" s="23"/>
      <c r="E72" s="27">
        <v>1</v>
      </c>
      <c r="F72" s="21">
        <v>1</v>
      </c>
      <c r="G72" s="21">
        <v>358.51</v>
      </c>
      <c r="H72" s="215">
        <f>G72*F72/1000</f>
        <v>0.35851</v>
      </c>
      <c r="I72" s="21">
        <v>0</v>
      </c>
      <c r="J72" s="200"/>
      <c r="K72" s="201"/>
      <c r="L72" s="201"/>
      <c r="M72" s="201"/>
      <c r="N72" s="201"/>
      <c r="O72" s="201"/>
      <c r="P72" s="201"/>
      <c r="Q72" s="201"/>
      <c r="R72" s="201"/>
      <c r="S72" s="201"/>
      <c r="T72" s="205"/>
      <c r="U72" s="205"/>
    </row>
    <row r="73" spans="1:21" ht="15" hidden="1" customHeight="1">
      <c r="A73" s="255"/>
      <c r="B73" s="234" t="s">
        <v>91</v>
      </c>
      <c r="C73" s="253"/>
      <c r="D73" s="253"/>
      <c r="E73" s="27"/>
      <c r="F73" s="21"/>
      <c r="G73" s="21" t="s">
        <v>183</v>
      </c>
      <c r="H73" s="215" t="s">
        <v>183</v>
      </c>
      <c r="I73" s="21"/>
      <c r="J73" s="200"/>
      <c r="K73" s="201"/>
      <c r="L73" s="201"/>
      <c r="M73" s="201"/>
      <c r="N73" s="201"/>
      <c r="O73" s="201"/>
      <c r="P73" s="201"/>
      <c r="Q73" s="201"/>
      <c r="R73" s="201"/>
      <c r="S73" s="201"/>
      <c r="T73" s="205"/>
      <c r="U73" s="205"/>
    </row>
    <row r="74" spans="1:21" ht="15" hidden="1" customHeight="1">
      <c r="A74" s="25"/>
      <c r="B74" s="85" t="s">
        <v>92</v>
      </c>
      <c r="C74" s="25" t="s">
        <v>93</v>
      </c>
      <c r="D74" s="23"/>
      <c r="E74" s="27"/>
      <c r="F74" s="21">
        <v>1</v>
      </c>
      <c r="G74" s="21">
        <v>2579.44</v>
      </c>
      <c r="H74" s="215">
        <f t="shared" si="8"/>
        <v>2.57944</v>
      </c>
      <c r="I74" s="21">
        <v>0</v>
      </c>
      <c r="J74" s="200"/>
      <c r="K74" s="201"/>
      <c r="L74" s="201"/>
      <c r="M74" s="201"/>
      <c r="N74" s="201"/>
      <c r="O74" s="201"/>
      <c r="P74" s="201"/>
      <c r="Q74" s="201"/>
      <c r="R74" s="201"/>
      <c r="S74" s="201"/>
      <c r="T74" s="205"/>
      <c r="U74" s="205"/>
    </row>
    <row r="75" spans="1:21" ht="15" hidden="1" customHeight="1">
      <c r="A75" s="248"/>
      <c r="B75" s="188" t="s">
        <v>165</v>
      </c>
      <c r="C75" s="254"/>
      <c r="D75" s="254"/>
      <c r="E75" s="237"/>
      <c r="F75" s="21"/>
      <c r="G75" s="21"/>
      <c r="H75" s="215"/>
      <c r="I75" s="21"/>
      <c r="J75" s="200"/>
      <c r="K75" s="201"/>
      <c r="L75" s="201"/>
      <c r="M75" s="201"/>
      <c r="N75" s="201"/>
      <c r="O75" s="201"/>
      <c r="P75" s="201"/>
      <c r="Q75" s="201"/>
      <c r="R75" s="201"/>
      <c r="S75" s="201"/>
      <c r="T75" s="205"/>
      <c r="U75" s="205"/>
    </row>
    <row r="76" spans="1:21" ht="15" hidden="1" customHeight="1">
      <c r="A76" s="236">
        <v>28</v>
      </c>
      <c r="B76" s="252" t="s">
        <v>166</v>
      </c>
      <c r="C76" s="33"/>
      <c r="D76" s="32"/>
      <c r="E76" s="237"/>
      <c r="F76" s="21">
        <v>1</v>
      </c>
      <c r="G76" s="21">
        <v>20950</v>
      </c>
      <c r="H76" s="215">
        <f>G76*F76/1000</f>
        <v>20.95</v>
      </c>
      <c r="I76" s="21">
        <f>F76*G76</f>
        <v>20950</v>
      </c>
      <c r="J76" s="200"/>
      <c r="K76" s="201"/>
      <c r="L76" s="201"/>
      <c r="M76" s="201"/>
      <c r="N76" s="201"/>
      <c r="O76" s="201"/>
      <c r="P76" s="201"/>
      <c r="Q76" s="201"/>
      <c r="R76" s="201"/>
      <c r="S76" s="201"/>
      <c r="T76" s="205"/>
      <c r="U76" s="205"/>
    </row>
    <row r="77" spans="1:21" ht="15" customHeight="1">
      <c r="A77" s="274" t="s">
        <v>245</v>
      </c>
      <c r="B77" s="275"/>
      <c r="C77" s="275"/>
      <c r="D77" s="275"/>
      <c r="E77" s="275"/>
      <c r="F77" s="275"/>
      <c r="G77" s="275"/>
      <c r="H77" s="275"/>
      <c r="I77" s="276"/>
      <c r="J77" s="200"/>
      <c r="K77" s="201"/>
      <c r="L77" s="201"/>
      <c r="M77" s="201"/>
      <c r="N77" s="201"/>
      <c r="O77" s="201"/>
      <c r="P77" s="201"/>
      <c r="Q77" s="201"/>
      <c r="R77" s="201"/>
      <c r="S77" s="201"/>
      <c r="T77" s="205"/>
      <c r="U77" s="205"/>
    </row>
    <row r="78" spans="1:21" ht="15" customHeight="1">
      <c r="A78" s="25">
        <v>9</v>
      </c>
      <c r="B78" s="176" t="s">
        <v>207</v>
      </c>
      <c r="C78" s="25" t="s">
        <v>70</v>
      </c>
      <c r="D78" s="238"/>
      <c r="E78" s="21">
        <v>2549.5</v>
      </c>
      <c r="F78" s="21">
        <f>SUM(E78*12)</f>
        <v>30594</v>
      </c>
      <c r="G78" s="21">
        <v>2.1</v>
      </c>
      <c r="H78" s="215">
        <f>SUM(F78*G78/1000)</f>
        <v>64.247399999999999</v>
      </c>
      <c r="I78" s="21">
        <f>F78/12*G78</f>
        <v>5353.95</v>
      </c>
      <c r="J78" s="200"/>
      <c r="K78" s="201"/>
      <c r="L78" s="201"/>
      <c r="M78" s="201"/>
      <c r="N78" s="201"/>
      <c r="O78" s="201"/>
      <c r="P78" s="201"/>
      <c r="Q78" s="201"/>
      <c r="R78" s="201"/>
      <c r="S78" s="201"/>
      <c r="T78" s="205"/>
      <c r="U78" s="205"/>
    </row>
    <row r="79" spans="1:21" ht="30" customHeight="1">
      <c r="A79" s="255">
        <v>10</v>
      </c>
      <c r="B79" s="23" t="s">
        <v>94</v>
      </c>
      <c r="C79" s="25"/>
      <c r="D79" s="85"/>
      <c r="E79" s="212">
        <f>E78</f>
        <v>2549.5</v>
      </c>
      <c r="F79" s="21">
        <f>E79*12</f>
        <v>30594</v>
      </c>
      <c r="G79" s="21">
        <v>1.63</v>
      </c>
      <c r="H79" s="215">
        <f>F79*G79/1000</f>
        <v>49.868219999999994</v>
      </c>
      <c r="I79" s="21">
        <f>F79/12*G79</f>
        <v>4155.6849999999995</v>
      </c>
      <c r="J79" s="200"/>
      <c r="K79" s="201"/>
      <c r="L79" s="201"/>
      <c r="M79" s="201"/>
      <c r="N79" s="201"/>
      <c r="O79" s="201"/>
      <c r="P79" s="201"/>
      <c r="Q79" s="201"/>
      <c r="R79" s="201"/>
      <c r="S79" s="201"/>
      <c r="T79" s="205"/>
      <c r="U79" s="205"/>
    </row>
    <row r="80" spans="1:21" ht="15" customHeight="1">
      <c r="A80" s="239"/>
      <c r="B80" s="73" t="s">
        <v>99</v>
      </c>
      <c r="C80" s="234"/>
      <c r="D80" s="233"/>
      <c r="E80" s="235"/>
      <c r="F80" s="235"/>
      <c r="G80" s="235"/>
      <c r="H80" s="222">
        <f>H79</f>
        <v>49.868219999999994</v>
      </c>
      <c r="I80" s="235">
        <f>I15+I16+I17+I25+I26+I28+I29+I31+I78+I79</f>
        <v>31964.337727922226</v>
      </c>
      <c r="J80" s="202"/>
      <c r="K80" s="203"/>
      <c r="L80" s="203"/>
      <c r="M80" s="203"/>
      <c r="N80" s="203"/>
      <c r="O80" s="203"/>
      <c r="P80" s="203"/>
      <c r="Q80" s="203"/>
      <c r="R80" s="203"/>
      <c r="S80" s="203"/>
      <c r="T80" s="205"/>
      <c r="U80" s="205"/>
    </row>
    <row r="81" spans="1:22" ht="15" customHeight="1">
      <c r="A81" s="239"/>
      <c r="B81" s="145" t="s">
        <v>75</v>
      </c>
      <c r="C81" s="25"/>
      <c r="D81" s="85"/>
      <c r="E81" s="21"/>
      <c r="F81" s="21"/>
      <c r="G81" s="21"/>
      <c r="H81" s="222" t="e">
        <f>SUM(H80+#REF!+#REF!+#REF!+#REF!+#REF!+#REF!)</f>
        <v>#REF!</v>
      </c>
      <c r="I81" s="21"/>
      <c r="J81" s="200"/>
      <c r="K81" s="201"/>
      <c r="L81" s="201"/>
      <c r="M81" s="201"/>
      <c r="N81" s="201"/>
      <c r="O81" s="201"/>
      <c r="P81" s="201"/>
      <c r="Q81" s="201"/>
      <c r="R81" s="201"/>
      <c r="S81" s="201"/>
      <c r="T81" s="205"/>
      <c r="U81" s="205"/>
    </row>
    <row r="82" spans="1:22" ht="15" customHeight="1">
      <c r="A82" s="244">
        <v>11</v>
      </c>
      <c r="B82" s="245" t="s">
        <v>136</v>
      </c>
      <c r="C82" s="244" t="s">
        <v>137</v>
      </c>
      <c r="D82" s="23"/>
      <c r="E82" s="27"/>
      <c r="F82" s="21">
        <f>33/3</f>
        <v>11</v>
      </c>
      <c r="G82" s="21">
        <v>1063.47</v>
      </c>
      <c r="H82" s="215">
        <f>G82*F82/1000</f>
        <v>11.698169999999999</v>
      </c>
      <c r="I82" s="260">
        <f>G82*6</f>
        <v>6380.82</v>
      </c>
      <c r="J82" s="200"/>
      <c r="K82" s="201"/>
      <c r="L82" s="201"/>
      <c r="M82" s="201"/>
      <c r="N82" s="201"/>
      <c r="O82" s="201"/>
      <c r="P82" s="201"/>
      <c r="Q82" s="201"/>
      <c r="R82" s="201"/>
      <c r="S82" s="201"/>
      <c r="T82" s="205"/>
      <c r="U82" s="205"/>
    </row>
    <row r="83" spans="1:22" ht="15" customHeight="1">
      <c r="A83" s="25"/>
      <c r="B83" s="247" t="s">
        <v>216</v>
      </c>
      <c r="C83" s="246"/>
      <c r="D83" s="246"/>
      <c r="E83" s="21"/>
      <c r="F83" s="21"/>
      <c r="G83" s="21"/>
      <c r="H83" s="222">
        <f>SUM(H82:H82)</f>
        <v>11.698169999999999</v>
      </c>
      <c r="I83" s="235">
        <f>I82</f>
        <v>6380.82</v>
      </c>
      <c r="J83" s="200"/>
      <c r="K83" s="201"/>
      <c r="L83" s="201"/>
      <c r="M83" s="201"/>
      <c r="N83" s="201"/>
      <c r="O83" s="201"/>
      <c r="P83" s="201"/>
      <c r="Q83" s="201"/>
      <c r="R83" s="201"/>
      <c r="S83" s="201"/>
      <c r="T83" s="205"/>
      <c r="U83" s="205"/>
    </row>
    <row r="84" spans="1:22" ht="15" customHeight="1">
      <c r="A84" s="51"/>
      <c r="B84" s="85" t="s">
        <v>95</v>
      </c>
      <c r="C84" s="24"/>
      <c r="D84" s="24"/>
      <c r="E84" s="77"/>
      <c r="F84" s="77"/>
      <c r="G84" s="78"/>
      <c r="H84" s="78"/>
      <c r="I84" s="26">
        <v>0</v>
      </c>
      <c r="J84" s="204"/>
      <c r="K84" s="205"/>
      <c r="L84" s="29"/>
      <c r="M84" s="30"/>
      <c r="N84" s="31"/>
      <c r="O84" s="205"/>
      <c r="P84" s="205"/>
      <c r="Q84" s="205"/>
      <c r="R84" s="205"/>
      <c r="S84" s="205"/>
      <c r="T84" s="205"/>
      <c r="U84" s="205"/>
    </row>
    <row r="85" spans="1:22" ht="15" customHeight="1">
      <c r="A85" s="51"/>
      <c r="B85" s="81" t="s">
        <v>64</v>
      </c>
      <c r="C85" s="24"/>
      <c r="D85" s="24"/>
      <c r="E85" s="77"/>
      <c r="F85" s="77"/>
      <c r="G85" s="78"/>
      <c r="H85" s="78"/>
      <c r="I85" s="79">
        <f>I80+I83</f>
        <v>38345.157727922226</v>
      </c>
      <c r="J85" s="204"/>
      <c r="K85" s="205"/>
      <c r="L85" s="29"/>
      <c r="M85" s="30"/>
      <c r="N85" s="31"/>
      <c r="O85" s="205"/>
      <c r="P85" s="205"/>
      <c r="Q85" s="205"/>
      <c r="R85" s="205"/>
      <c r="S85" s="205"/>
      <c r="T85" s="205"/>
      <c r="U85" s="205"/>
    </row>
    <row r="86" spans="1:22" ht="15.75">
      <c r="A86" s="263" t="s">
        <v>246</v>
      </c>
      <c r="B86" s="263"/>
      <c r="C86" s="263"/>
      <c r="D86" s="263"/>
      <c r="E86" s="263"/>
      <c r="F86" s="263"/>
      <c r="G86" s="263"/>
      <c r="H86" s="263"/>
      <c r="I86" s="263"/>
      <c r="J86" s="205"/>
      <c r="K86" s="205"/>
      <c r="L86" s="205"/>
      <c r="M86" s="205"/>
      <c r="N86" s="205"/>
      <c r="O86" s="205"/>
      <c r="P86" s="205"/>
      <c r="Q86" s="205"/>
      <c r="R86" s="205"/>
      <c r="S86" s="205"/>
      <c r="T86" s="205"/>
      <c r="U86" s="205"/>
    </row>
    <row r="87" spans="1:22" ht="15.75">
      <c r="A87" s="13"/>
      <c r="B87" s="264" t="s">
        <v>247</v>
      </c>
      <c r="C87" s="264"/>
      <c r="D87" s="264"/>
      <c r="E87" s="264"/>
      <c r="F87" s="264"/>
      <c r="G87" s="264"/>
      <c r="H87" s="196"/>
      <c r="I87" s="4"/>
      <c r="J87" s="205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</row>
    <row r="88" spans="1:22" ht="15.75">
      <c r="A88" s="187"/>
      <c r="B88" s="280" t="s">
        <v>7</v>
      </c>
      <c r="C88" s="280"/>
      <c r="D88" s="280"/>
      <c r="E88" s="280"/>
      <c r="F88" s="280"/>
      <c r="G88" s="280"/>
      <c r="H88" s="199"/>
      <c r="I88" s="123"/>
      <c r="J88" s="205"/>
      <c r="K88" s="205"/>
      <c r="L88" s="205"/>
      <c r="M88" s="205"/>
      <c r="N88" s="205"/>
      <c r="O88" s="205"/>
      <c r="P88" s="205"/>
      <c r="Q88" s="205"/>
      <c r="R88" s="205"/>
      <c r="S88" s="205"/>
      <c r="T88" s="205"/>
      <c r="U88" s="205"/>
    </row>
    <row r="89" spans="1:22" ht="15.75" customHeight="1">
      <c r="A89" s="124"/>
      <c r="B89" s="124"/>
      <c r="C89" s="124"/>
      <c r="D89" s="124"/>
      <c r="E89" s="124"/>
      <c r="F89" s="124"/>
      <c r="G89" s="124"/>
      <c r="H89" s="124"/>
      <c r="I89" s="124"/>
      <c r="J89" s="4"/>
      <c r="K89" s="4"/>
      <c r="L89" s="4"/>
      <c r="M89" s="4"/>
      <c r="N89" s="4"/>
      <c r="O89" s="4"/>
      <c r="P89" s="4"/>
      <c r="Q89" s="206"/>
      <c r="R89" s="206"/>
      <c r="S89" s="206"/>
      <c r="T89" s="206"/>
      <c r="U89" s="206"/>
      <c r="V89" s="12"/>
    </row>
    <row r="90" spans="1:22" ht="15.75" customHeight="1">
      <c r="A90" s="281" t="s">
        <v>8</v>
      </c>
      <c r="B90" s="281"/>
      <c r="C90" s="281"/>
      <c r="D90" s="281"/>
      <c r="E90" s="281"/>
      <c r="F90" s="281"/>
      <c r="G90" s="281"/>
      <c r="H90" s="281"/>
      <c r="I90" s="281"/>
      <c r="J90" s="43"/>
      <c r="K90" s="43"/>
      <c r="L90" s="4"/>
      <c r="M90" s="4"/>
      <c r="N90" s="4"/>
      <c r="O90" s="4"/>
      <c r="P90" s="4"/>
      <c r="Q90" s="206"/>
      <c r="R90" s="206"/>
      <c r="S90" s="206"/>
      <c r="T90" s="206"/>
      <c r="U90" s="206"/>
    </row>
    <row r="91" spans="1:22" ht="15.75">
      <c r="A91" s="281" t="s">
        <v>9</v>
      </c>
      <c r="B91" s="281"/>
      <c r="C91" s="281"/>
      <c r="D91" s="281"/>
      <c r="E91" s="281"/>
      <c r="F91" s="281"/>
      <c r="G91" s="281"/>
      <c r="H91" s="281"/>
      <c r="I91" s="281"/>
      <c r="J91" s="4"/>
      <c r="K91" s="4"/>
      <c r="L91" s="4"/>
      <c r="M91" s="4"/>
      <c r="N91" s="4"/>
      <c r="O91" s="4"/>
      <c r="P91" s="4"/>
      <c r="Q91" s="206"/>
      <c r="R91" s="205"/>
      <c r="S91" s="206"/>
      <c r="T91" s="206"/>
      <c r="U91" s="206"/>
    </row>
    <row r="92" spans="1:22" ht="15.75">
      <c r="A92" s="263" t="s">
        <v>10</v>
      </c>
      <c r="B92" s="263"/>
      <c r="C92" s="263"/>
      <c r="D92" s="263"/>
      <c r="E92" s="263"/>
      <c r="F92" s="263"/>
      <c r="G92" s="263"/>
      <c r="H92" s="263"/>
      <c r="I92" s="263"/>
      <c r="J92" s="6"/>
      <c r="K92" s="6"/>
      <c r="L92" s="6"/>
      <c r="M92" s="6"/>
      <c r="N92" s="6"/>
      <c r="O92" s="6"/>
      <c r="P92" s="6"/>
      <c r="Q92" s="207"/>
      <c r="R92" s="261"/>
      <c r="S92" s="261"/>
      <c r="T92" s="261"/>
      <c r="U92" s="261"/>
    </row>
    <row r="93" spans="1:22" ht="15.75">
      <c r="A93" s="15"/>
      <c r="B93" s="121"/>
      <c r="C93" s="121"/>
      <c r="D93" s="121"/>
      <c r="E93" s="121"/>
      <c r="F93" s="121"/>
      <c r="G93" s="121"/>
      <c r="H93" s="121"/>
      <c r="I93" s="121"/>
      <c r="J93" s="14"/>
      <c r="K93" s="14"/>
      <c r="L93" s="14"/>
      <c r="M93" s="14"/>
      <c r="N93" s="14"/>
      <c r="O93" s="14"/>
      <c r="P93" s="14"/>
      <c r="Q93" s="208"/>
      <c r="R93" s="208"/>
      <c r="S93" s="208"/>
      <c r="T93" s="208"/>
      <c r="U93" s="208"/>
    </row>
    <row r="94" spans="1:22" ht="15.75">
      <c r="A94" s="15"/>
      <c r="B94" s="121"/>
      <c r="C94" s="121"/>
      <c r="D94" s="121"/>
      <c r="E94" s="121"/>
      <c r="F94" s="121"/>
      <c r="G94" s="121"/>
      <c r="H94" s="121"/>
      <c r="I94" s="121"/>
    </row>
    <row r="95" spans="1:22" ht="15.75">
      <c r="A95" s="262" t="s">
        <v>11</v>
      </c>
      <c r="B95" s="262"/>
      <c r="C95" s="262"/>
      <c r="D95" s="262"/>
      <c r="E95" s="262"/>
      <c r="F95" s="262"/>
      <c r="G95" s="262"/>
      <c r="H95" s="262"/>
      <c r="I95" s="262"/>
    </row>
    <row r="96" spans="1:22" ht="15.75" customHeight="1">
      <c r="A96" s="5"/>
    </row>
    <row r="97" spans="1:9" ht="15.75">
      <c r="A97" s="263" t="s">
        <v>12</v>
      </c>
      <c r="B97" s="263"/>
      <c r="C97" s="287" t="s">
        <v>133</v>
      </c>
      <c r="D97" s="287"/>
      <c r="E97" s="287"/>
      <c r="F97" s="197"/>
      <c r="I97" s="191"/>
    </row>
    <row r="98" spans="1:9">
      <c r="A98" s="192"/>
      <c r="C98" s="277" t="s">
        <v>13</v>
      </c>
      <c r="D98" s="277"/>
      <c r="E98" s="277"/>
      <c r="F98" s="42"/>
      <c r="I98" s="189" t="s">
        <v>14</v>
      </c>
    </row>
    <row r="99" spans="1:9" ht="15.75">
      <c r="A99" s="43"/>
      <c r="C99" s="16"/>
      <c r="D99" s="16"/>
      <c r="G99" s="16"/>
      <c r="H99" s="16"/>
    </row>
    <row r="100" spans="1:9" ht="15.75" customHeight="1">
      <c r="A100" s="263" t="s">
        <v>15</v>
      </c>
      <c r="B100" s="263"/>
      <c r="C100" s="278"/>
      <c r="D100" s="278"/>
      <c r="E100" s="278"/>
      <c r="F100" s="198"/>
      <c r="I100" s="191"/>
    </row>
    <row r="101" spans="1:9">
      <c r="A101" s="192"/>
      <c r="C101" s="279" t="s">
        <v>13</v>
      </c>
      <c r="D101" s="279"/>
      <c r="E101" s="279"/>
      <c r="F101" s="192"/>
      <c r="I101" s="189" t="s">
        <v>14</v>
      </c>
    </row>
    <row r="102" spans="1:9" ht="15.75">
      <c r="A102" s="5" t="s">
        <v>16</v>
      </c>
    </row>
    <row r="103" spans="1:9">
      <c r="A103" s="288" t="s">
        <v>17</v>
      </c>
      <c r="B103" s="288"/>
      <c r="C103" s="288"/>
      <c r="D103" s="288"/>
      <c r="E103" s="288"/>
      <c r="F103" s="288"/>
      <c r="G103" s="288"/>
      <c r="H103" s="288"/>
      <c r="I103" s="288"/>
    </row>
    <row r="104" spans="1:9" ht="47.25" customHeight="1">
      <c r="A104" s="289" t="s">
        <v>18</v>
      </c>
      <c r="B104" s="289"/>
      <c r="C104" s="289"/>
      <c r="D104" s="289"/>
      <c r="E104" s="289"/>
      <c r="F104" s="289"/>
      <c r="G104" s="289"/>
      <c r="H104" s="289"/>
      <c r="I104" s="289"/>
    </row>
    <row r="105" spans="1:9" ht="31.5" customHeight="1">
      <c r="A105" s="289" t="s">
        <v>19</v>
      </c>
      <c r="B105" s="289"/>
      <c r="C105" s="289"/>
      <c r="D105" s="289"/>
      <c r="E105" s="289"/>
      <c r="F105" s="289"/>
      <c r="G105" s="289"/>
      <c r="H105" s="289"/>
      <c r="I105" s="289"/>
    </row>
    <row r="106" spans="1:9" ht="31.5" customHeight="1">
      <c r="A106" s="289" t="s">
        <v>24</v>
      </c>
      <c r="B106" s="289"/>
      <c r="C106" s="289"/>
      <c r="D106" s="289"/>
      <c r="E106" s="289"/>
      <c r="F106" s="289"/>
      <c r="G106" s="289"/>
      <c r="H106" s="289"/>
      <c r="I106" s="289"/>
    </row>
    <row r="107" spans="1:9" ht="15.75">
      <c r="A107" s="289" t="s">
        <v>23</v>
      </c>
      <c r="B107" s="289"/>
      <c r="C107" s="289"/>
      <c r="D107" s="289"/>
      <c r="E107" s="289"/>
      <c r="F107" s="289"/>
      <c r="G107" s="289"/>
      <c r="H107" s="289"/>
      <c r="I107" s="289"/>
    </row>
  </sheetData>
  <autoFilter ref="I14:I87"/>
  <mergeCells count="30">
    <mergeCell ref="A14:I14"/>
    <mergeCell ref="A3:I3"/>
    <mergeCell ref="A4:I4"/>
    <mergeCell ref="A5:I5"/>
    <mergeCell ref="A8:I8"/>
    <mergeCell ref="A10:I10"/>
    <mergeCell ref="R92:U92"/>
    <mergeCell ref="A27:I27"/>
    <mergeCell ref="A34:I34"/>
    <mergeCell ref="A43:I43"/>
    <mergeCell ref="A55:I55"/>
    <mergeCell ref="A77:I77"/>
    <mergeCell ref="A86:I86"/>
    <mergeCell ref="B87:G87"/>
    <mergeCell ref="B88:G88"/>
    <mergeCell ref="A90:I90"/>
    <mergeCell ref="A91:I91"/>
    <mergeCell ref="A92:I92"/>
    <mergeCell ref="A107:I107"/>
    <mergeCell ref="A95:I95"/>
    <mergeCell ref="A97:B97"/>
    <mergeCell ref="C97:E97"/>
    <mergeCell ref="C98:E98"/>
    <mergeCell ref="A100:B100"/>
    <mergeCell ref="C100:E100"/>
    <mergeCell ref="C101:E101"/>
    <mergeCell ref="A103:I103"/>
    <mergeCell ref="A104:I104"/>
    <mergeCell ref="A105:I105"/>
    <mergeCell ref="A106:I106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21" ht="15.75" customHeight="1">
      <c r="B1" s="57" t="s">
        <v>113</v>
      </c>
      <c r="I1" s="56"/>
    </row>
    <row r="2" spans="1:21" ht="15.75" customHeight="1">
      <c r="B2" s="46" t="s">
        <v>77</v>
      </c>
      <c r="J2" s="1"/>
      <c r="K2" s="1"/>
      <c r="L2" s="1"/>
      <c r="M2" s="1"/>
    </row>
    <row r="3" spans="1:21" ht="15.75" customHeight="1">
      <c r="A3" s="265" t="s">
        <v>248</v>
      </c>
      <c r="B3" s="265"/>
      <c r="C3" s="265"/>
      <c r="D3" s="265"/>
      <c r="E3" s="265"/>
      <c r="F3" s="265"/>
      <c r="G3" s="265"/>
      <c r="H3" s="265"/>
      <c r="I3" s="265"/>
      <c r="J3" s="2"/>
      <c r="K3" s="2"/>
      <c r="L3" s="2"/>
      <c r="M3" s="2"/>
    </row>
    <row r="4" spans="1:21" ht="33.75" customHeight="1">
      <c r="A4" s="266" t="s">
        <v>142</v>
      </c>
      <c r="B4" s="266"/>
      <c r="C4" s="266"/>
      <c r="D4" s="266"/>
      <c r="E4" s="266"/>
      <c r="F4" s="266"/>
      <c r="G4" s="266"/>
      <c r="H4" s="266"/>
      <c r="I4" s="266"/>
      <c r="J4" s="3"/>
      <c r="K4" s="3"/>
      <c r="L4" s="3"/>
      <c r="M4" s="3"/>
    </row>
    <row r="5" spans="1:21" ht="15.75" customHeight="1">
      <c r="A5" s="267" t="s">
        <v>249</v>
      </c>
      <c r="B5" s="268"/>
      <c r="C5" s="268"/>
      <c r="D5" s="268"/>
      <c r="E5" s="268"/>
      <c r="F5" s="268"/>
      <c r="G5" s="268"/>
      <c r="H5" s="268"/>
      <c r="I5" s="268"/>
      <c r="J5" s="4"/>
      <c r="K5" s="4"/>
      <c r="L5" s="4"/>
    </row>
    <row r="6" spans="1:21" ht="15.75" customHeight="1">
      <c r="A6" s="3"/>
      <c r="B6" s="193"/>
      <c r="C6" s="193"/>
      <c r="D6" s="193"/>
      <c r="E6" s="193"/>
      <c r="F6" s="193"/>
      <c r="G6" s="193"/>
      <c r="H6" s="193"/>
      <c r="I6" s="256">
        <v>42613</v>
      </c>
    </row>
    <row r="7" spans="1:21" ht="15.75">
      <c r="B7" s="190"/>
      <c r="C7" s="190"/>
      <c r="D7" s="190"/>
      <c r="E7" s="4"/>
      <c r="F7" s="4"/>
      <c r="G7" s="4"/>
      <c r="H7" s="4"/>
      <c r="J7" s="3"/>
      <c r="K7" s="3"/>
      <c r="L7" s="3"/>
      <c r="M7" s="3"/>
    </row>
    <row r="8" spans="1:21" ht="78.75" customHeight="1">
      <c r="A8" s="269" t="s">
        <v>275</v>
      </c>
      <c r="B8" s="269"/>
      <c r="C8" s="269"/>
      <c r="D8" s="269"/>
      <c r="E8" s="269"/>
      <c r="F8" s="269"/>
      <c r="G8" s="269"/>
      <c r="H8" s="269"/>
      <c r="I8" s="269"/>
      <c r="J8" s="3"/>
      <c r="K8" s="3"/>
      <c r="L8" s="3"/>
      <c r="M8" s="3"/>
    </row>
    <row r="9" spans="1:21" ht="15.75">
      <c r="A9" s="5"/>
      <c r="J9" s="4"/>
      <c r="K9" s="4"/>
      <c r="L9" s="4"/>
      <c r="M9" s="4"/>
    </row>
    <row r="10" spans="1:21" ht="47.25" customHeight="1">
      <c r="A10" s="270" t="s">
        <v>144</v>
      </c>
      <c r="B10" s="270"/>
      <c r="C10" s="270"/>
      <c r="D10" s="270"/>
      <c r="E10" s="270"/>
      <c r="F10" s="270"/>
      <c r="G10" s="270"/>
      <c r="H10" s="270"/>
      <c r="I10" s="270"/>
      <c r="J10" s="6"/>
      <c r="K10" s="6"/>
      <c r="L10" s="6"/>
      <c r="M10" s="6"/>
    </row>
    <row r="11" spans="1:21" ht="15.75" customHeight="1">
      <c r="A11" s="5"/>
      <c r="J11" s="3"/>
      <c r="K11" s="3"/>
      <c r="L11" s="3"/>
      <c r="M11" s="3"/>
    </row>
    <row r="12" spans="1:21" ht="51">
      <c r="A12" s="7" t="s">
        <v>0</v>
      </c>
      <c r="B12" s="7" t="s">
        <v>1</v>
      </c>
      <c r="C12" s="7" t="s">
        <v>2</v>
      </c>
      <c r="D12" s="7" t="s">
        <v>20</v>
      </c>
      <c r="E12" s="7" t="s">
        <v>21</v>
      </c>
      <c r="F12" s="7"/>
      <c r="G12" s="7" t="s">
        <v>25</v>
      </c>
      <c r="H12" s="7"/>
      <c r="I12" s="7" t="s">
        <v>3</v>
      </c>
      <c r="J12" s="4"/>
    </row>
    <row r="13" spans="1:21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21">
      <c r="A14" s="271" t="s">
        <v>4</v>
      </c>
      <c r="B14" s="272"/>
      <c r="C14" s="272"/>
      <c r="D14" s="272"/>
      <c r="E14" s="272"/>
      <c r="F14" s="272"/>
      <c r="G14" s="272"/>
      <c r="H14" s="272"/>
      <c r="I14" s="273"/>
      <c r="Q14" s="205"/>
      <c r="R14" s="205"/>
      <c r="S14" s="205"/>
      <c r="T14" s="205"/>
      <c r="U14" s="205"/>
    </row>
    <row r="15" spans="1:21" ht="30" customHeight="1">
      <c r="A15" s="210">
        <v>1</v>
      </c>
      <c r="B15" s="176" t="s">
        <v>117</v>
      </c>
      <c r="C15" s="211" t="s">
        <v>145</v>
      </c>
      <c r="D15" s="176" t="s">
        <v>180</v>
      </c>
      <c r="E15" s="212">
        <v>70.900000000000006</v>
      </c>
      <c r="F15" s="213">
        <f>SUM(E15*156/100)</f>
        <v>110.60400000000001</v>
      </c>
      <c r="G15" s="213">
        <v>175.38</v>
      </c>
      <c r="H15" s="214">
        <f t="shared" ref="H15:H24" si="0">SUM(F15*G15/1000)</f>
        <v>19.397729520000002</v>
      </c>
      <c r="I15" s="21">
        <f>F15/12*G15</f>
        <v>1616.4774600000001</v>
      </c>
      <c r="J15" s="200"/>
      <c r="K15" s="201"/>
      <c r="L15" s="201"/>
      <c r="M15" s="201"/>
      <c r="N15" s="201"/>
      <c r="O15" s="201"/>
      <c r="P15" s="201"/>
      <c r="Q15" s="201"/>
      <c r="R15" s="201"/>
      <c r="S15" s="201"/>
      <c r="T15" s="205"/>
      <c r="U15" s="205"/>
    </row>
    <row r="16" spans="1:21" ht="30" customHeight="1">
      <c r="A16" s="210">
        <v>2</v>
      </c>
      <c r="B16" s="176" t="s">
        <v>118</v>
      </c>
      <c r="C16" s="211" t="s">
        <v>145</v>
      </c>
      <c r="D16" s="176" t="s">
        <v>181</v>
      </c>
      <c r="E16" s="212">
        <v>212.7</v>
      </c>
      <c r="F16" s="213">
        <f>SUM(E16*104/100)</f>
        <v>221.208</v>
      </c>
      <c r="G16" s="213">
        <v>175.38</v>
      </c>
      <c r="H16" s="214">
        <f t="shared" si="0"/>
        <v>38.795459040000004</v>
      </c>
      <c r="I16" s="21">
        <f>F16/12*G16</f>
        <v>3232.9549200000001</v>
      </c>
      <c r="J16" s="200"/>
      <c r="K16" s="201"/>
      <c r="L16" s="201"/>
      <c r="M16" s="201"/>
      <c r="N16" s="201"/>
      <c r="O16" s="201"/>
      <c r="P16" s="201"/>
      <c r="Q16" s="201"/>
      <c r="R16" s="201"/>
      <c r="S16" s="201"/>
      <c r="T16" s="205"/>
      <c r="U16" s="205"/>
    </row>
    <row r="17" spans="1:21" ht="30" customHeight="1">
      <c r="A17" s="210">
        <v>3</v>
      </c>
      <c r="B17" s="176" t="s">
        <v>119</v>
      </c>
      <c r="C17" s="211" t="s">
        <v>145</v>
      </c>
      <c r="D17" s="176" t="s">
        <v>217</v>
      </c>
      <c r="E17" s="212">
        <f>SUM(E15+E16)</f>
        <v>283.60000000000002</v>
      </c>
      <c r="F17" s="213">
        <f>SUM(E17*24/100)</f>
        <v>68.064000000000007</v>
      </c>
      <c r="G17" s="213">
        <v>504.5</v>
      </c>
      <c r="H17" s="214">
        <f t="shared" si="0"/>
        <v>34.338287999999999</v>
      </c>
      <c r="I17" s="21">
        <f>F17/12*G17</f>
        <v>2861.5240000000003</v>
      </c>
      <c r="J17" s="200"/>
      <c r="K17" s="201"/>
      <c r="L17" s="201"/>
      <c r="M17" s="201"/>
      <c r="N17" s="201"/>
      <c r="O17" s="201"/>
      <c r="P17" s="201"/>
      <c r="Q17" s="201"/>
      <c r="R17" s="201"/>
      <c r="S17" s="201"/>
      <c r="T17" s="205"/>
      <c r="U17" s="205"/>
    </row>
    <row r="18" spans="1:21" hidden="1">
      <c r="A18" s="210">
        <v>4</v>
      </c>
      <c r="B18" s="176" t="s">
        <v>149</v>
      </c>
      <c r="C18" s="211" t="s">
        <v>150</v>
      </c>
      <c r="D18" s="176" t="s">
        <v>151</v>
      </c>
      <c r="E18" s="212">
        <v>40</v>
      </c>
      <c r="F18" s="213">
        <f>SUM(E18/10)</f>
        <v>4</v>
      </c>
      <c r="G18" s="213">
        <v>170.16</v>
      </c>
      <c r="H18" s="214">
        <f t="shared" si="0"/>
        <v>0.68064000000000002</v>
      </c>
      <c r="I18" s="21">
        <f>F18/2*G18</f>
        <v>340.32</v>
      </c>
      <c r="J18" s="200"/>
      <c r="K18" s="201"/>
      <c r="L18" s="201"/>
      <c r="M18" s="201"/>
      <c r="N18" s="201"/>
      <c r="O18" s="201"/>
      <c r="P18" s="201"/>
      <c r="Q18" s="201"/>
      <c r="R18" s="201"/>
      <c r="S18" s="201"/>
      <c r="T18" s="205"/>
      <c r="U18" s="205"/>
    </row>
    <row r="19" spans="1:21" hidden="1">
      <c r="A19" s="210">
        <v>5</v>
      </c>
      <c r="B19" s="176" t="s">
        <v>152</v>
      </c>
      <c r="C19" s="211" t="s">
        <v>145</v>
      </c>
      <c r="D19" s="176" t="s">
        <v>66</v>
      </c>
      <c r="E19" s="212">
        <v>10.5</v>
      </c>
      <c r="F19" s="213">
        <f t="shared" ref="F19:F24" si="1">SUM(E19/100)</f>
        <v>0.105</v>
      </c>
      <c r="G19" s="213">
        <v>217.88</v>
      </c>
      <c r="H19" s="214">
        <f t="shared" si="0"/>
        <v>2.2877399999999999E-2</v>
      </c>
      <c r="I19" s="21">
        <f t="shared" ref="I19:I24" si="2">F19*G19</f>
        <v>22.877399999999998</v>
      </c>
      <c r="J19" s="200"/>
      <c r="K19" s="201"/>
      <c r="L19" s="201"/>
      <c r="M19" s="201"/>
      <c r="N19" s="201"/>
      <c r="O19" s="201"/>
      <c r="P19" s="201"/>
      <c r="Q19" s="201"/>
      <c r="R19" s="201"/>
      <c r="S19" s="201"/>
      <c r="T19" s="205"/>
      <c r="U19" s="205"/>
    </row>
    <row r="20" spans="1:21" hidden="1">
      <c r="A20" s="210">
        <v>6</v>
      </c>
      <c r="B20" s="176" t="s">
        <v>153</v>
      </c>
      <c r="C20" s="211" t="s">
        <v>145</v>
      </c>
      <c r="D20" s="176" t="s">
        <v>66</v>
      </c>
      <c r="E20" s="212">
        <v>2.7</v>
      </c>
      <c r="F20" s="213">
        <f t="shared" si="1"/>
        <v>2.7000000000000003E-2</v>
      </c>
      <c r="G20" s="213">
        <v>216.12</v>
      </c>
      <c r="H20" s="214">
        <f t="shared" si="0"/>
        <v>5.8352400000000002E-3</v>
      </c>
      <c r="I20" s="21">
        <f t="shared" si="2"/>
        <v>5.8352400000000006</v>
      </c>
      <c r="J20" s="200"/>
      <c r="K20" s="201"/>
      <c r="L20" s="201"/>
      <c r="M20" s="201"/>
      <c r="N20" s="201"/>
      <c r="O20" s="201"/>
      <c r="P20" s="201"/>
      <c r="Q20" s="201"/>
      <c r="R20" s="201"/>
      <c r="S20" s="201"/>
      <c r="T20" s="205"/>
      <c r="U20" s="205"/>
    </row>
    <row r="21" spans="1:21" hidden="1">
      <c r="A21" s="210">
        <v>7</v>
      </c>
      <c r="B21" s="176" t="s">
        <v>154</v>
      </c>
      <c r="C21" s="211" t="s">
        <v>65</v>
      </c>
      <c r="D21" s="176" t="s">
        <v>151</v>
      </c>
      <c r="E21" s="212">
        <v>357</v>
      </c>
      <c r="F21" s="213">
        <f t="shared" si="1"/>
        <v>3.57</v>
      </c>
      <c r="G21" s="213">
        <v>269.26</v>
      </c>
      <c r="H21" s="214">
        <f t="shared" si="0"/>
        <v>0.96125819999999984</v>
      </c>
      <c r="I21" s="21">
        <f t="shared" si="2"/>
        <v>961.25819999999987</v>
      </c>
      <c r="J21" s="200"/>
      <c r="K21" s="201"/>
      <c r="L21" s="201"/>
      <c r="M21" s="201"/>
      <c r="N21" s="201"/>
      <c r="O21" s="201"/>
      <c r="P21" s="201"/>
      <c r="Q21" s="201"/>
      <c r="R21" s="201"/>
      <c r="S21" s="201"/>
      <c r="T21" s="205"/>
      <c r="U21" s="205"/>
    </row>
    <row r="22" spans="1:21" hidden="1">
      <c r="A22" s="210">
        <v>8</v>
      </c>
      <c r="B22" s="176" t="s">
        <v>155</v>
      </c>
      <c r="C22" s="211" t="s">
        <v>65</v>
      </c>
      <c r="D22" s="176" t="s">
        <v>151</v>
      </c>
      <c r="E22" s="216">
        <v>38.64</v>
      </c>
      <c r="F22" s="213">
        <f t="shared" si="1"/>
        <v>0.38640000000000002</v>
      </c>
      <c r="G22" s="213">
        <v>44.29</v>
      </c>
      <c r="H22" s="214">
        <f t="shared" si="0"/>
        <v>1.7113655999999998E-2</v>
      </c>
      <c r="I22" s="21">
        <f t="shared" si="2"/>
        <v>17.113655999999999</v>
      </c>
      <c r="J22" s="200"/>
      <c r="K22" s="201"/>
      <c r="L22" s="201"/>
      <c r="M22" s="201"/>
      <c r="N22" s="201"/>
      <c r="O22" s="201"/>
      <c r="P22" s="201"/>
      <c r="Q22" s="201"/>
      <c r="R22" s="201"/>
      <c r="S22" s="201"/>
      <c r="T22" s="205"/>
      <c r="U22" s="205"/>
    </row>
    <row r="23" spans="1:21" hidden="1">
      <c r="A23" s="210">
        <v>9</v>
      </c>
      <c r="B23" s="176" t="s">
        <v>156</v>
      </c>
      <c r="C23" s="211" t="s">
        <v>65</v>
      </c>
      <c r="D23" s="217" t="s">
        <v>151</v>
      </c>
      <c r="E23" s="27">
        <v>15</v>
      </c>
      <c r="F23" s="218">
        <f t="shared" si="1"/>
        <v>0.15</v>
      </c>
      <c r="G23" s="213">
        <v>389.72</v>
      </c>
      <c r="H23" s="214">
        <f t="shared" si="0"/>
        <v>5.8457999999999996E-2</v>
      </c>
      <c r="I23" s="21">
        <f t="shared" si="2"/>
        <v>58.457999999999998</v>
      </c>
      <c r="J23" s="200"/>
      <c r="K23" s="201"/>
      <c r="L23" s="201"/>
      <c r="M23" s="201"/>
      <c r="N23" s="201"/>
      <c r="O23" s="201"/>
      <c r="P23" s="201"/>
      <c r="Q23" s="201"/>
      <c r="R23" s="201"/>
      <c r="S23" s="201"/>
      <c r="T23" s="205"/>
      <c r="U23" s="205"/>
    </row>
    <row r="24" spans="1:21" hidden="1">
      <c r="A24" s="210">
        <v>10</v>
      </c>
      <c r="B24" s="176" t="s">
        <v>157</v>
      </c>
      <c r="C24" s="211" t="s">
        <v>65</v>
      </c>
      <c r="D24" s="176" t="s">
        <v>151</v>
      </c>
      <c r="E24" s="219">
        <v>6.38</v>
      </c>
      <c r="F24" s="213">
        <f t="shared" si="1"/>
        <v>6.3799999999999996E-2</v>
      </c>
      <c r="G24" s="213">
        <v>520.79999999999995</v>
      </c>
      <c r="H24" s="214">
        <f t="shared" si="0"/>
        <v>3.3227039999999992E-2</v>
      </c>
      <c r="I24" s="21">
        <f t="shared" si="2"/>
        <v>33.227039999999995</v>
      </c>
      <c r="J24" s="200"/>
      <c r="K24" s="201"/>
      <c r="L24" s="201"/>
      <c r="M24" s="201"/>
      <c r="N24" s="201"/>
      <c r="O24" s="201"/>
      <c r="P24" s="201"/>
      <c r="Q24" s="201"/>
      <c r="R24" s="201"/>
      <c r="S24" s="201"/>
      <c r="T24" s="205"/>
      <c r="U24" s="205"/>
    </row>
    <row r="25" spans="1:21" ht="15" customHeight="1">
      <c r="A25" s="210">
        <v>4</v>
      </c>
      <c r="B25" s="176" t="s">
        <v>79</v>
      </c>
      <c r="C25" s="211" t="s">
        <v>37</v>
      </c>
      <c r="D25" s="176" t="s">
        <v>182</v>
      </c>
      <c r="E25" s="212">
        <v>0.1</v>
      </c>
      <c r="F25" s="213">
        <f>SUM(E25*365)</f>
        <v>36.5</v>
      </c>
      <c r="G25" s="213">
        <v>147.03</v>
      </c>
      <c r="H25" s="214">
        <f>SUM(F25*G25/1000)</f>
        <v>5.3665950000000002</v>
      </c>
      <c r="I25" s="21">
        <f>F25/12*G25</f>
        <v>447.21625</v>
      </c>
      <c r="J25" s="200"/>
      <c r="K25" s="201"/>
      <c r="L25" s="201"/>
      <c r="M25" s="201"/>
      <c r="N25" s="201"/>
      <c r="O25" s="201"/>
      <c r="P25" s="201"/>
      <c r="Q25" s="201"/>
      <c r="R25" s="201"/>
      <c r="S25" s="201"/>
      <c r="T25" s="205"/>
      <c r="U25" s="205"/>
    </row>
    <row r="26" spans="1:21" ht="15" customHeight="1">
      <c r="A26" s="210">
        <v>5</v>
      </c>
      <c r="B26" s="220" t="s">
        <v>26</v>
      </c>
      <c r="C26" s="211" t="s">
        <v>27</v>
      </c>
      <c r="D26" s="220" t="s">
        <v>183</v>
      </c>
      <c r="E26" s="212">
        <v>2549.5</v>
      </c>
      <c r="F26" s="213">
        <f>SUM(E26*12)</f>
        <v>30594</v>
      </c>
      <c r="G26" s="213">
        <v>4.95</v>
      </c>
      <c r="H26" s="214">
        <f>SUM(F26*G26/1000)</f>
        <v>151.44030000000001</v>
      </c>
      <c r="I26" s="21">
        <f>F26/12*G26</f>
        <v>12620.025</v>
      </c>
      <c r="J26" s="200"/>
      <c r="K26" s="201"/>
      <c r="L26" s="201"/>
      <c r="M26" s="201"/>
      <c r="N26" s="201"/>
      <c r="O26" s="201"/>
      <c r="P26" s="201"/>
      <c r="Q26" s="201"/>
      <c r="R26" s="201"/>
      <c r="S26" s="201"/>
      <c r="T26" s="205"/>
      <c r="U26" s="205"/>
    </row>
    <row r="27" spans="1:21" ht="15" customHeight="1">
      <c r="A27" s="274" t="s">
        <v>218</v>
      </c>
      <c r="B27" s="282"/>
      <c r="C27" s="282"/>
      <c r="D27" s="282"/>
      <c r="E27" s="282"/>
      <c r="F27" s="282"/>
      <c r="G27" s="282"/>
      <c r="H27" s="282"/>
      <c r="I27" s="283"/>
      <c r="J27" s="200"/>
      <c r="K27" s="201"/>
      <c r="L27" s="201"/>
      <c r="M27" s="201"/>
      <c r="N27" s="201"/>
      <c r="O27" s="201"/>
      <c r="P27" s="201"/>
      <c r="Q27" s="201"/>
      <c r="R27" s="201"/>
      <c r="S27" s="201"/>
      <c r="T27" s="205"/>
      <c r="U27" s="205"/>
    </row>
    <row r="28" spans="1:21" ht="30" customHeight="1">
      <c r="A28" s="210">
        <v>6</v>
      </c>
      <c r="B28" s="176" t="s">
        <v>184</v>
      </c>
      <c r="C28" s="211" t="s">
        <v>185</v>
      </c>
      <c r="D28" s="176" t="s">
        <v>186</v>
      </c>
      <c r="E28" s="213">
        <v>704.3</v>
      </c>
      <c r="F28" s="213">
        <f>SUM(E28*52/1000)</f>
        <v>36.623599999999996</v>
      </c>
      <c r="G28" s="213">
        <v>155.88999999999999</v>
      </c>
      <c r="H28" s="214">
        <f t="shared" ref="H28:H33" si="3">SUM(F28*G28/1000)</f>
        <v>5.7092530039999989</v>
      </c>
      <c r="I28" s="21">
        <f>F28/6*G28</f>
        <v>951.54216733333317</v>
      </c>
      <c r="J28" s="200"/>
      <c r="K28" s="201"/>
      <c r="L28" s="201"/>
      <c r="M28" s="201"/>
      <c r="N28" s="201"/>
      <c r="O28" s="201"/>
      <c r="P28" s="201"/>
      <c r="Q28" s="201"/>
      <c r="R28" s="201"/>
      <c r="S28" s="201"/>
      <c r="T28" s="205"/>
      <c r="U28" s="205"/>
    </row>
    <row r="29" spans="1:21" ht="30" customHeight="1">
      <c r="A29" s="210">
        <v>7</v>
      </c>
      <c r="B29" s="176" t="s">
        <v>187</v>
      </c>
      <c r="C29" s="211" t="s">
        <v>185</v>
      </c>
      <c r="D29" s="176" t="s">
        <v>188</v>
      </c>
      <c r="E29" s="213">
        <v>70.430000000000007</v>
      </c>
      <c r="F29" s="213">
        <f>SUM(E29*78/1000)</f>
        <v>5.4935400000000012</v>
      </c>
      <c r="G29" s="213">
        <v>258.63</v>
      </c>
      <c r="H29" s="214">
        <f t="shared" si="3"/>
        <v>1.4207942502000004</v>
      </c>
      <c r="I29" s="21">
        <f t="shared" ref="I29" si="4">F29/6*G29</f>
        <v>236.79904170000006</v>
      </c>
      <c r="J29" s="200"/>
      <c r="K29" s="201"/>
      <c r="L29" s="201"/>
      <c r="M29" s="201"/>
      <c r="N29" s="201"/>
      <c r="O29" s="201"/>
      <c r="P29" s="201"/>
      <c r="Q29" s="201"/>
      <c r="R29" s="201"/>
      <c r="S29" s="201"/>
      <c r="T29" s="205"/>
      <c r="U29" s="205"/>
    </row>
    <row r="30" spans="1:21" ht="15.75" hidden="1" customHeight="1">
      <c r="A30" s="210">
        <v>15</v>
      </c>
      <c r="B30" s="176" t="s">
        <v>32</v>
      </c>
      <c r="C30" s="211" t="s">
        <v>185</v>
      </c>
      <c r="D30" s="176" t="s">
        <v>66</v>
      </c>
      <c r="E30" s="213">
        <v>704.3</v>
      </c>
      <c r="F30" s="213">
        <f>SUM(E30/1000)</f>
        <v>0.70429999999999993</v>
      </c>
      <c r="G30" s="213">
        <v>3020.33</v>
      </c>
      <c r="H30" s="214">
        <f t="shared" si="3"/>
        <v>2.1272184189999996</v>
      </c>
      <c r="I30" s="21">
        <f>F30*G30</f>
        <v>2127.2184189999998</v>
      </c>
      <c r="J30" s="200"/>
      <c r="K30" s="201"/>
      <c r="L30" s="201"/>
      <c r="M30" s="201"/>
      <c r="N30" s="201"/>
      <c r="O30" s="201"/>
      <c r="P30" s="201"/>
      <c r="Q30" s="201"/>
      <c r="R30" s="201"/>
      <c r="S30" s="201"/>
      <c r="T30" s="205"/>
      <c r="U30" s="205"/>
    </row>
    <row r="31" spans="1:21" ht="15.75" customHeight="1">
      <c r="A31" s="210">
        <v>8</v>
      </c>
      <c r="B31" s="176" t="s">
        <v>189</v>
      </c>
      <c r="C31" s="211" t="s">
        <v>35</v>
      </c>
      <c r="D31" s="176" t="s">
        <v>78</v>
      </c>
      <c r="E31" s="221">
        <v>0.33333333333333331</v>
      </c>
      <c r="F31" s="213">
        <f>155/3</f>
        <v>51.666666666666664</v>
      </c>
      <c r="G31" s="213">
        <v>56.69</v>
      </c>
      <c r="H31" s="214">
        <f>SUM(G31*155/3/1000)</f>
        <v>2.9289833333333331</v>
      </c>
      <c r="I31" s="21">
        <f>F31/6*G31</f>
        <v>488.16388888888883</v>
      </c>
      <c r="J31" s="200"/>
      <c r="K31" s="201"/>
      <c r="L31" s="201"/>
      <c r="M31" s="201"/>
      <c r="N31" s="201"/>
      <c r="O31" s="201"/>
      <c r="P31" s="201"/>
      <c r="Q31" s="201"/>
      <c r="R31" s="201"/>
      <c r="S31" s="201"/>
      <c r="T31" s="205"/>
      <c r="U31" s="205"/>
    </row>
    <row r="32" spans="1:21" ht="15" hidden="1" customHeight="1">
      <c r="A32" s="210">
        <v>17</v>
      </c>
      <c r="B32" s="176" t="s">
        <v>80</v>
      </c>
      <c r="C32" s="211" t="s">
        <v>37</v>
      </c>
      <c r="D32" s="176" t="s">
        <v>81</v>
      </c>
      <c r="E32" s="212"/>
      <c r="F32" s="213">
        <v>3</v>
      </c>
      <c r="G32" s="213">
        <v>191.32</v>
      </c>
      <c r="H32" s="214">
        <f t="shared" si="3"/>
        <v>0.57396000000000003</v>
      </c>
      <c r="I32" s="21">
        <v>0</v>
      </c>
      <c r="J32" s="200"/>
      <c r="K32" s="201"/>
      <c r="L32" s="201"/>
      <c r="M32" s="201"/>
      <c r="N32" s="201"/>
      <c r="O32" s="201"/>
      <c r="P32" s="201"/>
      <c r="Q32" s="201"/>
      <c r="R32" s="201"/>
      <c r="S32" s="201"/>
      <c r="T32" s="205"/>
      <c r="U32" s="205"/>
    </row>
    <row r="33" spans="1:21" ht="15" hidden="1" customHeight="1">
      <c r="A33" s="210">
        <v>16</v>
      </c>
      <c r="B33" s="176" t="s">
        <v>190</v>
      </c>
      <c r="C33" s="211" t="s">
        <v>36</v>
      </c>
      <c r="D33" s="176" t="s">
        <v>81</v>
      </c>
      <c r="E33" s="212"/>
      <c r="F33" s="213">
        <v>2</v>
      </c>
      <c r="G33" s="213">
        <v>1136.33</v>
      </c>
      <c r="H33" s="214">
        <f t="shared" si="3"/>
        <v>2.2726599999999997</v>
      </c>
      <c r="I33" s="21">
        <v>0</v>
      </c>
      <c r="J33" s="200"/>
      <c r="K33" s="201"/>
      <c r="L33" s="201"/>
      <c r="M33" s="201"/>
      <c r="N33" s="201"/>
      <c r="O33" s="201"/>
      <c r="P33" s="201"/>
      <c r="Q33" s="201"/>
      <c r="R33" s="201"/>
      <c r="S33" s="201"/>
      <c r="T33" s="205"/>
      <c r="U33" s="205"/>
    </row>
    <row r="34" spans="1:21" ht="15" hidden="1" customHeight="1">
      <c r="A34" s="274" t="s">
        <v>220</v>
      </c>
      <c r="B34" s="282"/>
      <c r="C34" s="282"/>
      <c r="D34" s="282"/>
      <c r="E34" s="282"/>
      <c r="F34" s="282"/>
      <c r="G34" s="282"/>
      <c r="H34" s="282"/>
      <c r="I34" s="283"/>
      <c r="J34" s="200"/>
      <c r="K34" s="201"/>
      <c r="L34" s="201"/>
      <c r="M34" s="201"/>
      <c r="N34" s="201"/>
      <c r="O34" s="201"/>
      <c r="P34" s="201"/>
      <c r="Q34" s="201"/>
      <c r="R34" s="201"/>
      <c r="S34" s="201"/>
      <c r="T34" s="205"/>
      <c r="U34" s="205"/>
    </row>
    <row r="35" spans="1:21" ht="15" hidden="1" customHeight="1">
      <c r="A35" s="210">
        <v>6</v>
      </c>
      <c r="B35" s="176" t="s">
        <v>30</v>
      </c>
      <c r="C35" s="211" t="s">
        <v>36</v>
      </c>
      <c r="D35" s="176"/>
      <c r="E35" s="212"/>
      <c r="F35" s="213">
        <v>8</v>
      </c>
      <c r="G35" s="213">
        <v>1527.22</v>
      </c>
      <c r="H35" s="214">
        <f t="shared" ref="H35:H42" si="5">SUM(F35*G35/1000)</f>
        <v>12.21776</v>
      </c>
      <c r="I35" s="21">
        <f>F35/6*G35</f>
        <v>2036.2933333333333</v>
      </c>
      <c r="J35" s="200"/>
      <c r="K35" s="201"/>
      <c r="L35" s="201"/>
      <c r="M35" s="201"/>
      <c r="N35" s="201"/>
      <c r="O35" s="201"/>
      <c r="P35" s="201"/>
      <c r="Q35" s="201"/>
      <c r="R35" s="201"/>
      <c r="S35" s="201"/>
      <c r="T35" s="205"/>
      <c r="U35" s="205"/>
    </row>
    <row r="36" spans="1:21" ht="15" hidden="1" customHeight="1">
      <c r="A36" s="210">
        <v>7</v>
      </c>
      <c r="B36" s="176" t="s">
        <v>191</v>
      </c>
      <c r="C36" s="211" t="s">
        <v>33</v>
      </c>
      <c r="D36" s="176" t="s">
        <v>192</v>
      </c>
      <c r="E36" s="212">
        <v>315</v>
      </c>
      <c r="F36" s="213">
        <f>E36*12/1000</f>
        <v>3.78</v>
      </c>
      <c r="G36" s="213">
        <v>2102.71</v>
      </c>
      <c r="H36" s="214">
        <f>G36*F36/1000</f>
        <v>7.9482437999999993</v>
      </c>
      <c r="I36" s="21">
        <f>F36/6*G36</f>
        <v>1324.7073</v>
      </c>
      <c r="J36" s="200"/>
      <c r="K36" s="201"/>
      <c r="L36" s="201"/>
      <c r="M36" s="201"/>
      <c r="N36" s="201"/>
      <c r="O36" s="201"/>
      <c r="P36" s="201"/>
      <c r="Q36" s="201"/>
      <c r="R36" s="201"/>
      <c r="S36" s="201"/>
      <c r="T36" s="205"/>
      <c r="U36" s="205"/>
    </row>
    <row r="37" spans="1:21" ht="15" hidden="1" customHeight="1">
      <c r="A37" s="210">
        <v>8</v>
      </c>
      <c r="B37" s="176" t="s">
        <v>193</v>
      </c>
      <c r="C37" s="211" t="s">
        <v>33</v>
      </c>
      <c r="D37" s="176" t="s">
        <v>194</v>
      </c>
      <c r="E37" s="212">
        <v>70.430000000000007</v>
      </c>
      <c r="F37" s="213">
        <f>E37*30/1000</f>
        <v>2.1129000000000002</v>
      </c>
      <c r="G37" s="213">
        <v>2102.71</v>
      </c>
      <c r="H37" s="214">
        <f>G37*F37/1000</f>
        <v>4.4428159590000007</v>
      </c>
      <c r="I37" s="21">
        <f>F37/6*G37</f>
        <v>740.46932650000008</v>
      </c>
      <c r="J37" s="200"/>
      <c r="K37" s="201"/>
      <c r="L37" s="201"/>
      <c r="M37" s="201"/>
      <c r="N37" s="201"/>
      <c r="O37" s="201"/>
      <c r="P37" s="201"/>
      <c r="Q37" s="201"/>
      <c r="R37" s="201"/>
      <c r="S37" s="201"/>
      <c r="T37" s="205"/>
      <c r="U37" s="205"/>
    </row>
    <row r="38" spans="1:21" ht="15" hidden="1" customHeight="1">
      <c r="A38" s="210">
        <v>9</v>
      </c>
      <c r="B38" s="176" t="s">
        <v>195</v>
      </c>
      <c r="C38" s="211" t="s">
        <v>196</v>
      </c>
      <c r="D38" s="176" t="s">
        <v>81</v>
      </c>
      <c r="E38" s="212"/>
      <c r="F38" s="213">
        <v>80</v>
      </c>
      <c r="G38" s="213">
        <v>213.2</v>
      </c>
      <c r="H38" s="214">
        <f>G38*F38/1000</f>
        <v>17.056000000000001</v>
      </c>
      <c r="I38" s="21">
        <v>0</v>
      </c>
      <c r="J38" s="200"/>
      <c r="K38" s="201"/>
      <c r="L38" s="201"/>
      <c r="M38" s="201"/>
      <c r="N38" s="201"/>
      <c r="O38" s="201"/>
      <c r="P38" s="201"/>
      <c r="Q38" s="201"/>
      <c r="R38" s="201"/>
      <c r="S38" s="201"/>
      <c r="T38" s="205"/>
      <c r="U38" s="205"/>
    </row>
    <row r="39" spans="1:21" ht="15" hidden="1" customHeight="1">
      <c r="A39" s="210">
        <v>9</v>
      </c>
      <c r="B39" s="176" t="s">
        <v>83</v>
      </c>
      <c r="C39" s="211" t="s">
        <v>33</v>
      </c>
      <c r="D39" s="176" t="s">
        <v>197</v>
      </c>
      <c r="E39" s="213">
        <v>70.430000000000007</v>
      </c>
      <c r="F39" s="213">
        <f>SUM(E39*155/1000)</f>
        <v>10.916650000000001</v>
      </c>
      <c r="G39" s="213">
        <v>350.75</v>
      </c>
      <c r="H39" s="214">
        <f t="shared" si="5"/>
        <v>3.8290149875000004</v>
      </c>
      <c r="I39" s="21">
        <f>F39/6*G39</f>
        <v>638.16916458333344</v>
      </c>
      <c r="J39" s="200"/>
      <c r="K39" s="201"/>
      <c r="L39" s="201"/>
      <c r="M39" s="201"/>
      <c r="N39" s="201"/>
      <c r="O39" s="201"/>
      <c r="P39" s="201"/>
      <c r="Q39" s="201"/>
      <c r="R39" s="201"/>
      <c r="S39" s="201"/>
      <c r="T39" s="205"/>
      <c r="U39" s="205"/>
    </row>
    <row r="40" spans="1:21" ht="45" hidden="1" customHeight="1">
      <c r="A40" s="210">
        <v>10</v>
      </c>
      <c r="B40" s="176" t="s">
        <v>106</v>
      </c>
      <c r="C40" s="211" t="s">
        <v>185</v>
      </c>
      <c r="D40" s="176" t="s">
        <v>198</v>
      </c>
      <c r="E40" s="213">
        <v>70.430000000000007</v>
      </c>
      <c r="F40" s="213">
        <f>SUM(E40*24/1000)</f>
        <v>1.6903200000000003</v>
      </c>
      <c r="G40" s="213">
        <v>5803.28</v>
      </c>
      <c r="H40" s="214">
        <f t="shared" si="5"/>
        <v>9.8094002496000012</v>
      </c>
      <c r="I40" s="21">
        <f>F40/6*G40</f>
        <v>1634.9000416000001</v>
      </c>
      <c r="J40" s="200"/>
      <c r="K40" s="201"/>
      <c r="L40" s="201"/>
      <c r="M40" s="201"/>
      <c r="N40" s="201"/>
      <c r="O40" s="201"/>
      <c r="P40" s="201"/>
      <c r="Q40" s="201"/>
      <c r="R40" s="201"/>
      <c r="S40" s="201"/>
      <c r="T40" s="205"/>
      <c r="U40" s="205"/>
    </row>
    <row r="41" spans="1:21" ht="15" hidden="1" customHeight="1">
      <c r="A41" s="210">
        <v>11</v>
      </c>
      <c r="B41" s="176" t="s">
        <v>199</v>
      </c>
      <c r="C41" s="211" t="s">
        <v>185</v>
      </c>
      <c r="D41" s="176" t="s">
        <v>84</v>
      </c>
      <c r="E41" s="213">
        <v>70.430000000000007</v>
      </c>
      <c r="F41" s="213">
        <f>SUM(E41*45/1000)</f>
        <v>3.1693500000000006</v>
      </c>
      <c r="G41" s="213">
        <v>428.7</v>
      </c>
      <c r="H41" s="214">
        <f t="shared" si="5"/>
        <v>1.3587003450000001</v>
      </c>
      <c r="I41" s="21">
        <f>F41/6*G41</f>
        <v>226.45005750000001</v>
      </c>
      <c r="J41" s="200"/>
      <c r="K41" s="201"/>
      <c r="L41" s="201"/>
      <c r="M41" s="201"/>
      <c r="N41" s="201"/>
      <c r="O41" s="201"/>
      <c r="P41" s="201"/>
      <c r="Q41" s="201"/>
      <c r="R41" s="201"/>
      <c r="S41" s="201"/>
      <c r="T41" s="205"/>
      <c r="U41" s="205"/>
    </row>
    <row r="42" spans="1:21" ht="15" hidden="1" customHeight="1">
      <c r="A42" s="210">
        <v>12</v>
      </c>
      <c r="B42" s="176" t="s">
        <v>85</v>
      </c>
      <c r="C42" s="211" t="s">
        <v>37</v>
      </c>
      <c r="D42" s="176"/>
      <c r="E42" s="212"/>
      <c r="F42" s="213">
        <v>0.8</v>
      </c>
      <c r="G42" s="213">
        <v>798</v>
      </c>
      <c r="H42" s="214">
        <f t="shared" si="5"/>
        <v>0.63840000000000008</v>
      </c>
      <c r="I42" s="21">
        <f>F42/6*G42</f>
        <v>106.39999999999999</v>
      </c>
      <c r="J42" s="200"/>
      <c r="K42" s="201"/>
      <c r="L42" s="201"/>
      <c r="M42" s="201"/>
      <c r="N42" s="201"/>
      <c r="O42" s="201"/>
      <c r="P42" s="201"/>
      <c r="Q42" s="201"/>
      <c r="R42" s="201"/>
      <c r="S42" s="201"/>
      <c r="T42" s="205"/>
      <c r="U42" s="205"/>
    </row>
    <row r="43" spans="1:21" ht="15" customHeight="1">
      <c r="A43" s="274" t="s">
        <v>253</v>
      </c>
      <c r="B43" s="290"/>
      <c r="C43" s="290"/>
      <c r="D43" s="290"/>
      <c r="E43" s="290"/>
      <c r="F43" s="290"/>
      <c r="G43" s="290"/>
      <c r="H43" s="290"/>
      <c r="I43" s="291"/>
      <c r="J43" s="200"/>
      <c r="K43" s="201"/>
      <c r="L43" s="201"/>
      <c r="M43" s="201"/>
      <c r="N43" s="201"/>
      <c r="O43" s="201"/>
      <c r="P43" s="201"/>
      <c r="Q43" s="201"/>
      <c r="R43" s="201"/>
      <c r="S43" s="201"/>
      <c r="T43" s="205"/>
      <c r="U43" s="205"/>
    </row>
    <row r="44" spans="1:21" ht="15" hidden="1" customHeight="1">
      <c r="A44" s="210">
        <v>17</v>
      </c>
      <c r="B44" s="176" t="s">
        <v>200</v>
      </c>
      <c r="C44" s="211" t="s">
        <v>185</v>
      </c>
      <c r="D44" s="176" t="s">
        <v>52</v>
      </c>
      <c r="E44" s="212">
        <v>1111.75</v>
      </c>
      <c r="F44" s="213">
        <f>SUM(E44*2/1000)</f>
        <v>2.2235</v>
      </c>
      <c r="G44" s="21">
        <v>809.74</v>
      </c>
      <c r="H44" s="214">
        <f t="shared" ref="H44:H54" si="6">SUM(F44*G44/1000)</f>
        <v>1.8004568900000002</v>
      </c>
      <c r="I44" s="21">
        <f>F44/2*G44</f>
        <v>900.22844500000008</v>
      </c>
      <c r="J44" s="200"/>
      <c r="K44" s="201"/>
      <c r="L44" s="201"/>
      <c r="M44" s="201"/>
      <c r="N44" s="201"/>
      <c r="O44" s="201"/>
      <c r="P44" s="201"/>
      <c r="Q44" s="201"/>
      <c r="R44" s="201"/>
      <c r="S44" s="201"/>
      <c r="T44" s="205"/>
      <c r="U44" s="205"/>
    </row>
    <row r="45" spans="1:21" ht="15" hidden="1" customHeight="1">
      <c r="A45" s="210">
        <v>18</v>
      </c>
      <c r="B45" s="176" t="s">
        <v>41</v>
      </c>
      <c r="C45" s="211" t="s">
        <v>185</v>
      </c>
      <c r="D45" s="176" t="s">
        <v>52</v>
      </c>
      <c r="E45" s="212">
        <v>88</v>
      </c>
      <c r="F45" s="213">
        <f>E45*2/1000</f>
        <v>0.17599999999999999</v>
      </c>
      <c r="G45" s="21">
        <v>579.48</v>
      </c>
      <c r="H45" s="214">
        <f t="shared" si="6"/>
        <v>0.10198847999999999</v>
      </c>
      <c r="I45" s="21">
        <f t="shared" ref="I45:I48" si="7">F45/2*G45</f>
        <v>50.994239999999998</v>
      </c>
      <c r="J45" s="200"/>
      <c r="K45" s="201"/>
      <c r="L45" s="201"/>
      <c r="M45" s="201"/>
      <c r="N45" s="201"/>
      <c r="O45" s="201"/>
      <c r="P45" s="201"/>
      <c r="Q45" s="201"/>
      <c r="R45" s="201"/>
      <c r="S45" s="201"/>
      <c r="T45" s="205"/>
      <c r="U45" s="205"/>
    </row>
    <row r="46" spans="1:21" ht="15" hidden="1" customHeight="1">
      <c r="A46" s="210">
        <v>19</v>
      </c>
      <c r="B46" s="176" t="s">
        <v>42</v>
      </c>
      <c r="C46" s="211" t="s">
        <v>185</v>
      </c>
      <c r="D46" s="176" t="s">
        <v>52</v>
      </c>
      <c r="E46" s="212">
        <v>1250.6199999999999</v>
      </c>
      <c r="F46" s="213">
        <f>SUM(E46*2/1000)</f>
        <v>2.5012399999999997</v>
      </c>
      <c r="G46" s="21">
        <v>579.48</v>
      </c>
      <c r="H46" s="214">
        <f t="shared" si="6"/>
        <v>1.4494185551999998</v>
      </c>
      <c r="I46" s="21">
        <f t="shared" si="7"/>
        <v>724.70927759999995</v>
      </c>
      <c r="J46" s="200"/>
      <c r="K46" s="201"/>
      <c r="L46" s="201"/>
      <c r="M46" s="201"/>
      <c r="N46" s="201"/>
      <c r="O46" s="201"/>
      <c r="P46" s="201"/>
      <c r="Q46" s="201"/>
      <c r="R46" s="201"/>
      <c r="S46" s="201"/>
      <c r="T46" s="205"/>
      <c r="U46" s="205"/>
    </row>
    <row r="47" spans="1:21" ht="15" hidden="1" customHeight="1">
      <c r="A47" s="210">
        <v>20</v>
      </c>
      <c r="B47" s="176" t="s">
        <v>43</v>
      </c>
      <c r="C47" s="211" t="s">
        <v>185</v>
      </c>
      <c r="D47" s="176" t="s">
        <v>52</v>
      </c>
      <c r="E47" s="212">
        <v>1295.68</v>
      </c>
      <c r="F47" s="213">
        <f>SUM(E47*2/1000)</f>
        <v>2.5913600000000003</v>
      </c>
      <c r="G47" s="21">
        <v>606.77</v>
      </c>
      <c r="H47" s="214">
        <f t="shared" si="6"/>
        <v>1.5723595072000001</v>
      </c>
      <c r="I47" s="21">
        <f t="shared" si="7"/>
        <v>786.17975360000003</v>
      </c>
      <c r="J47" s="200"/>
      <c r="K47" s="201"/>
      <c r="L47" s="201"/>
      <c r="M47" s="201"/>
      <c r="N47" s="201"/>
      <c r="O47" s="201"/>
      <c r="P47" s="201"/>
      <c r="Q47" s="201"/>
      <c r="R47" s="201"/>
      <c r="S47" s="201"/>
      <c r="T47" s="205"/>
      <c r="U47" s="205"/>
    </row>
    <row r="48" spans="1:21" ht="15" hidden="1" customHeight="1">
      <c r="A48" s="210">
        <v>21</v>
      </c>
      <c r="B48" s="176" t="s">
        <v>39</v>
      </c>
      <c r="C48" s="211" t="s">
        <v>40</v>
      </c>
      <c r="D48" s="176" t="s">
        <v>52</v>
      </c>
      <c r="E48" s="212">
        <v>85.84</v>
      </c>
      <c r="F48" s="213">
        <f>E48*2/100</f>
        <v>1.7168000000000001</v>
      </c>
      <c r="G48" s="21">
        <v>72.81</v>
      </c>
      <c r="H48" s="214">
        <f>G48*F48/1000</f>
        <v>0.125000208</v>
      </c>
      <c r="I48" s="21">
        <f t="shared" si="7"/>
        <v>62.500104000000007</v>
      </c>
      <c r="J48" s="200"/>
      <c r="K48" s="201"/>
      <c r="L48" s="201"/>
      <c r="M48" s="201"/>
      <c r="N48" s="201"/>
      <c r="O48" s="201"/>
      <c r="P48" s="201"/>
      <c r="Q48" s="201"/>
      <c r="R48" s="201"/>
      <c r="S48" s="201"/>
      <c r="T48" s="205"/>
      <c r="U48" s="205"/>
    </row>
    <row r="49" spans="1:21" ht="30" hidden="1" customHeight="1">
      <c r="A49" s="210">
        <v>22</v>
      </c>
      <c r="B49" s="176" t="s">
        <v>72</v>
      </c>
      <c r="C49" s="211" t="s">
        <v>185</v>
      </c>
      <c r="D49" s="176" t="s">
        <v>219</v>
      </c>
      <c r="E49" s="212">
        <v>897</v>
      </c>
      <c r="F49" s="213">
        <f>SUM(E49*5/1000)</f>
        <v>4.4850000000000003</v>
      </c>
      <c r="G49" s="21">
        <v>1213.55</v>
      </c>
      <c r="H49" s="214">
        <f t="shared" si="6"/>
        <v>5.4427717499999995</v>
      </c>
      <c r="I49" s="21">
        <f>F49/5*G49</f>
        <v>1088.5543499999999</v>
      </c>
      <c r="J49" s="200"/>
      <c r="K49" s="201"/>
      <c r="L49" s="201"/>
      <c r="M49" s="201"/>
      <c r="N49" s="201"/>
      <c r="O49" s="201"/>
      <c r="P49" s="201"/>
      <c r="Q49" s="201"/>
      <c r="R49" s="201"/>
      <c r="S49" s="201"/>
      <c r="T49" s="205"/>
      <c r="U49" s="205"/>
    </row>
    <row r="50" spans="1:21" ht="30" hidden="1" customHeight="1">
      <c r="A50" s="210"/>
      <c r="B50" s="176" t="s">
        <v>201</v>
      </c>
      <c r="C50" s="211" t="s">
        <v>185</v>
      </c>
      <c r="D50" s="176" t="s">
        <v>52</v>
      </c>
      <c r="E50" s="212">
        <v>897</v>
      </c>
      <c r="F50" s="213">
        <f>SUM(E50*2/1000)</f>
        <v>1.794</v>
      </c>
      <c r="G50" s="21">
        <v>1213.55</v>
      </c>
      <c r="H50" s="214">
        <f t="shared" si="6"/>
        <v>2.1771086999999998</v>
      </c>
      <c r="I50" s="21">
        <v>0</v>
      </c>
      <c r="J50" s="200"/>
      <c r="K50" s="201"/>
      <c r="L50" s="201"/>
      <c r="M50" s="201"/>
      <c r="N50" s="201"/>
      <c r="O50" s="201"/>
      <c r="P50" s="201"/>
      <c r="Q50" s="201"/>
      <c r="R50" s="201"/>
      <c r="S50" s="201"/>
      <c r="T50" s="205"/>
      <c r="U50" s="205"/>
    </row>
    <row r="51" spans="1:21" ht="30" hidden="1" customHeight="1">
      <c r="A51" s="210"/>
      <c r="B51" s="176" t="s">
        <v>202</v>
      </c>
      <c r="C51" s="211" t="s">
        <v>46</v>
      </c>
      <c r="D51" s="176" t="s">
        <v>52</v>
      </c>
      <c r="E51" s="212">
        <v>16</v>
      </c>
      <c r="F51" s="213">
        <f>SUM(E51*2/100)</f>
        <v>0.32</v>
      </c>
      <c r="G51" s="21">
        <v>2730.49</v>
      </c>
      <c r="H51" s="214">
        <f t="shared" si="6"/>
        <v>0.8737568</v>
      </c>
      <c r="I51" s="21">
        <v>0</v>
      </c>
      <c r="J51" s="200"/>
      <c r="K51" s="201"/>
      <c r="L51" s="201"/>
      <c r="M51" s="201"/>
      <c r="N51" s="201"/>
      <c r="O51" s="201"/>
      <c r="P51" s="201"/>
      <c r="Q51" s="201"/>
      <c r="R51" s="201"/>
      <c r="S51" s="201"/>
      <c r="T51" s="205"/>
      <c r="U51" s="205"/>
    </row>
    <row r="52" spans="1:21" ht="15.75" hidden="1" customHeight="1">
      <c r="A52" s="210"/>
      <c r="B52" s="176" t="s">
        <v>47</v>
      </c>
      <c r="C52" s="211" t="s">
        <v>48</v>
      </c>
      <c r="D52" s="176" t="s">
        <v>52</v>
      </c>
      <c r="E52" s="212">
        <v>1</v>
      </c>
      <c r="F52" s="213">
        <v>0.02</v>
      </c>
      <c r="G52" s="21">
        <v>5652.13</v>
      </c>
      <c r="H52" s="214">
        <f t="shared" si="6"/>
        <v>0.11304260000000001</v>
      </c>
      <c r="I52" s="21">
        <v>0</v>
      </c>
      <c r="J52" s="200"/>
      <c r="K52" s="201"/>
      <c r="L52" s="201"/>
      <c r="M52" s="201"/>
      <c r="N52" s="201"/>
      <c r="O52" s="201"/>
      <c r="P52" s="201"/>
      <c r="Q52" s="201"/>
      <c r="R52" s="201"/>
      <c r="S52" s="201"/>
      <c r="T52" s="205"/>
      <c r="U52" s="205"/>
    </row>
    <row r="53" spans="1:21" ht="15.75" customHeight="1">
      <c r="A53" s="210">
        <v>9</v>
      </c>
      <c r="B53" s="176" t="s">
        <v>203</v>
      </c>
      <c r="C53" s="211" t="s">
        <v>159</v>
      </c>
      <c r="D53" s="176" t="s">
        <v>86</v>
      </c>
      <c r="E53" s="212">
        <v>64</v>
      </c>
      <c r="F53" s="213">
        <f>E53*3</f>
        <v>192</v>
      </c>
      <c r="G53" s="21">
        <v>141.12</v>
      </c>
      <c r="H53" s="214">
        <f>F53*G53/1000</f>
        <v>27.095040000000001</v>
      </c>
      <c r="I53" s="21">
        <f>E53*G53</f>
        <v>9031.68</v>
      </c>
      <c r="J53" s="200"/>
      <c r="K53" s="201"/>
      <c r="L53" s="201"/>
      <c r="M53" s="201"/>
      <c r="N53" s="201"/>
      <c r="O53" s="201"/>
      <c r="P53" s="201"/>
      <c r="Q53" s="201"/>
      <c r="R53" s="201"/>
      <c r="S53" s="201"/>
      <c r="T53" s="205"/>
      <c r="U53" s="205"/>
    </row>
    <row r="54" spans="1:21" ht="15.75" customHeight="1">
      <c r="A54" s="210">
        <v>10</v>
      </c>
      <c r="B54" s="176" t="s">
        <v>51</v>
      </c>
      <c r="C54" s="211" t="s">
        <v>159</v>
      </c>
      <c r="D54" s="176" t="s">
        <v>86</v>
      </c>
      <c r="E54" s="212">
        <v>128</v>
      </c>
      <c r="F54" s="213">
        <f>SUM(E54)*3</f>
        <v>384</v>
      </c>
      <c r="G54" s="21">
        <v>65.67</v>
      </c>
      <c r="H54" s="214">
        <f t="shared" si="6"/>
        <v>25.217279999999999</v>
      </c>
      <c r="I54" s="21">
        <f>E54*G54</f>
        <v>8405.76</v>
      </c>
      <c r="J54" s="200"/>
      <c r="K54" s="201"/>
      <c r="L54" s="201"/>
      <c r="M54" s="201"/>
      <c r="N54" s="201"/>
      <c r="O54" s="201"/>
      <c r="P54" s="201"/>
      <c r="Q54" s="201"/>
      <c r="R54" s="201"/>
      <c r="S54" s="201"/>
      <c r="T54" s="205"/>
      <c r="U54" s="205"/>
    </row>
    <row r="55" spans="1:21" ht="15.75" hidden="1" customHeight="1">
      <c r="A55" s="274" t="s">
        <v>222</v>
      </c>
      <c r="B55" s="275"/>
      <c r="C55" s="275"/>
      <c r="D55" s="275"/>
      <c r="E55" s="275"/>
      <c r="F55" s="275"/>
      <c r="G55" s="275"/>
      <c r="H55" s="275"/>
      <c r="I55" s="276"/>
      <c r="J55" s="200"/>
      <c r="K55" s="201"/>
      <c r="L55" s="201"/>
      <c r="M55" s="201"/>
      <c r="N55" s="201"/>
      <c r="O55" s="201"/>
      <c r="P55" s="201"/>
      <c r="Q55" s="201"/>
      <c r="R55" s="201"/>
      <c r="S55" s="201"/>
      <c r="T55" s="205"/>
      <c r="U55" s="205"/>
    </row>
    <row r="56" spans="1:21" ht="15" hidden="1" customHeight="1">
      <c r="A56" s="210"/>
      <c r="B56" s="251" t="s">
        <v>53</v>
      </c>
      <c r="C56" s="250"/>
      <c r="D56" s="249"/>
      <c r="E56" s="212"/>
      <c r="F56" s="213"/>
      <c r="G56" s="213"/>
      <c r="H56" s="214"/>
      <c r="I56" s="21"/>
      <c r="J56" s="200"/>
      <c r="K56" s="201"/>
      <c r="L56" s="201"/>
      <c r="M56" s="201"/>
      <c r="N56" s="201"/>
      <c r="O56" s="201"/>
      <c r="P56" s="201"/>
      <c r="Q56" s="201"/>
      <c r="R56" s="201"/>
      <c r="S56" s="201"/>
      <c r="T56" s="205"/>
      <c r="U56" s="205"/>
    </row>
    <row r="57" spans="1:21" ht="30" hidden="1" customHeight="1">
      <c r="A57" s="210">
        <v>16</v>
      </c>
      <c r="B57" s="176" t="s">
        <v>204</v>
      </c>
      <c r="C57" s="211" t="s">
        <v>145</v>
      </c>
      <c r="D57" s="176" t="s">
        <v>205</v>
      </c>
      <c r="E57" s="212">
        <v>123.175</v>
      </c>
      <c r="F57" s="213">
        <f>SUM(E57*6/100)</f>
        <v>7.3904999999999994</v>
      </c>
      <c r="G57" s="21">
        <v>1547.28</v>
      </c>
      <c r="H57" s="214">
        <f>SUM(F57*G57/1000)</f>
        <v>11.43517284</v>
      </c>
      <c r="I57" s="21">
        <f>F57/6*G57</f>
        <v>1905.8621399999997</v>
      </c>
      <c r="J57" s="200"/>
      <c r="K57" s="201"/>
      <c r="L57" s="201"/>
      <c r="M57" s="201"/>
      <c r="N57" s="201"/>
      <c r="O57" s="201"/>
      <c r="P57" s="201"/>
      <c r="Q57" s="201"/>
      <c r="R57" s="201"/>
      <c r="S57" s="201"/>
      <c r="T57" s="205"/>
      <c r="U57" s="205"/>
    </row>
    <row r="58" spans="1:21" ht="15" hidden="1" customHeight="1">
      <c r="A58" s="223"/>
      <c r="B58" s="251" t="s">
        <v>54</v>
      </c>
      <c r="C58" s="250"/>
      <c r="D58" s="249"/>
      <c r="E58" s="226"/>
      <c r="F58" s="227"/>
      <c r="G58" s="21"/>
      <c r="H58" s="228"/>
      <c r="I58" s="21"/>
      <c r="J58" s="200"/>
      <c r="K58" s="201"/>
      <c r="L58" s="201"/>
      <c r="M58" s="201"/>
      <c r="N58" s="201"/>
      <c r="O58" s="201"/>
      <c r="P58" s="201"/>
      <c r="Q58" s="201"/>
      <c r="R58" s="201"/>
      <c r="S58" s="201"/>
      <c r="T58" s="205"/>
      <c r="U58" s="205"/>
    </row>
    <row r="59" spans="1:21" ht="15" hidden="1" customHeight="1">
      <c r="A59" s="223"/>
      <c r="B59" s="225" t="s">
        <v>206</v>
      </c>
      <c r="C59" s="224" t="s">
        <v>65</v>
      </c>
      <c r="D59" s="225" t="s">
        <v>66</v>
      </c>
      <c r="E59" s="226">
        <v>897</v>
      </c>
      <c r="F59" s="227">
        <v>8.9700000000000006</v>
      </c>
      <c r="G59" s="21">
        <v>793.61</v>
      </c>
      <c r="H59" s="228">
        <f>F59*G59/1000</f>
        <v>7.1186817000000007</v>
      </c>
      <c r="I59" s="21">
        <v>0</v>
      </c>
      <c r="J59" s="200"/>
      <c r="K59" s="201"/>
      <c r="L59" s="201"/>
      <c r="M59" s="201"/>
      <c r="N59" s="201"/>
      <c r="O59" s="201"/>
      <c r="P59" s="201"/>
      <c r="Q59" s="201"/>
      <c r="R59" s="201"/>
      <c r="S59" s="201"/>
      <c r="T59" s="205"/>
      <c r="U59" s="205"/>
    </row>
    <row r="60" spans="1:21" ht="15" hidden="1" customHeight="1">
      <c r="A60" s="223"/>
      <c r="B60" s="251" t="s">
        <v>56</v>
      </c>
      <c r="C60" s="250"/>
      <c r="D60" s="250"/>
      <c r="E60" s="226"/>
      <c r="F60" s="229"/>
      <c r="G60" s="229"/>
      <c r="H60" s="227" t="s">
        <v>183</v>
      </c>
      <c r="I60" s="21"/>
      <c r="J60" s="200"/>
      <c r="K60" s="201"/>
      <c r="L60" s="201"/>
      <c r="M60" s="201"/>
      <c r="N60" s="201"/>
      <c r="O60" s="201"/>
      <c r="P60" s="201"/>
      <c r="Q60" s="201"/>
      <c r="R60" s="201"/>
      <c r="S60" s="201"/>
      <c r="T60" s="205"/>
      <c r="U60" s="205"/>
    </row>
    <row r="61" spans="1:21" ht="15" hidden="1" customHeight="1">
      <c r="A61" s="25">
        <v>17</v>
      </c>
      <c r="B61" s="32" t="s">
        <v>57</v>
      </c>
      <c r="C61" s="33" t="s">
        <v>159</v>
      </c>
      <c r="D61" s="252" t="s">
        <v>81</v>
      </c>
      <c r="E61" s="27">
        <v>15</v>
      </c>
      <c r="F61" s="213">
        <v>15</v>
      </c>
      <c r="G61" s="21">
        <v>222.4</v>
      </c>
      <c r="H61" s="215">
        <f t="shared" ref="H61:H74" si="8">SUM(F61*G61/1000)</f>
        <v>3.3359999999999999</v>
      </c>
      <c r="I61" s="21">
        <f>G61*2</f>
        <v>444.8</v>
      </c>
      <c r="J61" s="200"/>
      <c r="K61" s="201"/>
      <c r="L61" s="201"/>
      <c r="M61" s="201"/>
      <c r="N61" s="201"/>
      <c r="O61" s="201"/>
      <c r="P61" s="201"/>
      <c r="Q61" s="201"/>
      <c r="R61" s="201"/>
      <c r="S61" s="201"/>
      <c r="T61" s="205"/>
      <c r="U61" s="205"/>
    </row>
    <row r="62" spans="1:21" ht="15" hidden="1" customHeight="1">
      <c r="A62" s="25"/>
      <c r="B62" s="23" t="s">
        <v>58</v>
      </c>
      <c r="C62" s="25" t="s">
        <v>159</v>
      </c>
      <c r="D62" s="176" t="s">
        <v>81</v>
      </c>
      <c r="E62" s="27">
        <v>5</v>
      </c>
      <c r="F62" s="213">
        <v>5</v>
      </c>
      <c r="G62" s="21">
        <v>76.25</v>
      </c>
      <c r="H62" s="215">
        <f t="shared" si="8"/>
        <v>0.38124999999999998</v>
      </c>
      <c r="I62" s="21">
        <v>0</v>
      </c>
      <c r="J62" s="200"/>
      <c r="K62" s="201"/>
      <c r="L62" s="201"/>
      <c r="M62" s="201"/>
      <c r="N62" s="201"/>
      <c r="O62" s="201"/>
      <c r="P62" s="201"/>
      <c r="Q62" s="201"/>
      <c r="R62" s="201"/>
      <c r="S62" s="201"/>
      <c r="T62" s="205"/>
      <c r="U62" s="205"/>
    </row>
    <row r="63" spans="1:21" ht="15" hidden="1" customHeight="1">
      <c r="A63" s="25">
        <v>23</v>
      </c>
      <c r="B63" s="23" t="s">
        <v>59</v>
      </c>
      <c r="C63" s="25" t="s">
        <v>160</v>
      </c>
      <c r="D63" s="23" t="s">
        <v>66</v>
      </c>
      <c r="E63" s="212">
        <v>10052</v>
      </c>
      <c r="F63" s="21">
        <f>SUM(E63/100)</f>
        <v>100.52</v>
      </c>
      <c r="G63" s="21">
        <v>212.15</v>
      </c>
      <c r="H63" s="215">
        <f t="shared" si="8"/>
        <v>21.325317999999999</v>
      </c>
      <c r="I63" s="21">
        <f>F63*G63</f>
        <v>21325.317999999999</v>
      </c>
      <c r="J63" s="200"/>
      <c r="K63" s="201"/>
      <c r="L63" s="201"/>
      <c r="M63" s="201"/>
      <c r="N63" s="201"/>
      <c r="O63" s="201"/>
      <c r="P63" s="201"/>
      <c r="Q63" s="201"/>
      <c r="R63" s="201"/>
      <c r="S63" s="201"/>
      <c r="T63" s="205"/>
      <c r="U63" s="205"/>
    </row>
    <row r="64" spans="1:21" ht="15" hidden="1" customHeight="1">
      <c r="A64" s="25">
        <v>24</v>
      </c>
      <c r="B64" s="23" t="s">
        <v>60</v>
      </c>
      <c r="C64" s="25" t="s">
        <v>161</v>
      </c>
      <c r="D64" s="23"/>
      <c r="E64" s="212">
        <v>10052</v>
      </c>
      <c r="F64" s="21">
        <f>SUM(E64/1000)</f>
        <v>10.052</v>
      </c>
      <c r="G64" s="21">
        <v>165.21</v>
      </c>
      <c r="H64" s="215">
        <f t="shared" si="8"/>
        <v>1.66069092</v>
      </c>
      <c r="I64" s="21">
        <f t="shared" ref="I64:I67" si="9">F64*G64</f>
        <v>1660.69092</v>
      </c>
      <c r="J64" s="200"/>
      <c r="K64" s="201"/>
      <c r="L64" s="201"/>
      <c r="M64" s="201"/>
      <c r="N64" s="201"/>
      <c r="O64" s="201"/>
      <c r="P64" s="201"/>
      <c r="Q64" s="201"/>
      <c r="R64" s="201"/>
      <c r="S64" s="201"/>
      <c r="T64" s="205"/>
      <c r="U64" s="205"/>
    </row>
    <row r="65" spans="1:21" ht="15" hidden="1" customHeight="1">
      <c r="A65" s="25">
        <v>25</v>
      </c>
      <c r="B65" s="23" t="s">
        <v>61</v>
      </c>
      <c r="C65" s="25" t="s">
        <v>93</v>
      </c>
      <c r="D65" s="23" t="s">
        <v>66</v>
      </c>
      <c r="E65" s="212">
        <v>2200</v>
      </c>
      <c r="F65" s="21">
        <f>SUM(E65/100)</f>
        <v>22</v>
      </c>
      <c r="G65" s="21">
        <v>2074.63</v>
      </c>
      <c r="H65" s="215">
        <f t="shared" si="8"/>
        <v>45.641860000000001</v>
      </c>
      <c r="I65" s="21">
        <f t="shared" si="9"/>
        <v>45641.86</v>
      </c>
      <c r="J65" s="200"/>
      <c r="K65" s="201"/>
      <c r="L65" s="201"/>
      <c r="M65" s="201"/>
      <c r="N65" s="201"/>
      <c r="O65" s="201"/>
      <c r="P65" s="201"/>
      <c r="Q65" s="201"/>
      <c r="R65" s="201"/>
      <c r="S65" s="201"/>
      <c r="T65" s="205"/>
      <c r="U65" s="205"/>
    </row>
    <row r="66" spans="1:21" ht="15" hidden="1" customHeight="1">
      <c r="A66" s="25">
        <v>26</v>
      </c>
      <c r="B66" s="230" t="s">
        <v>162</v>
      </c>
      <c r="C66" s="25" t="s">
        <v>37</v>
      </c>
      <c r="D66" s="23"/>
      <c r="E66" s="212">
        <v>9.4</v>
      </c>
      <c r="F66" s="21">
        <f>SUM(E66)</f>
        <v>9.4</v>
      </c>
      <c r="G66" s="21">
        <v>42.67</v>
      </c>
      <c r="H66" s="215">
        <f t="shared" si="8"/>
        <v>0.40109800000000001</v>
      </c>
      <c r="I66" s="21">
        <f t="shared" si="9"/>
        <v>401.09800000000001</v>
      </c>
      <c r="J66" s="200"/>
      <c r="K66" s="201"/>
      <c r="L66" s="201"/>
      <c r="M66" s="201"/>
      <c r="N66" s="201"/>
      <c r="O66" s="201"/>
      <c r="P66" s="201"/>
      <c r="Q66" s="201"/>
      <c r="R66" s="201"/>
      <c r="S66" s="201"/>
      <c r="T66" s="205"/>
      <c r="U66" s="205"/>
    </row>
    <row r="67" spans="1:21" ht="15" hidden="1" customHeight="1">
      <c r="A67" s="255">
        <v>27</v>
      </c>
      <c r="B67" s="230" t="s">
        <v>163</v>
      </c>
      <c r="C67" s="25" t="s">
        <v>37</v>
      </c>
      <c r="D67" s="23"/>
      <c r="E67" s="212">
        <v>9.4</v>
      </c>
      <c r="F67" s="21">
        <f>SUM(E67)</f>
        <v>9.4</v>
      </c>
      <c r="G67" s="21">
        <v>39.81</v>
      </c>
      <c r="H67" s="215">
        <f t="shared" si="8"/>
        <v>0.37421400000000005</v>
      </c>
      <c r="I67" s="21">
        <f t="shared" si="9"/>
        <v>374.21400000000006</v>
      </c>
      <c r="J67" s="200"/>
      <c r="K67" s="201"/>
      <c r="L67" s="201"/>
      <c r="M67" s="201"/>
      <c r="N67" s="201"/>
      <c r="O67" s="201"/>
      <c r="P67" s="201"/>
      <c r="Q67" s="201"/>
      <c r="R67" s="201"/>
      <c r="S67" s="201"/>
      <c r="T67" s="205"/>
      <c r="U67" s="205"/>
    </row>
    <row r="68" spans="1:21" ht="15" hidden="1" customHeight="1">
      <c r="A68" s="25"/>
      <c r="B68" s="23" t="s">
        <v>73</v>
      </c>
      <c r="C68" s="25" t="s">
        <v>74</v>
      </c>
      <c r="D68" s="23" t="s">
        <v>66</v>
      </c>
      <c r="E68" s="27">
        <v>5</v>
      </c>
      <c r="F68" s="213">
        <v>5</v>
      </c>
      <c r="G68" s="21">
        <v>49.88</v>
      </c>
      <c r="H68" s="215">
        <f t="shared" si="8"/>
        <v>0.24940000000000001</v>
      </c>
      <c r="I68" s="21">
        <v>0</v>
      </c>
      <c r="J68" s="200"/>
      <c r="K68" s="201"/>
      <c r="L68" s="201"/>
      <c r="M68" s="201"/>
      <c r="N68" s="201"/>
      <c r="O68" s="201"/>
      <c r="P68" s="201"/>
      <c r="Q68" s="201"/>
      <c r="R68" s="201"/>
      <c r="S68" s="201"/>
      <c r="T68" s="205"/>
      <c r="U68" s="205"/>
    </row>
    <row r="69" spans="1:21" ht="15" hidden="1" customHeight="1">
      <c r="A69" s="255"/>
      <c r="B69" s="188" t="s">
        <v>87</v>
      </c>
      <c r="C69" s="253"/>
      <c r="D69" s="253"/>
      <c r="E69" s="27"/>
      <c r="F69" s="21"/>
      <c r="G69" s="21"/>
      <c r="H69" s="215" t="s">
        <v>183</v>
      </c>
      <c r="I69" s="21"/>
      <c r="J69" s="200"/>
      <c r="K69" s="201"/>
      <c r="L69" s="201"/>
      <c r="M69" s="201"/>
      <c r="N69" s="201"/>
      <c r="O69" s="201"/>
      <c r="P69" s="201"/>
      <c r="Q69" s="201"/>
      <c r="R69" s="201"/>
      <c r="S69" s="201"/>
      <c r="T69" s="205"/>
      <c r="U69" s="205"/>
    </row>
    <row r="70" spans="1:21" ht="15" hidden="1" customHeight="1">
      <c r="A70" s="25"/>
      <c r="B70" s="23" t="s">
        <v>88</v>
      </c>
      <c r="C70" s="25" t="s">
        <v>90</v>
      </c>
      <c r="D70" s="23"/>
      <c r="E70" s="27">
        <v>3</v>
      </c>
      <c r="F70" s="21">
        <v>0.3</v>
      </c>
      <c r="G70" s="21">
        <v>501.62</v>
      </c>
      <c r="H70" s="215">
        <f t="shared" si="8"/>
        <v>0.15048599999999998</v>
      </c>
      <c r="I70" s="21">
        <v>0</v>
      </c>
      <c r="J70" s="200"/>
      <c r="K70" s="201"/>
      <c r="L70" s="201"/>
      <c r="M70" s="201"/>
      <c r="N70" s="201"/>
      <c r="O70" s="201"/>
      <c r="P70" s="201"/>
      <c r="Q70" s="201"/>
      <c r="R70" s="201"/>
      <c r="S70" s="201"/>
      <c r="T70" s="205"/>
      <c r="U70" s="205"/>
    </row>
    <row r="71" spans="1:21" ht="15" hidden="1" customHeight="1">
      <c r="A71" s="25"/>
      <c r="B71" s="23" t="s">
        <v>89</v>
      </c>
      <c r="C71" s="25" t="s">
        <v>35</v>
      </c>
      <c r="D71" s="23"/>
      <c r="E71" s="27">
        <v>1</v>
      </c>
      <c r="F71" s="232">
        <v>1</v>
      </c>
      <c r="G71" s="21">
        <v>852.99</v>
      </c>
      <c r="H71" s="215">
        <f>F71*G71/1000</f>
        <v>0.85299000000000003</v>
      </c>
      <c r="I71" s="21">
        <v>0</v>
      </c>
      <c r="J71" s="200"/>
      <c r="K71" s="201"/>
      <c r="L71" s="201"/>
      <c r="M71" s="201"/>
      <c r="N71" s="201"/>
      <c r="O71" s="201"/>
      <c r="P71" s="201"/>
      <c r="Q71" s="201"/>
      <c r="R71" s="201"/>
      <c r="S71" s="201"/>
      <c r="T71" s="205"/>
      <c r="U71" s="205"/>
    </row>
    <row r="72" spans="1:21" ht="15" hidden="1" customHeight="1">
      <c r="A72" s="25"/>
      <c r="B72" s="23" t="s">
        <v>126</v>
      </c>
      <c r="C72" s="25" t="s">
        <v>35</v>
      </c>
      <c r="D72" s="23"/>
      <c r="E72" s="27">
        <v>1</v>
      </c>
      <c r="F72" s="21">
        <v>1</v>
      </c>
      <c r="G72" s="21">
        <v>358.51</v>
      </c>
      <c r="H72" s="215">
        <f>G72*F72/1000</f>
        <v>0.35851</v>
      </c>
      <c r="I72" s="21">
        <v>0</v>
      </c>
      <c r="J72" s="200"/>
      <c r="K72" s="201"/>
      <c r="L72" s="201"/>
      <c r="M72" s="201"/>
      <c r="N72" s="201"/>
      <c r="O72" s="201"/>
      <c r="P72" s="201"/>
      <c r="Q72" s="201"/>
      <c r="R72" s="201"/>
      <c r="S72" s="201"/>
      <c r="T72" s="205"/>
      <c r="U72" s="205"/>
    </row>
    <row r="73" spans="1:21" ht="15" hidden="1" customHeight="1">
      <c r="A73" s="255"/>
      <c r="B73" s="234" t="s">
        <v>91</v>
      </c>
      <c r="C73" s="253"/>
      <c r="D73" s="253"/>
      <c r="E73" s="27"/>
      <c r="F73" s="21"/>
      <c r="G73" s="21" t="s">
        <v>183</v>
      </c>
      <c r="H73" s="215" t="s">
        <v>183</v>
      </c>
      <c r="I73" s="21"/>
      <c r="J73" s="200"/>
      <c r="K73" s="201"/>
      <c r="L73" s="201"/>
      <c r="M73" s="201"/>
      <c r="N73" s="201"/>
      <c r="O73" s="201"/>
      <c r="P73" s="201"/>
      <c r="Q73" s="201"/>
      <c r="R73" s="201"/>
      <c r="S73" s="201"/>
      <c r="T73" s="205"/>
      <c r="U73" s="205"/>
    </row>
    <row r="74" spans="1:21" ht="15" hidden="1" customHeight="1">
      <c r="A74" s="25"/>
      <c r="B74" s="85" t="s">
        <v>92</v>
      </c>
      <c r="C74" s="25" t="s">
        <v>93</v>
      </c>
      <c r="D74" s="23"/>
      <c r="E74" s="27"/>
      <c r="F74" s="21">
        <v>1</v>
      </c>
      <c r="G74" s="21">
        <v>2579.44</v>
      </c>
      <c r="H74" s="215">
        <f t="shared" si="8"/>
        <v>2.57944</v>
      </c>
      <c r="I74" s="21">
        <v>0</v>
      </c>
      <c r="J74" s="200"/>
      <c r="K74" s="201"/>
      <c r="L74" s="201"/>
      <c r="M74" s="201"/>
      <c r="N74" s="201"/>
      <c r="O74" s="201"/>
      <c r="P74" s="201"/>
      <c r="Q74" s="201"/>
      <c r="R74" s="201"/>
      <c r="S74" s="201"/>
      <c r="T74" s="205"/>
      <c r="U74" s="205"/>
    </row>
    <row r="75" spans="1:21" ht="15" hidden="1" customHeight="1">
      <c r="A75" s="248"/>
      <c r="B75" s="188" t="s">
        <v>165</v>
      </c>
      <c r="C75" s="254"/>
      <c r="D75" s="254"/>
      <c r="E75" s="237"/>
      <c r="F75" s="21"/>
      <c r="G75" s="21"/>
      <c r="H75" s="215"/>
      <c r="I75" s="21"/>
      <c r="J75" s="200"/>
      <c r="K75" s="201"/>
      <c r="L75" s="201"/>
      <c r="M75" s="201"/>
      <c r="N75" s="201"/>
      <c r="O75" s="201"/>
      <c r="P75" s="201"/>
      <c r="Q75" s="201"/>
      <c r="R75" s="201"/>
      <c r="S75" s="201"/>
      <c r="T75" s="205"/>
      <c r="U75" s="205"/>
    </row>
    <row r="76" spans="1:21" ht="15" hidden="1" customHeight="1">
      <c r="A76" s="236">
        <v>28</v>
      </c>
      <c r="B76" s="252" t="s">
        <v>166</v>
      </c>
      <c r="C76" s="33"/>
      <c r="D76" s="32"/>
      <c r="E76" s="237"/>
      <c r="F76" s="21">
        <v>1</v>
      </c>
      <c r="G76" s="21">
        <v>20950</v>
      </c>
      <c r="H76" s="215">
        <f>G76*F76/1000</f>
        <v>20.95</v>
      </c>
      <c r="I76" s="21">
        <f>F76*G76</f>
        <v>20950</v>
      </c>
      <c r="J76" s="200"/>
      <c r="K76" s="201"/>
      <c r="L76" s="201"/>
      <c r="M76" s="201"/>
      <c r="N76" s="201"/>
      <c r="O76" s="201"/>
      <c r="P76" s="201"/>
      <c r="Q76" s="201"/>
      <c r="R76" s="201"/>
      <c r="S76" s="201"/>
      <c r="T76" s="205"/>
      <c r="U76" s="205"/>
    </row>
    <row r="77" spans="1:21" ht="15" customHeight="1">
      <c r="A77" s="274" t="s">
        <v>252</v>
      </c>
      <c r="B77" s="275"/>
      <c r="C77" s="275"/>
      <c r="D77" s="275"/>
      <c r="E77" s="275"/>
      <c r="F77" s="275"/>
      <c r="G77" s="275"/>
      <c r="H77" s="275"/>
      <c r="I77" s="276"/>
      <c r="J77" s="200"/>
      <c r="K77" s="201"/>
      <c r="L77" s="201"/>
      <c r="M77" s="201"/>
      <c r="N77" s="201"/>
      <c r="O77" s="201"/>
      <c r="P77" s="201"/>
      <c r="Q77" s="201"/>
      <c r="R77" s="201"/>
      <c r="S77" s="201"/>
      <c r="T77" s="205"/>
      <c r="U77" s="205"/>
    </row>
    <row r="78" spans="1:21" ht="15" customHeight="1">
      <c r="A78" s="25">
        <v>11</v>
      </c>
      <c r="B78" s="176" t="s">
        <v>207</v>
      </c>
      <c r="C78" s="25" t="s">
        <v>70</v>
      </c>
      <c r="D78" s="238"/>
      <c r="E78" s="21">
        <v>2549.5</v>
      </c>
      <c r="F78" s="21">
        <f>SUM(E78*12)</f>
        <v>30594</v>
      </c>
      <c r="G78" s="21">
        <v>2.1</v>
      </c>
      <c r="H78" s="215">
        <f>SUM(F78*G78/1000)</f>
        <v>64.247399999999999</v>
      </c>
      <c r="I78" s="21">
        <f>F78/12*G78</f>
        <v>5353.95</v>
      </c>
      <c r="J78" s="200"/>
      <c r="K78" s="201"/>
      <c r="L78" s="201"/>
      <c r="M78" s="201"/>
      <c r="N78" s="201"/>
      <c r="O78" s="201"/>
      <c r="P78" s="201"/>
      <c r="Q78" s="201"/>
      <c r="R78" s="201"/>
      <c r="S78" s="201"/>
      <c r="T78" s="205"/>
      <c r="U78" s="205"/>
    </row>
    <row r="79" spans="1:21" ht="30" customHeight="1">
      <c r="A79" s="255">
        <v>12</v>
      </c>
      <c r="B79" s="23" t="s">
        <v>94</v>
      </c>
      <c r="C79" s="25"/>
      <c r="D79" s="85"/>
      <c r="E79" s="212">
        <f>E78</f>
        <v>2549.5</v>
      </c>
      <c r="F79" s="21">
        <f>E79*12</f>
        <v>30594</v>
      </c>
      <c r="G79" s="21">
        <v>1.63</v>
      </c>
      <c r="H79" s="215">
        <f>F79*G79/1000</f>
        <v>49.868219999999994</v>
      </c>
      <c r="I79" s="21">
        <f>F79/12*G79</f>
        <v>4155.6849999999995</v>
      </c>
      <c r="J79" s="200"/>
      <c r="K79" s="201"/>
      <c r="L79" s="201"/>
      <c r="M79" s="201"/>
      <c r="N79" s="201"/>
      <c r="O79" s="201"/>
      <c r="P79" s="201"/>
      <c r="Q79" s="201"/>
      <c r="R79" s="201"/>
      <c r="S79" s="201"/>
      <c r="T79" s="205"/>
      <c r="U79" s="205"/>
    </row>
    <row r="80" spans="1:21" ht="15" customHeight="1">
      <c r="A80" s="239"/>
      <c r="B80" s="73" t="s">
        <v>99</v>
      </c>
      <c r="C80" s="234"/>
      <c r="D80" s="233"/>
      <c r="E80" s="235"/>
      <c r="F80" s="235"/>
      <c r="G80" s="235"/>
      <c r="H80" s="222">
        <f>H79</f>
        <v>49.868219999999994</v>
      </c>
      <c r="I80" s="235">
        <f>I15+I16+I17+I25+I26+I28+I29+I31+I53+I54+I78+I79</f>
        <v>49401.777727922221</v>
      </c>
      <c r="J80" s="202"/>
      <c r="K80" s="203"/>
      <c r="L80" s="203"/>
      <c r="M80" s="203"/>
      <c r="N80" s="203"/>
      <c r="O80" s="203"/>
      <c r="P80" s="203"/>
      <c r="Q80" s="203"/>
      <c r="R80" s="203"/>
      <c r="S80" s="203"/>
      <c r="T80" s="205"/>
      <c r="U80" s="205"/>
    </row>
    <row r="81" spans="1:22" ht="15" customHeight="1">
      <c r="A81" s="239"/>
      <c r="B81" s="145" t="s">
        <v>75</v>
      </c>
      <c r="C81" s="25"/>
      <c r="D81" s="85"/>
      <c r="E81" s="21"/>
      <c r="F81" s="21"/>
      <c r="G81" s="21"/>
      <c r="H81" s="222" t="e">
        <f>SUM(H80+#REF!+#REF!+#REF!+#REF!+#REF!+#REF!)</f>
        <v>#REF!</v>
      </c>
      <c r="I81" s="21"/>
      <c r="J81" s="200"/>
      <c r="K81" s="201"/>
      <c r="L81" s="201"/>
      <c r="M81" s="201"/>
      <c r="N81" s="201"/>
      <c r="O81" s="201"/>
      <c r="P81" s="201"/>
      <c r="Q81" s="201"/>
      <c r="R81" s="201"/>
      <c r="S81" s="201"/>
      <c r="T81" s="205"/>
      <c r="U81" s="205"/>
    </row>
    <row r="82" spans="1:22" ht="15" customHeight="1">
      <c r="A82" s="240">
        <v>13</v>
      </c>
      <c r="B82" s="146" t="s">
        <v>211</v>
      </c>
      <c r="C82" s="240" t="s">
        <v>107</v>
      </c>
      <c r="D82" s="23"/>
      <c r="E82" s="27"/>
      <c r="F82" s="21">
        <v>3</v>
      </c>
      <c r="G82" s="21">
        <v>185.81</v>
      </c>
      <c r="H82" s="215">
        <f t="shared" ref="H82:H83" si="10">G82*F82/1000</f>
        <v>0.55743000000000009</v>
      </c>
      <c r="I82" s="260">
        <f>G82</f>
        <v>185.81</v>
      </c>
      <c r="J82" s="200"/>
      <c r="K82" s="201"/>
      <c r="L82" s="201"/>
      <c r="M82" s="201"/>
      <c r="N82" s="201"/>
      <c r="O82" s="201"/>
      <c r="P82" s="201"/>
      <c r="Q82" s="201"/>
      <c r="R82" s="201"/>
      <c r="S82" s="201"/>
      <c r="T82" s="205"/>
      <c r="U82" s="205"/>
    </row>
    <row r="83" spans="1:22" ht="30" customHeight="1">
      <c r="A83" s="240">
        <v>14</v>
      </c>
      <c r="B83" s="146" t="s">
        <v>172</v>
      </c>
      <c r="C83" s="240" t="s">
        <v>46</v>
      </c>
      <c r="D83" s="23"/>
      <c r="E83" s="27"/>
      <c r="F83" s="21">
        <f>6/100</f>
        <v>0.06</v>
      </c>
      <c r="G83" s="21">
        <v>3397.65</v>
      </c>
      <c r="H83" s="215">
        <f t="shared" si="10"/>
        <v>0.20385900000000001</v>
      </c>
      <c r="I83" s="260">
        <f>G83*0.01</f>
        <v>33.976500000000001</v>
      </c>
      <c r="J83" s="200"/>
      <c r="K83" s="201"/>
      <c r="L83" s="201"/>
      <c r="M83" s="201"/>
      <c r="N83" s="201"/>
      <c r="O83" s="201"/>
      <c r="P83" s="201"/>
      <c r="Q83" s="201"/>
      <c r="R83" s="201"/>
      <c r="S83" s="201"/>
      <c r="T83" s="205"/>
      <c r="U83" s="205"/>
    </row>
    <row r="84" spans="1:22" ht="15" customHeight="1">
      <c r="A84" s="244">
        <v>15</v>
      </c>
      <c r="B84" s="245" t="s">
        <v>136</v>
      </c>
      <c r="C84" s="244" t="s">
        <v>137</v>
      </c>
      <c r="D84" s="23"/>
      <c r="E84" s="27"/>
      <c r="F84" s="21">
        <f>33/3</f>
        <v>11</v>
      </c>
      <c r="G84" s="21">
        <v>1063.47</v>
      </c>
      <c r="H84" s="215">
        <f>G84*F84/1000</f>
        <v>11.698169999999999</v>
      </c>
      <c r="I84" s="260">
        <f>G84</f>
        <v>1063.47</v>
      </c>
      <c r="J84" s="200"/>
      <c r="K84" s="201"/>
      <c r="L84" s="201"/>
      <c r="M84" s="201"/>
      <c r="N84" s="201"/>
      <c r="O84" s="201"/>
      <c r="P84" s="201"/>
      <c r="Q84" s="201"/>
      <c r="R84" s="201"/>
      <c r="S84" s="201"/>
      <c r="T84" s="205"/>
      <c r="U84" s="205"/>
    </row>
    <row r="85" spans="1:22" ht="15" customHeight="1">
      <c r="A85" s="25"/>
      <c r="B85" s="247" t="s">
        <v>216</v>
      </c>
      <c r="C85" s="246"/>
      <c r="D85" s="246"/>
      <c r="E85" s="21"/>
      <c r="F85" s="21"/>
      <c r="G85" s="21"/>
      <c r="H85" s="222">
        <f>SUM(H82:H84)</f>
        <v>12.459458999999999</v>
      </c>
      <c r="I85" s="235">
        <f>I82+I83+I84</f>
        <v>1283.2565</v>
      </c>
      <c r="J85" s="200"/>
      <c r="K85" s="201"/>
      <c r="L85" s="201"/>
      <c r="M85" s="201"/>
      <c r="N85" s="201"/>
      <c r="O85" s="201"/>
      <c r="P85" s="201"/>
      <c r="Q85" s="201"/>
      <c r="R85" s="201"/>
      <c r="S85" s="201"/>
      <c r="T85" s="205"/>
      <c r="U85" s="205"/>
    </row>
    <row r="86" spans="1:22" ht="15" customHeight="1">
      <c r="A86" s="51"/>
      <c r="B86" s="85" t="s">
        <v>95</v>
      </c>
      <c r="C86" s="24"/>
      <c r="D86" s="24"/>
      <c r="E86" s="77"/>
      <c r="F86" s="77"/>
      <c r="G86" s="78"/>
      <c r="H86" s="78"/>
      <c r="I86" s="26">
        <v>0</v>
      </c>
      <c r="J86" s="204"/>
      <c r="K86" s="205"/>
      <c r="L86" s="29"/>
      <c r="M86" s="30"/>
      <c r="N86" s="31"/>
      <c r="O86" s="205"/>
      <c r="P86" s="205"/>
      <c r="Q86" s="205"/>
      <c r="R86" s="205"/>
      <c r="S86" s="205"/>
      <c r="T86" s="205"/>
      <c r="U86" s="205"/>
    </row>
    <row r="87" spans="1:22" ht="15" customHeight="1">
      <c r="A87" s="51"/>
      <c r="B87" s="81" t="s">
        <v>64</v>
      </c>
      <c r="C87" s="24"/>
      <c r="D87" s="24"/>
      <c r="E87" s="77"/>
      <c r="F87" s="77"/>
      <c r="G87" s="78"/>
      <c r="H87" s="78"/>
      <c r="I87" s="79">
        <f>I80+I85</f>
        <v>50685.034227922224</v>
      </c>
      <c r="J87" s="204"/>
      <c r="K87" s="205"/>
      <c r="L87" s="29"/>
      <c r="M87" s="30"/>
      <c r="N87" s="31"/>
      <c r="O87" s="205"/>
      <c r="P87" s="205"/>
      <c r="Q87" s="205"/>
      <c r="R87" s="205"/>
      <c r="S87" s="205"/>
      <c r="T87" s="205"/>
      <c r="U87" s="205"/>
    </row>
    <row r="88" spans="1:22" ht="15.75">
      <c r="A88" s="263" t="s">
        <v>250</v>
      </c>
      <c r="B88" s="263"/>
      <c r="C88" s="263"/>
      <c r="D88" s="263"/>
      <c r="E88" s="263"/>
      <c r="F88" s="263"/>
      <c r="G88" s="263"/>
      <c r="H88" s="263"/>
      <c r="I88" s="263"/>
      <c r="J88" s="205"/>
      <c r="K88" s="205"/>
      <c r="L88" s="205"/>
      <c r="M88" s="205"/>
      <c r="N88" s="205"/>
      <c r="O88" s="205"/>
      <c r="P88" s="205"/>
      <c r="Q88" s="205"/>
      <c r="R88" s="205"/>
      <c r="S88" s="205"/>
      <c r="T88" s="205"/>
      <c r="U88" s="205"/>
    </row>
    <row r="89" spans="1:22" ht="15.75">
      <c r="A89" s="13"/>
      <c r="B89" s="264" t="s">
        <v>251</v>
      </c>
      <c r="C89" s="264"/>
      <c r="D89" s="264"/>
      <c r="E89" s="264"/>
      <c r="F89" s="264"/>
      <c r="G89" s="264"/>
      <c r="H89" s="196"/>
      <c r="I89" s="4"/>
      <c r="J89" s="205"/>
      <c r="K89" s="205"/>
      <c r="L89" s="205"/>
      <c r="M89" s="205"/>
      <c r="N89" s="205"/>
      <c r="O89" s="205"/>
      <c r="P89" s="205"/>
      <c r="Q89" s="205"/>
      <c r="R89" s="205"/>
      <c r="S89" s="205"/>
      <c r="T89" s="205"/>
      <c r="U89" s="205"/>
    </row>
    <row r="90" spans="1:22" ht="15.75">
      <c r="A90" s="187"/>
      <c r="B90" s="280" t="s">
        <v>7</v>
      </c>
      <c r="C90" s="280"/>
      <c r="D90" s="280"/>
      <c r="E90" s="280"/>
      <c r="F90" s="280"/>
      <c r="G90" s="280"/>
      <c r="H90" s="199"/>
      <c r="I90" s="123"/>
      <c r="J90" s="205"/>
      <c r="K90" s="205"/>
      <c r="L90" s="205"/>
      <c r="M90" s="205"/>
      <c r="N90" s="205"/>
      <c r="O90" s="205"/>
      <c r="P90" s="205"/>
      <c r="Q90" s="205"/>
      <c r="R90" s="205"/>
      <c r="S90" s="205"/>
      <c r="T90" s="205"/>
      <c r="U90" s="205"/>
    </row>
    <row r="91" spans="1:22" ht="15.75" customHeight="1">
      <c r="A91" s="124"/>
      <c r="B91" s="124"/>
      <c r="C91" s="124"/>
      <c r="D91" s="124"/>
      <c r="E91" s="124"/>
      <c r="F91" s="124"/>
      <c r="G91" s="124"/>
      <c r="H91" s="124"/>
      <c r="I91" s="124"/>
      <c r="J91" s="4"/>
      <c r="K91" s="4"/>
      <c r="L91" s="4"/>
      <c r="M91" s="4"/>
      <c r="N91" s="4"/>
      <c r="O91" s="4"/>
      <c r="P91" s="4"/>
      <c r="Q91" s="206"/>
      <c r="R91" s="206"/>
      <c r="S91" s="206"/>
      <c r="T91" s="206"/>
      <c r="U91" s="206"/>
      <c r="V91" s="12"/>
    </row>
    <row r="92" spans="1:22" ht="15.75" customHeight="1">
      <c r="A92" s="281" t="s">
        <v>8</v>
      </c>
      <c r="B92" s="281"/>
      <c r="C92" s="281"/>
      <c r="D92" s="281"/>
      <c r="E92" s="281"/>
      <c r="F92" s="281"/>
      <c r="G92" s="281"/>
      <c r="H92" s="281"/>
      <c r="I92" s="281"/>
      <c r="J92" s="43"/>
      <c r="K92" s="43"/>
      <c r="L92" s="4"/>
      <c r="M92" s="4"/>
      <c r="N92" s="4"/>
      <c r="O92" s="4"/>
      <c r="P92" s="4"/>
      <c r="Q92" s="206"/>
      <c r="R92" s="206"/>
      <c r="S92" s="206"/>
      <c r="T92" s="206"/>
      <c r="U92" s="206"/>
    </row>
    <row r="93" spans="1:22" ht="15.75">
      <c r="A93" s="281" t="s">
        <v>9</v>
      </c>
      <c r="B93" s="281"/>
      <c r="C93" s="281"/>
      <c r="D93" s="281"/>
      <c r="E93" s="281"/>
      <c r="F93" s="281"/>
      <c r="G93" s="281"/>
      <c r="H93" s="281"/>
      <c r="I93" s="281"/>
      <c r="J93" s="4"/>
      <c r="K93" s="4"/>
      <c r="L93" s="4"/>
      <c r="M93" s="4"/>
      <c r="N93" s="4"/>
      <c r="O93" s="4"/>
      <c r="P93" s="4"/>
      <c r="Q93" s="206"/>
      <c r="R93" s="205"/>
      <c r="S93" s="206"/>
      <c r="T93" s="206"/>
      <c r="U93" s="206"/>
    </row>
    <row r="94" spans="1:22" ht="15.75">
      <c r="A94" s="263" t="s">
        <v>10</v>
      </c>
      <c r="B94" s="263"/>
      <c r="C94" s="263"/>
      <c r="D94" s="263"/>
      <c r="E94" s="263"/>
      <c r="F94" s="263"/>
      <c r="G94" s="263"/>
      <c r="H94" s="263"/>
      <c r="I94" s="263"/>
      <c r="J94" s="6"/>
      <c r="K94" s="6"/>
      <c r="L94" s="6"/>
      <c r="M94" s="6"/>
      <c r="N94" s="6"/>
      <c r="O94" s="6"/>
      <c r="P94" s="6"/>
      <c r="Q94" s="207"/>
      <c r="R94" s="261"/>
      <c r="S94" s="261"/>
      <c r="T94" s="261"/>
      <c r="U94" s="261"/>
    </row>
    <row r="95" spans="1:22" ht="15.75">
      <c r="A95" s="15"/>
      <c r="B95" s="121"/>
      <c r="C95" s="121"/>
      <c r="D95" s="121"/>
      <c r="E95" s="121"/>
      <c r="F95" s="121"/>
      <c r="G95" s="121"/>
      <c r="H95" s="121"/>
      <c r="I95" s="121"/>
      <c r="J95" s="14"/>
      <c r="K95" s="14"/>
      <c r="L95" s="14"/>
      <c r="M95" s="14"/>
      <c r="N95" s="14"/>
      <c r="O95" s="14"/>
      <c r="P95" s="14"/>
      <c r="Q95" s="208"/>
      <c r="R95" s="208"/>
      <c r="S95" s="208"/>
      <c r="T95" s="208"/>
      <c r="U95" s="208"/>
    </row>
    <row r="96" spans="1:22" ht="15.75">
      <c r="A96" s="15"/>
      <c r="B96" s="121"/>
      <c r="C96" s="121"/>
      <c r="D96" s="121"/>
      <c r="E96" s="121"/>
      <c r="F96" s="121"/>
      <c r="G96" s="121"/>
      <c r="H96" s="121"/>
      <c r="I96" s="121"/>
    </row>
    <row r="97" spans="1:9" ht="15.75">
      <c r="A97" s="262" t="s">
        <v>11</v>
      </c>
      <c r="B97" s="262"/>
      <c r="C97" s="262"/>
      <c r="D97" s="262"/>
      <c r="E97" s="262"/>
      <c r="F97" s="262"/>
      <c r="G97" s="262"/>
      <c r="H97" s="262"/>
      <c r="I97" s="262"/>
    </row>
    <row r="98" spans="1:9" ht="15.75" customHeight="1">
      <c r="A98" s="5"/>
    </row>
    <row r="99" spans="1:9" ht="15.75">
      <c r="A99" s="263" t="s">
        <v>12</v>
      </c>
      <c r="B99" s="263"/>
      <c r="C99" s="287" t="s">
        <v>133</v>
      </c>
      <c r="D99" s="287"/>
      <c r="E99" s="287"/>
      <c r="F99" s="197"/>
      <c r="I99" s="191"/>
    </row>
    <row r="100" spans="1:9">
      <c r="A100" s="192"/>
      <c r="C100" s="277" t="s">
        <v>13</v>
      </c>
      <c r="D100" s="277"/>
      <c r="E100" s="277"/>
      <c r="F100" s="42"/>
      <c r="I100" s="189" t="s">
        <v>14</v>
      </c>
    </row>
    <row r="101" spans="1:9" ht="15.75">
      <c r="A101" s="43"/>
      <c r="C101" s="16"/>
      <c r="D101" s="16"/>
      <c r="G101" s="16"/>
      <c r="H101" s="16"/>
    </row>
    <row r="102" spans="1:9" ht="15.75" customHeight="1">
      <c r="A102" s="263" t="s">
        <v>15</v>
      </c>
      <c r="B102" s="263"/>
      <c r="C102" s="278"/>
      <c r="D102" s="278"/>
      <c r="E102" s="278"/>
      <c r="F102" s="198"/>
      <c r="I102" s="191"/>
    </row>
    <row r="103" spans="1:9">
      <c r="A103" s="192"/>
      <c r="C103" s="279" t="s">
        <v>13</v>
      </c>
      <c r="D103" s="279"/>
      <c r="E103" s="279"/>
      <c r="F103" s="192"/>
      <c r="I103" s="189" t="s">
        <v>14</v>
      </c>
    </row>
    <row r="104" spans="1:9" ht="15.75">
      <c r="A104" s="5" t="s">
        <v>16</v>
      </c>
    </row>
    <row r="105" spans="1:9">
      <c r="A105" s="288" t="s">
        <v>17</v>
      </c>
      <c r="B105" s="288"/>
      <c r="C105" s="288"/>
      <c r="D105" s="288"/>
      <c r="E105" s="288"/>
      <c r="F105" s="288"/>
      <c r="G105" s="288"/>
      <c r="H105" s="288"/>
      <c r="I105" s="288"/>
    </row>
    <row r="106" spans="1:9" ht="47.25" customHeight="1">
      <c r="A106" s="289" t="s">
        <v>18</v>
      </c>
      <c r="B106" s="289"/>
      <c r="C106" s="289"/>
      <c r="D106" s="289"/>
      <c r="E106" s="289"/>
      <c r="F106" s="289"/>
      <c r="G106" s="289"/>
      <c r="H106" s="289"/>
      <c r="I106" s="289"/>
    </row>
    <row r="107" spans="1:9" ht="31.5" customHeight="1">
      <c r="A107" s="289" t="s">
        <v>19</v>
      </c>
      <c r="B107" s="289"/>
      <c r="C107" s="289"/>
      <c r="D107" s="289"/>
      <c r="E107" s="289"/>
      <c r="F107" s="289"/>
      <c r="G107" s="289"/>
      <c r="H107" s="289"/>
      <c r="I107" s="289"/>
    </row>
    <row r="108" spans="1:9" ht="31.5" customHeight="1">
      <c r="A108" s="289" t="s">
        <v>24</v>
      </c>
      <c r="B108" s="289"/>
      <c r="C108" s="289"/>
      <c r="D108" s="289"/>
      <c r="E108" s="289"/>
      <c r="F108" s="289"/>
      <c r="G108" s="289"/>
      <c r="H108" s="289"/>
      <c r="I108" s="289"/>
    </row>
    <row r="109" spans="1:9" ht="15.75">
      <c r="A109" s="289" t="s">
        <v>23</v>
      </c>
      <c r="B109" s="289"/>
      <c r="C109" s="289"/>
      <c r="D109" s="289"/>
      <c r="E109" s="289"/>
      <c r="F109" s="289"/>
      <c r="G109" s="289"/>
      <c r="H109" s="289"/>
      <c r="I109" s="289"/>
    </row>
  </sheetData>
  <autoFilter ref="I14:I89"/>
  <mergeCells count="30">
    <mergeCell ref="A14:I14"/>
    <mergeCell ref="A3:I3"/>
    <mergeCell ref="A4:I4"/>
    <mergeCell ref="A5:I5"/>
    <mergeCell ref="A8:I8"/>
    <mergeCell ref="A10:I10"/>
    <mergeCell ref="R94:U94"/>
    <mergeCell ref="A27:I27"/>
    <mergeCell ref="A34:I34"/>
    <mergeCell ref="A43:I43"/>
    <mergeCell ref="A55:I55"/>
    <mergeCell ref="A77:I77"/>
    <mergeCell ref="A88:I88"/>
    <mergeCell ref="B89:G89"/>
    <mergeCell ref="B90:G90"/>
    <mergeCell ref="A92:I92"/>
    <mergeCell ref="A93:I93"/>
    <mergeCell ref="A94:I94"/>
    <mergeCell ref="A109:I109"/>
    <mergeCell ref="A97:I97"/>
    <mergeCell ref="A99:B99"/>
    <mergeCell ref="C99:E99"/>
    <mergeCell ref="C100:E100"/>
    <mergeCell ref="A102:B102"/>
    <mergeCell ref="C102:E102"/>
    <mergeCell ref="C103:E103"/>
    <mergeCell ref="A105:I105"/>
    <mergeCell ref="A106:I106"/>
    <mergeCell ref="A107:I107"/>
    <mergeCell ref="A108:I108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08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21" ht="15.75" customHeight="1">
      <c r="B1" s="57" t="s">
        <v>113</v>
      </c>
      <c r="I1" s="56"/>
    </row>
    <row r="2" spans="1:21" ht="15.75" customHeight="1">
      <c r="B2" s="46" t="s">
        <v>77</v>
      </c>
      <c r="J2" s="1"/>
      <c r="K2" s="1"/>
      <c r="L2" s="1"/>
      <c r="M2" s="1"/>
    </row>
    <row r="3" spans="1:21" ht="15.75" customHeight="1">
      <c r="A3" s="265" t="s">
        <v>254</v>
      </c>
      <c r="B3" s="265"/>
      <c r="C3" s="265"/>
      <c r="D3" s="265"/>
      <c r="E3" s="265"/>
      <c r="F3" s="265"/>
      <c r="G3" s="265"/>
      <c r="H3" s="265"/>
      <c r="I3" s="265"/>
      <c r="J3" s="2"/>
      <c r="K3" s="2"/>
      <c r="L3" s="2"/>
      <c r="M3" s="2"/>
    </row>
    <row r="4" spans="1:21" ht="33.75" customHeight="1">
      <c r="A4" s="266" t="s">
        <v>142</v>
      </c>
      <c r="B4" s="266"/>
      <c r="C4" s="266"/>
      <c r="D4" s="266"/>
      <c r="E4" s="266"/>
      <c r="F4" s="266"/>
      <c r="G4" s="266"/>
      <c r="H4" s="266"/>
      <c r="I4" s="266"/>
      <c r="J4" s="3"/>
      <c r="K4" s="3"/>
      <c r="L4" s="3"/>
      <c r="M4" s="3"/>
    </row>
    <row r="5" spans="1:21" ht="15.75" customHeight="1">
      <c r="A5" s="267" t="s">
        <v>255</v>
      </c>
      <c r="B5" s="268"/>
      <c r="C5" s="268"/>
      <c r="D5" s="268"/>
      <c r="E5" s="268"/>
      <c r="F5" s="268"/>
      <c r="G5" s="268"/>
      <c r="H5" s="268"/>
      <c r="I5" s="268"/>
      <c r="J5" s="4"/>
      <c r="K5" s="4"/>
      <c r="L5" s="4"/>
    </row>
    <row r="6" spans="1:21" ht="15.75" customHeight="1">
      <c r="A6" s="3"/>
      <c r="B6" s="193"/>
      <c r="C6" s="193"/>
      <c r="D6" s="193"/>
      <c r="E6" s="193"/>
      <c r="F6" s="193"/>
      <c r="G6" s="193"/>
      <c r="H6" s="193"/>
      <c r="I6" s="256">
        <v>42643</v>
      </c>
    </row>
    <row r="7" spans="1:21" ht="15.75">
      <c r="B7" s="190"/>
      <c r="C7" s="190"/>
      <c r="D7" s="190"/>
      <c r="E7" s="4"/>
      <c r="F7" s="4"/>
      <c r="G7" s="4"/>
      <c r="H7" s="4"/>
      <c r="J7" s="3"/>
      <c r="K7" s="3"/>
      <c r="L7" s="3"/>
      <c r="M7" s="3"/>
    </row>
    <row r="8" spans="1:21" ht="78.75" customHeight="1">
      <c r="A8" s="269" t="s">
        <v>275</v>
      </c>
      <c r="B8" s="269"/>
      <c r="C8" s="269"/>
      <c r="D8" s="269"/>
      <c r="E8" s="269"/>
      <c r="F8" s="269"/>
      <c r="G8" s="269"/>
      <c r="H8" s="269"/>
      <c r="I8" s="269"/>
      <c r="J8" s="3"/>
      <c r="K8" s="3"/>
      <c r="L8" s="3"/>
      <c r="M8" s="3"/>
    </row>
    <row r="9" spans="1:21" ht="15.75">
      <c r="A9" s="5"/>
      <c r="J9" s="4"/>
      <c r="K9" s="4"/>
      <c r="L9" s="4"/>
      <c r="M9" s="4"/>
    </row>
    <row r="10" spans="1:21" ht="47.25" customHeight="1">
      <c r="A10" s="270" t="s">
        <v>144</v>
      </c>
      <c r="B10" s="270"/>
      <c r="C10" s="270"/>
      <c r="D10" s="270"/>
      <c r="E10" s="270"/>
      <c r="F10" s="270"/>
      <c r="G10" s="270"/>
      <c r="H10" s="270"/>
      <c r="I10" s="270"/>
      <c r="J10" s="6"/>
      <c r="K10" s="6"/>
      <c r="L10" s="6"/>
      <c r="M10" s="6"/>
    </row>
    <row r="11" spans="1:21" ht="15.75" customHeight="1">
      <c r="A11" s="5"/>
      <c r="J11" s="3"/>
      <c r="K11" s="3"/>
      <c r="L11" s="3"/>
      <c r="M11" s="3"/>
    </row>
    <row r="12" spans="1:21" ht="51">
      <c r="A12" s="7" t="s">
        <v>0</v>
      </c>
      <c r="B12" s="7" t="s">
        <v>1</v>
      </c>
      <c r="C12" s="7" t="s">
        <v>2</v>
      </c>
      <c r="D12" s="7" t="s">
        <v>20</v>
      </c>
      <c r="E12" s="7" t="s">
        <v>21</v>
      </c>
      <c r="F12" s="7"/>
      <c r="G12" s="7" t="s">
        <v>25</v>
      </c>
      <c r="H12" s="7"/>
      <c r="I12" s="7" t="s">
        <v>3</v>
      </c>
      <c r="J12" s="4"/>
    </row>
    <row r="13" spans="1:21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21">
      <c r="A14" s="271" t="s">
        <v>4</v>
      </c>
      <c r="B14" s="272"/>
      <c r="C14" s="272"/>
      <c r="D14" s="272"/>
      <c r="E14" s="272"/>
      <c r="F14" s="272"/>
      <c r="G14" s="272"/>
      <c r="H14" s="272"/>
      <c r="I14" s="273"/>
      <c r="Q14" s="205"/>
      <c r="R14" s="205"/>
      <c r="S14" s="205"/>
      <c r="T14" s="205"/>
      <c r="U14" s="205"/>
    </row>
    <row r="15" spans="1:21" ht="30" customHeight="1">
      <c r="A15" s="210">
        <v>1</v>
      </c>
      <c r="B15" s="176" t="s">
        <v>117</v>
      </c>
      <c r="C15" s="211" t="s">
        <v>145</v>
      </c>
      <c r="D15" s="176" t="s">
        <v>180</v>
      </c>
      <c r="E15" s="212">
        <v>70.900000000000006</v>
      </c>
      <c r="F15" s="213">
        <f>SUM(E15*156/100)</f>
        <v>110.60400000000001</v>
      </c>
      <c r="G15" s="213">
        <v>175.38</v>
      </c>
      <c r="H15" s="214">
        <f t="shared" ref="H15:H24" si="0">SUM(F15*G15/1000)</f>
        <v>19.397729520000002</v>
      </c>
      <c r="I15" s="21">
        <f>F15/12*G15</f>
        <v>1616.4774600000001</v>
      </c>
      <c r="J15" s="200"/>
      <c r="K15" s="201"/>
      <c r="L15" s="201"/>
      <c r="M15" s="201"/>
      <c r="N15" s="201"/>
      <c r="O15" s="201"/>
      <c r="P15" s="201"/>
      <c r="Q15" s="201"/>
      <c r="R15" s="201"/>
      <c r="S15" s="201"/>
      <c r="T15" s="205"/>
      <c r="U15" s="205"/>
    </row>
    <row r="16" spans="1:21" ht="30" customHeight="1">
      <c r="A16" s="210">
        <v>2</v>
      </c>
      <c r="B16" s="176" t="s">
        <v>118</v>
      </c>
      <c r="C16" s="211" t="s">
        <v>145</v>
      </c>
      <c r="D16" s="176" t="s">
        <v>181</v>
      </c>
      <c r="E16" s="212">
        <v>212.7</v>
      </c>
      <c r="F16" s="213">
        <f>SUM(E16*104/100)</f>
        <v>221.208</v>
      </c>
      <c r="G16" s="213">
        <v>175.38</v>
      </c>
      <c r="H16" s="214">
        <f t="shared" si="0"/>
        <v>38.795459040000004</v>
      </c>
      <c r="I16" s="21">
        <f>F16/12*G16</f>
        <v>3232.9549200000001</v>
      </c>
      <c r="J16" s="200"/>
      <c r="K16" s="201"/>
      <c r="L16" s="201"/>
      <c r="M16" s="201"/>
      <c r="N16" s="201"/>
      <c r="O16" s="201"/>
      <c r="P16" s="201"/>
      <c r="Q16" s="201"/>
      <c r="R16" s="201"/>
      <c r="S16" s="201"/>
      <c r="T16" s="205"/>
      <c r="U16" s="205"/>
    </row>
    <row r="17" spans="1:21" ht="30" customHeight="1">
      <c r="A17" s="210">
        <v>3</v>
      </c>
      <c r="B17" s="176" t="s">
        <v>119</v>
      </c>
      <c r="C17" s="211" t="s">
        <v>145</v>
      </c>
      <c r="D17" s="176" t="s">
        <v>217</v>
      </c>
      <c r="E17" s="212">
        <f>SUM(E15+E16)</f>
        <v>283.60000000000002</v>
      </c>
      <c r="F17" s="213">
        <f>SUM(E17*24/100)</f>
        <v>68.064000000000007</v>
      </c>
      <c r="G17" s="213">
        <v>504.5</v>
      </c>
      <c r="H17" s="214">
        <f t="shared" si="0"/>
        <v>34.338287999999999</v>
      </c>
      <c r="I17" s="21">
        <f>F17/12*G17</f>
        <v>2861.5240000000003</v>
      </c>
      <c r="J17" s="200"/>
      <c r="K17" s="201"/>
      <c r="L17" s="201"/>
      <c r="M17" s="201"/>
      <c r="N17" s="201"/>
      <c r="O17" s="201"/>
      <c r="P17" s="201"/>
      <c r="Q17" s="201"/>
      <c r="R17" s="201"/>
      <c r="S17" s="201"/>
      <c r="T17" s="205"/>
      <c r="U17" s="205"/>
    </row>
    <row r="18" spans="1:21" hidden="1">
      <c r="A18" s="210">
        <v>4</v>
      </c>
      <c r="B18" s="176" t="s">
        <v>149</v>
      </c>
      <c r="C18" s="211" t="s">
        <v>150</v>
      </c>
      <c r="D18" s="176" t="s">
        <v>151</v>
      </c>
      <c r="E18" s="212">
        <v>40</v>
      </c>
      <c r="F18" s="213">
        <f>SUM(E18/10)</f>
        <v>4</v>
      </c>
      <c r="G18" s="213">
        <v>170.16</v>
      </c>
      <c r="H18" s="214">
        <f t="shared" si="0"/>
        <v>0.68064000000000002</v>
      </c>
      <c r="I18" s="21">
        <f>F18/2*G18</f>
        <v>340.32</v>
      </c>
      <c r="J18" s="200"/>
      <c r="K18" s="201"/>
      <c r="L18" s="201"/>
      <c r="M18" s="201"/>
      <c r="N18" s="201"/>
      <c r="O18" s="201"/>
      <c r="P18" s="201"/>
      <c r="Q18" s="201"/>
      <c r="R18" s="201"/>
      <c r="S18" s="201"/>
      <c r="T18" s="205"/>
      <c r="U18" s="205"/>
    </row>
    <row r="19" spans="1:21" hidden="1">
      <c r="A19" s="210">
        <v>5</v>
      </c>
      <c r="B19" s="176" t="s">
        <v>152</v>
      </c>
      <c r="C19" s="211" t="s">
        <v>145</v>
      </c>
      <c r="D19" s="176" t="s">
        <v>66</v>
      </c>
      <c r="E19" s="212">
        <v>10.5</v>
      </c>
      <c r="F19" s="213">
        <f t="shared" ref="F19:F24" si="1">SUM(E19/100)</f>
        <v>0.105</v>
      </c>
      <c r="G19" s="213">
        <v>217.88</v>
      </c>
      <c r="H19" s="214">
        <f t="shared" si="0"/>
        <v>2.2877399999999999E-2</v>
      </c>
      <c r="I19" s="21">
        <f t="shared" ref="I19:I24" si="2">F19*G19</f>
        <v>22.877399999999998</v>
      </c>
      <c r="J19" s="200"/>
      <c r="K19" s="201"/>
      <c r="L19" s="201"/>
      <c r="M19" s="201"/>
      <c r="N19" s="201"/>
      <c r="O19" s="201"/>
      <c r="P19" s="201"/>
      <c r="Q19" s="201"/>
      <c r="R19" s="201"/>
      <c r="S19" s="201"/>
      <c r="T19" s="205"/>
      <c r="U19" s="205"/>
    </row>
    <row r="20" spans="1:21" hidden="1">
      <c r="A20" s="210">
        <v>6</v>
      </c>
      <c r="B20" s="176" t="s">
        <v>153</v>
      </c>
      <c r="C20" s="211" t="s">
        <v>145</v>
      </c>
      <c r="D20" s="176" t="s">
        <v>66</v>
      </c>
      <c r="E20" s="212">
        <v>2.7</v>
      </c>
      <c r="F20" s="213">
        <f t="shared" si="1"/>
        <v>2.7000000000000003E-2</v>
      </c>
      <c r="G20" s="213">
        <v>216.12</v>
      </c>
      <c r="H20" s="214">
        <f t="shared" si="0"/>
        <v>5.8352400000000002E-3</v>
      </c>
      <c r="I20" s="21">
        <f t="shared" si="2"/>
        <v>5.8352400000000006</v>
      </c>
      <c r="J20" s="200"/>
      <c r="K20" s="201"/>
      <c r="L20" s="201"/>
      <c r="M20" s="201"/>
      <c r="N20" s="201"/>
      <c r="O20" s="201"/>
      <c r="P20" s="201"/>
      <c r="Q20" s="201"/>
      <c r="R20" s="201"/>
      <c r="S20" s="201"/>
      <c r="T20" s="205"/>
      <c r="U20" s="205"/>
    </row>
    <row r="21" spans="1:21" hidden="1">
      <c r="A21" s="210">
        <v>7</v>
      </c>
      <c r="B21" s="176" t="s">
        <v>154</v>
      </c>
      <c r="C21" s="211" t="s">
        <v>65</v>
      </c>
      <c r="D21" s="176" t="s">
        <v>151</v>
      </c>
      <c r="E21" s="212">
        <v>357</v>
      </c>
      <c r="F21" s="213">
        <f t="shared" si="1"/>
        <v>3.57</v>
      </c>
      <c r="G21" s="213">
        <v>269.26</v>
      </c>
      <c r="H21" s="214">
        <f t="shared" si="0"/>
        <v>0.96125819999999984</v>
      </c>
      <c r="I21" s="21">
        <f t="shared" si="2"/>
        <v>961.25819999999987</v>
      </c>
      <c r="J21" s="200"/>
      <c r="K21" s="201"/>
      <c r="L21" s="201"/>
      <c r="M21" s="201"/>
      <c r="N21" s="201"/>
      <c r="O21" s="201"/>
      <c r="P21" s="201"/>
      <c r="Q21" s="201"/>
      <c r="R21" s="201"/>
      <c r="S21" s="201"/>
      <c r="T21" s="205"/>
      <c r="U21" s="205"/>
    </row>
    <row r="22" spans="1:21" hidden="1">
      <c r="A22" s="210">
        <v>8</v>
      </c>
      <c r="B22" s="176" t="s">
        <v>155</v>
      </c>
      <c r="C22" s="211" t="s">
        <v>65</v>
      </c>
      <c r="D22" s="176" t="s">
        <v>151</v>
      </c>
      <c r="E22" s="216">
        <v>38.64</v>
      </c>
      <c r="F22" s="213">
        <f t="shared" si="1"/>
        <v>0.38640000000000002</v>
      </c>
      <c r="G22" s="213">
        <v>44.29</v>
      </c>
      <c r="H22" s="214">
        <f t="shared" si="0"/>
        <v>1.7113655999999998E-2</v>
      </c>
      <c r="I22" s="21">
        <f t="shared" si="2"/>
        <v>17.113655999999999</v>
      </c>
      <c r="J22" s="200"/>
      <c r="K22" s="201"/>
      <c r="L22" s="201"/>
      <c r="M22" s="201"/>
      <c r="N22" s="201"/>
      <c r="O22" s="201"/>
      <c r="P22" s="201"/>
      <c r="Q22" s="201"/>
      <c r="R22" s="201"/>
      <c r="S22" s="201"/>
      <c r="T22" s="205"/>
      <c r="U22" s="205"/>
    </row>
    <row r="23" spans="1:21" hidden="1">
      <c r="A23" s="210">
        <v>9</v>
      </c>
      <c r="B23" s="176" t="s">
        <v>156</v>
      </c>
      <c r="C23" s="211" t="s">
        <v>65</v>
      </c>
      <c r="D23" s="217" t="s">
        <v>151</v>
      </c>
      <c r="E23" s="27">
        <v>15</v>
      </c>
      <c r="F23" s="218">
        <f t="shared" si="1"/>
        <v>0.15</v>
      </c>
      <c r="G23" s="213">
        <v>389.72</v>
      </c>
      <c r="H23" s="214">
        <f t="shared" si="0"/>
        <v>5.8457999999999996E-2</v>
      </c>
      <c r="I23" s="21">
        <f t="shared" si="2"/>
        <v>58.457999999999998</v>
      </c>
      <c r="J23" s="200"/>
      <c r="K23" s="201"/>
      <c r="L23" s="201"/>
      <c r="M23" s="201"/>
      <c r="N23" s="201"/>
      <c r="O23" s="201"/>
      <c r="P23" s="201"/>
      <c r="Q23" s="201"/>
      <c r="R23" s="201"/>
      <c r="S23" s="201"/>
      <c r="T23" s="205"/>
      <c r="U23" s="205"/>
    </row>
    <row r="24" spans="1:21" hidden="1">
      <c r="A24" s="210">
        <v>10</v>
      </c>
      <c r="B24" s="176" t="s">
        <v>157</v>
      </c>
      <c r="C24" s="211" t="s">
        <v>65</v>
      </c>
      <c r="D24" s="176" t="s">
        <v>151</v>
      </c>
      <c r="E24" s="219">
        <v>6.38</v>
      </c>
      <c r="F24" s="213">
        <f t="shared" si="1"/>
        <v>6.3799999999999996E-2</v>
      </c>
      <c r="G24" s="213">
        <v>520.79999999999995</v>
      </c>
      <c r="H24" s="214">
        <f t="shared" si="0"/>
        <v>3.3227039999999992E-2</v>
      </c>
      <c r="I24" s="21">
        <f t="shared" si="2"/>
        <v>33.227039999999995</v>
      </c>
      <c r="J24" s="200"/>
      <c r="K24" s="201"/>
      <c r="L24" s="201"/>
      <c r="M24" s="201"/>
      <c r="N24" s="201"/>
      <c r="O24" s="201"/>
      <c r="P24" s="201"/>
      <c r="Q24" s="201"/>
      <c r="R24" s="201"/>
      <c r="S24" s="201"/>
      <c r="T24" s="205"/>
      <c r="U24" s="205"/>
    </row>
    <row r="25" spans="1:21" ht="15" customHeight="1">
      <c r="A25" s="210">
        <v>4</v>
      </c>
      <c r="B25" s="176" t="s">
        <v>79</v>
      </c>
      <c r="C25" s="211" t="s">
        <v>37</v>
      </c>
      <c r="D25" s="176" t="s">
        <v>182</v>
      </c>
      <c r="E25" s="212">
        <v>0.1</v>
      </c>
      <c r="F25" s="213">
        <f>SUM(E25*365)</f>
        <v>36.5</v>
      </c>
      <c r="G25" s="213">
        <v>147.03</v>
      </c>
      <c r="H25" s="214">
        <f>SUM(F25*G25/1000)</f>
        <v>5.3665950000000002</v>
      </c>
      <c r="I25" s="21">
        <f>F25/12*G25</f>
        <v>447.21625</v>
      </c>
      <c r="J25" s="200"/>
      <c r="K25" s="201"/>
      <c r="L25" s="201"/>
      <c r="M25" s="201"/>
      <c r="N25" s="201"/>
      <c r="O25" s="201"/>
      <c r="P25" s="201"/>
      <c r="Q25" s="201"/>
      <c r="R25" s="201"/>
      <c r="S25" s="201"/>
      <c r="T25" s="205"/>
      <c r="U25" s="205"/>
    </row>
    <row r="26" spans="1:21" ht="15" customHeight="1">
      <c r="A26" s="210">
        <v>5</v>
      </c>
      <c r="B26" s="220" t="s">
        <v>26</v>
      </c>
      <c r="C26" s="211" t="s">
        <v>27</v>
      </c>
      <c r="D26" s="220" t="s">
        <v>183</v>
      </c>
      <c r="E26" s="212">
        <v>2549.5</v>
      </c>
      <c r="F26" s="213">
        <f>SUM(E26*12)</f>
        <v>30594</v>
      </c>
      <c r="G26" s="213">
        <v>4.95</v>
      </c>
      <c r="H26" s="214">
        <f>SUM(F26*G26/1000)</f>
        <v>151.44030000000001</v>
      </c>
      <c r="I26" s="21">
        <f>F26/12*G26</f>
        <v>12620.025</v>
      </c>
      <c r="J26" s="200"/>
      <c r="K26" s="201"/>
      <c r="L26" s="201"/>
      <c r="M26" s="201"/>
      <c r="N26" s="201"/>
      <c r="O26" s="201"/>
      <c r="P26" s="201"/>
      <c r="Q26" s="201"/>
      <c r="R26" s="201"/>
      <c r="S26" s="201"/>
      <c r="T26" s="205"/>
      <c r="U26" s="205"/>
    </row>
    <row r="27" spans="1:21" ht="15" customHeight="1">
      <c r="A27" s="274" t="s">
        <v>218</v>
      </c>
      <c r="B27" s="282"/>
      <c r="C27" s="282"/>
      <c r="D27" s="282"/>
      <c r="E27" s="282"/>
      <c r="F27" s="282"/>
      <c r="G27" s="282"/>
      <c r="H27" s="282"/>
      <c r="I27" s="283"/>
      <c r="J27" s="200"/>
      <c r="K27" s="201"/>
      <c r="L27" s="201"/>
      <c r="M27" s="201"/>
      <c r="N27" s="201"/>
      <c r="O27" s="201"/>
      <c r="P27" s="201"/>
      <c r="Q27" s="201"/>
      <c r="R27" s="201"/>
      <c r="S27" s="201"/>
      <c r="T27" s="205"/>
      <c r="U27" s="205"/>
    </row>
    <row r="28" spans="1:21" ht="30" customHeight="1">
      <c r="A28" s="210">
        <v>6</v>
      </c>
      <c r="B28" s="176" t="s">
        <v>184</v>
      </c>
      <c r="C28" s="211" t="s">
        <v>185</v>
      </c>
      <c r="D28" s="176" t="s">
        <v>186</v>
      </c>
      <c r="E28" s="213">
        <v>704.3</v>
      </c>
      <c r="F28" s="213">
        <f>SUM(E28*52/1000)</f>
        <v>36.623599999999996</v>
      </c>
      <c r="G28" s="213">
        <v>155.88999999999999</v>
      </c>
      <c r="H28" s="214">
        <f t="shared" ref="H28:H33" si="3">SUM(F28*G28/1000)</f>
        <v>5.7092530039999989</v>
      </c>
      <c r="I28" s="21">
        <f>F28/6*G28</f>
        <v>951.54216733333317</v>
      </c>
      <c r="J28" s="200"/>
      <c r="K28" s="201"/>
      <c r="L28" s="201"/>
      <c r="M28" s="201"/>
      <c r="N28" s="201"/>
      <c r="O28" s="201"/>
      <c r="P28" s="201"/>
      <c r="Q28" s="201"/>
      <c r="R28" s="201"/>
      <c r="S28" s="201"/>
      <c r="T28" s="205"/>
      <c r="U28" s="205"/>
    </row>
    <row r="29" spans="1:21" ht="30" customHeight="1">
      <c r="A29" s="210">
        <v>7</v>
      </c>
      <c r="B29" s="176" t="s">
        <v>187</v>
      </c>
      <c r="C29" s="211" t="s">
        <v>185</v>
      </c>
      <c r="D29" s="176" t="s">
        <v>188</v>
      </c>
      <c r="E29" s="213">
        <v>70.430000000000007</v>
      </c>
      <c r="F29" s="213">
        <f>SUM(E29*78/1000)</f>
        <v>5.4935400000000012</v>
      </c>
      <c r="G29" s="213">
        <v>258.63</v>
      </c>
      <c r="H29" s="214">
        <f t="shared" si="3"/>
        <v>1.4207942502000004</v>
      </c>
      <c r="I29" s="21">
        <f t="shared" ref="I29" si="4">F29/6*G29</f>
        <v>236.79904170000006</v>
      </c>
      <c r="J29" s="200"/>
      <c r="K29" s="201"/>
      <c r="L29" s="201"/>
      <c r="M29" s="201"/>
      <c r="N29" s="201"/>
      <c r="O29" s="201"/>
      <c r="P29" s="201"/>
      <c r="Q29" s="201"/>
      <c r="R29" s="201"/>
      <c r="S29" s="201"/>
      <c r="T29" s="205"/>
      <c r="U29" s="205"/>
    </row>
    <row r="30" spans="1:21" ht="15.75" hidden="1" customHeight="1">
      <c r="A30" s="210">
        <v>15</v>
      </c>
      <c r="B30" s="176" t="s">
        <v>32</v>
      </c>
      <c r="C30" s="211" t="s">
        <v>185</v>
      </c>
      <c r="D30" s="176" t="s">
        <v>66</v>
      </c>
      <c r="E30" s="213">
        <v>704.3</v>
      </c>
      <c r="F30" s="213">
        <f>SUM(E30/1000)</f>
        <v>0.70429999999999993</v>
      </c>
      <c r="G30" s="213">
        <v>3020.33</v>
      </c>
      <c r="H30" s="214">
        <f t="shared" si="3"/>
        <v>2.1272184189999996</v>
      </c>
      <c r="I30" s="21">
        <f>F30*G30</f>
        <v>2127.2184189999998</v>
      </c>
      <c r="J30" s="200"/>
      <c r="K30" s="201"/>
      <c r="L30" s="201"/>
      <c r="M30" s="201"/>
      <c r="N30" s="201"/>
      <c r="O30" s="201"/>
      <c r="P30" s="201"/>
      <c r="Q30" s="201"/>
      <c r="R30" s="201"/>
      <c r="S30" s="201"/>
      <c r="T30" s="205"/>
      <c r="U30" s="205"/>
    </row>
    <row r="31" spans="1:21" ht="15.75" customHeight="1">
      <c r="A31" s="210">
        <v>8</v>
      </c>
      <c r="B31" s="176" t="s">
        <v>189</v>
      </c>
      <c r="C31" s="211" t="s">
        <v>35</v>
      </c>
      <c r="D31" s="176" t="s">
        <v>78</v>
      </c>
      <c r="E31" s="221">
        <v>0.33333333333333331</v>
      </c>
      <c r="F31" s="213">
        <f>155/3</f>
        <v>51.666666666666664</v>
      </c>
      <c r="G31" s="213">
        <v>56.69</v>
      </c>
      <c r="H31" s="214">
        <f>SUM(G31*155/3/1000)</f>
        <v>2.9289833333333331</v>
      </c>
      <c r="I31" s="21">
        <f>F31/6*G31</f>
        <v>488.16388888888883</v>
      </c>
      <c r="J31" s="200"/>
      <c r="K31" s="201"/>
      <c r="L31" s="201"/>
      <c r="M31" s="201"/>
      <c r="N31" s="201"/>
      <c r="O31" s="201"/>
      <c r="P31" s="201"/>
      <c r="Q31" s="201"/>
      <c r="R31" s="201"/>
      <c r="S31" s="201"/>
      <c r="T31" s="205"/>
      <c r="U31" s="205"/>
    </row>
    <row r="32" spans="1:21" ht="15" hidden="1" customHeight="1">
      <c r="A32" s="210">
        <v>17</v>
      </c>
      <c r="B32" s="176" t="s">
        <v>80</v>
      </c>
      <c r="C32" s="211" t="s">
        <v>37</v>
      </c>
      <c r="D32" s="176" t="s">
        <v>81</v>
      </c>
      <c r="E32" s="212"/>
      <c r="F32" s="213">
        <v>3</v>
      </c>
      <c r="G32" s="213">
        <v>191.32</v>
      </c>
      <c r="H32" s="214">
        <f t="shared" si="3"/>
        <v>0.57396000000000003</v>
      </c>
      <c r="I32" s="21">
        <v>0</v>
      </c>
      <c r="J32" s="200"/>
      <c r="K32" s="201"/>
      <c r="L32" s="201"/>
      <c r="M32" s="201"/>
      <c r="N32" s="201"/>
      <c r="O32" s="201"/>
      <c r="P32" s="201"/>
      <c r="Q32" s="201"/>
      <c r="R32" s="201"/>
      <c r="S32" s="201"/>
      <c r="T32" s="205"/>
      <c r="U32" s="205"/>
    </row>
    <row r="33" spans="1:21" ht="15" hidden="1" customHeight="1">
      <c r="A33" s="210">
        <v>16</v>
      </c>
      <c r="B33" s="176" t="s">
        <v>190</v>
      </c>
      <c r="C33" s="211" t="s">
        <v>36</v>
      </c>
      <c r="D33" s="176" t="s">
        <v>81</v>
      </c>
      <c r="E33" s="212"/>
      <c r="F33" s="213">
        <v>2</v>
      </c>
      <c r="G33" s="213">
        <v>1136.33</v>
      </c>
      <c r="H33" s="214">
        <f t="shared" si="3"/>
        <v>2.2726599999999997</v>
      </c>
      <c r="I33" s="21">
        <v>0</v>
      </c>
      <c r="J33" s="200"/>
      <c r="K33" s="201"/>
      <c r="L33" s="201"/>
      <c r="M33" s="201"/>
      <c r="N33" s="201"/>
      <c r="O33" s="201"/>
      <c r="P33" s="201"/>
      <c r="Q33" s="201"/>
      <c r="R33" s="201"/>
      <c r="S33" s="201"/>
      <c r="T33" s="205"/>
      <c r="U33" s="205"/>
    </row>
    <row r="34" spans="1:21" ht="15" hidden="1" customHeight="1">
      <c r="A34" s="274" t="s">
        <v>220</v>
      </c>
      <c r="B34" s="282"/>
      <c r="C34" s="282"/>
      <c r="D34" s="282"/>
      <c r="E34" s="282"/>
      <c r="F34" s="282"/>
      <c r="G34" s="282"/>
      <c r="H34" s="282"/>
      <c r="I34" s="283"/>
      <c r="J34" s="200"/>
      <c r="K34" s="201"/>
      <c r="L34" s="201"/>
      <c r="M34" s="201"/>
      <c r="N34" s="201"/>
      <c r="O34" s="201"/>
      <c r="P34" s="201"/>
      <c r="Q34" s="201"/>
      <c r="R34" s="201"/>
      <c r="S34" s="201"/>
      <c r="T34" s="205"/>
      <c r="U34" s="205"/>
    </row>
    <row r="35" spans="1:21" ht="15" hidden="1" customHeight="1">
      <c r="A35" s="210">
        <v>6</v>
      </c>
      <c r="B35" s="176" t="s">
        <v>30</v>
      </c>
      <c r="C35" s="211" t="s">
        <v>36</v>
      </c>
      <c r="D35" s="176"/>
      <c r="E35" s="212"/>
      <c r="F35" s="213">
        <v>8</v>
      </c>
      <c r="G35" s="213">
        <v>1527.22</v>
      </c>
      <c r="H35" s="214">
        <f t="shared" ref="H35:H42" si="5">SUM(F35*G35/1000)</f>
        <v>12.21776</v>
      </c>
      <c r="I35" s="21">
        <f>F35/6*G35</f>
        <v>2036.2933333333333</v>
      </c>
      <c r="J35" s="200"/>
      <c r="K35" s="201"/>
      <c r="L35" s="201"/>
      <c r="M35" s="201"/>
      <c r="N35" s="201"/>
      <c r="O35" s="201"/>
      <c r="P35" s="201"/>
      <c r="Q35" s="201"/>
      <c r="R35" s="201"/>
      <c r="S35" s="201"/>
      <c r="T35" s="205"/>
      <c r="U35" s="205"/>
    </row>
    <row r="36" spans="1:21" ht="15" hidden="1" customHeight="1">
      <c r="A36" s="210">
        <v>7</v>
      </c>
      <c r="B36" s="176" t="s">
        <v>191</v>
      </c>
      <c r="C36" s="211" t="s">
        <v>33</v>
      </c>
      <c r="D36" s="176" t="s">
        <v>192</v>
      </c>
      <c r="E36" s="212">
        <v>315</v>
      </c>
      <c r="F36" s="213">
        <f>E36*12/1000</f>
        <v>3.78</v>
      </c>
      <c r="G36" s="213">
        <v>2102.71</v>
      </c>
      <c r="H36" s="214">
        <f>G36*F36/1000</f>
        <v>7.9482437999999993</v>
      </c>
      <c r="I36" s="21">
        <f>F36/6*G36</f>
        <v>1324.7073</v>
      </c>
      <c r="J36" s="200"/>
      <c r="K36" s="201"/>
      <c r="L36" s="201"/>
      <c r="M36" s="201"/>
      <c r="N36" s="201"/>
      <c r="O36" s="201"/>
      <c r="P36" s="201"/>
      <c r="Q36" s="201"/>
      <c r="R36" s="201"/>
      <c r="S36" s="201"/>
      <c r="T36" s="205"/>
      <c r="U36" s="205"/>
    </row>
    <row r="37" spans="1:21" ht="15" hidden="1" customHeight="1">
      <c r="A37" s="210">
        <v>8</v>
      </c>
      <c r="B37" s="176" t="s">
        <v>193</v>
      </c>
      <c r="C37" s="211" t="s">
        <v>33</v>
      </c>
      <c r="D37" s="176" t="s">
        <v>194</v>
      </c>
      <c r="E37" s="212">
        <v>70.430000000000007</v>
      </c>
      <c r="F37" s="213">
        <f>E37*30/1000</f>
        <v>2.1129000000000002</v>
      </c>
      <c r="G37" s="213">
        <v>2102.71</v>
      </c>
      <c r="H37" s="214">
        <f>G37*F37/1000</f>
        <v>4.4428159590000007</v>
      </c>
      <c r="I37" s="21">
        <f>F37/6*G37</f>
        <v>740.46932650000008</v>
      </c>
      <c r="J37" s="200"/>
      <c r="K37" s="201"/>
      <c r="L37" s="201"/>
      <c r="M37" s="201"/>
      <c r="N37" s="201"/>
      <c r="O37" s="201"/>
      <c r="P37" s="201"/>
      <c r="Q37" s="201"/>
      <c r="R37" s="201"/>
      <c r="S37" s="201"/>
      <c r="T37" s="205"/>
      <c r="U37" s="205"/>
    </row>
    <row r="38" spans="1:21" ht="15" hidden="1" customHeight="1">
      <c r="A38" s="210">
        <v>9</v>
      </c>
      <c r="B38" s="176" t="s">
        <v>195</v>
      </c>
      <c r="C38" s="211" t="s">
        <v>196</v>
      </c>
      <c r="D38" s="176" t="s">
        <v>81</v>
      </c>
      <c r="E38" s="212"/>
      <c r="F38" s="213">
        <v>80</v>
      </c>
      <c r="G38" s="213">
        <v>213.2</v>
      </c>
      <c r="H38" s="214">
        <f>G38*F38/1000</f>
        <v>17.056000000000001</v>
      </c>
      <c r="I38" s="21">
        <v>0</v>
      </c>
      <c r="J38" s="200"/>
      <c r="K38" s="201"/>
      <c r="L38" s="201"/>
      <c r="M38" s="201"/>
      <c r="N38" s="201"/>
      <c r="O38" s="201"/>
      <c r="P38" s="201"/>
      <c r="Q38" s="201"/>
      <c r="R38" s="201"/>
      <c r="S38" s="201"/>
      <c r="T38" s="205"/>
      <c r="U38" s="205"/>
    </row>
    <row r="39" spans="1:21" ht="15" hidden="1" customHeight="1">
      <c r="A39" s="210">
        <v>9</v>
      </c>
      <c r="B39" s="176" t="s">
        <v>83</v>
      </c>
      <c r="C39" s="211" t="s">
        <v>33</v>
      </c>
      <c r="D39" s="176" t="s">
        <v>197</v>
      </c>
      <c r="E39" s="213">
        <v>70.430000000000007</v>
      </c>
      <c r="F39" s="213">
        <f>SUM(E39*155/1000)</f>
        <v>10.916650000000001</v>
      </c>
      <c r="G39" s="213">
        <v>350.75</v>
      </c>
      <c r="H39" s="214">
        <f t="shared" si="5"/>
        <v>3.8290149875000004</v>
      </c>
      <c r="I39" s="21">
        <f>F39/6*G39</f>
        <v>638.16916458333344</v>
      </c>
      <c r="J39" s="200"/>
      <c r="K39" s="201"/>
      <c r="L39" s="201"/>
      <c r="M39" s="201"/>
      <c r="N39" s="201"/>
      <c r="O39" s="201"/>
      <c r="P39" s="201"/>
      <c r="Q39" s="201"/>
      <c r="R39" s="201"/>
      <c r="S39" s="201"/>
      <c r="T39" s="205"/>
      <c r="U39" s="205"/>
    </row>
    <row r="40" spans="1:21" ht="45" hidden="1" customHeight="1">
      <c r="A40" s="210">
        <v>10</v>
      </c>
      <c r="B40" s="176" t="s">
        <v>106</v>
      </c>
      <c r="C40" s="211" t="s">
        <v>185</v>
      </c>
      <c r="D40" s="176" t="s">
        <v>198</v>
      </c>
      <c r="E40" s="213">
        <v>70.430000000000007</v>
      </c>
      <c r="F40" s="213">
        <f>SUM(E40*24/1000)</f>
        <v>1.6903200000000003</v>
      </c>
      <c r="G40" s="213">
        <v>5803.28</v>
      </c>
      <c r="H40" s="214">
        <f t="shared" si="5"/>
        <v>9.8094002496000012</v>
      </c>
      <c r="I40" s="21">
        <f>F40/6*G40</f>
        <v>1634.9000416000001</v>
      </c>
      <c r="J40" s="200"/>
      <c r="K40" s="201"/>
      <c r="L40" s="201"/>
      <c r="M40" s="201"/>
      <c r="N40" s="201"/>
      <c r="O40" s="201"/>
      <c r="P40" s="201"/>
      <c r="Q40" s="201"/>
      <c r="R40" s="201"/>
      <c r="S40" s="201"/>
      <c r="T40" s="205"/>
      <c r="U40" s="205"/>
    </row>
    <row r="41" spans="1:21" ht="15" hidden="1" customHeight="1">
      <c r="A41" s="210">
        <v>11</v>
      </c>
      <c r="B41" s="176" t="s">
        <v>199</v>
      </c>
      <c r="C41" s="211" t="s">
        <v>185</v>
      </c>
      <c r="D41" s="176" t="s">
        <v>84</v>
      </c>
      <c r="E41" s="213">
        <v>70.430000000000007</v>
      </c>
      <c r="F41" s="213">
        <f>SUM(E41*45/1000)</f>
        <v>3.1693500000000006</v>
      </c>
      <c r="G41" s="213">
        <v>428.7</v>
      </c>
      <c r="H41" s="214">
        <f t="shared" si="5"/>
        <v>1.3587003450000001</v>
      </c>
      <c r="I41" s="21">
        <f>F41/6*G41</f>
        <v>226.45005750000001</v>
      </c>
      <c r="J41" s="200"/>
      <c r="K41" s="201"/>
      <c r="L41" s="201"/>
      <c r="M41" s="201"/>
      <c r="N41" s="201"/>
      <c r="O41" s="201"/>
      <c r="P41" s="201"/>
      <c r="Q41" s="201"/>
      <c r="R41" s="201"/>
      <c r="S41" s="201"/>
      <c r="T41" s="205"/>
      <c r="U41" s="205"/>
    </row>
    <row r="42" spans="1:21" ht="15" hidden="1" customHeight="1">
      <c r="A42" s="210">
        <v>12</v>
      </c>
      <c r="B42" s="176" t="s">
        <v>85</v>
      </c>
      <c r="C42" s="211" t="s">
        <v>37</v>
      </c>
      <c r="D42" s="176"/>
      <c r="E42" s="212"/>
      <c r="F42" s="213">
        <v>0.8</v>
      </c>
      <c r="G42" s="213">
        <v>798</v>
      </c>
      <c r="H42" s="214">
        <f t="shared" si="5"/>
        <v>0.63840000000000008</v>
      </c>
      <c r="I42" s="21">
        <f>F42/6*G42</f>
        <v>106.39999999999999</v>
      </c>
      <c r="J42" s="200"/>
      <c r="K42" s="201"/>
      <c r="L42" s="201"/>
      <c r="M42" s="201"/>
      <c r="N42" s="201"/>
      <c r="O42" s="201"/>
      <c r="P42" s="201"/>
      <c r="Q42" s="201"/>
      <c r="R42" s="201"/>
      <c r="S42" s="201"/>
      <c r="T42" s="205"/>
      <c r="U42" s="205"/>
    </row>
    <row r="43" spans="1:21" ht="15" customHeight="1">
      <c r="A43" s="284" t="s">
        <v>221</v>
      </c>
      <c r="B43" s="285"/>
      <c r="C43" s="285"/>
      <c r="D43" s="285"/>
      <c r="E43" s="285"/>
      <c r="F43" s="285"/>
      <c r="G43" s="285"/>
      <c r="H43" s="285"/>
      <c r="I43" s="286"/>
      <c r="J43" s="200"/>
      <c r="K43" s="201"/>
      <c r="L43" s="201"/>
      <c r="M43" s="201"/>
      <c r="N43" s="201"/>
      <c r="O43" s="201"/>
      <c r="P43" s="201"/>
      <c r="Q43" s="201"/>
      <c r="R43" s="201"/>
      <c r="S43" s="201"/>
      <c r="T43" s="205"/>
      <c r="U43" s="205"/>
    </row>
    <row r="44" spans="1:21" ht="15" customHeight="1">
      <c r="A44" s="210">
        <v>9</v>
      </c>
      <c r="B44" s="176" t="s">
        <v>200</v>
      </c>
      <c r="C44" s="211" t="s">
        <v>185</v>
      </c>
      <c r="D44" s="176" t="s">
        <v>52</v>
      </c>
      <c r="E44" s="212">
        <v>1111.75</v>
      </c>
      <c r="F44" s="213">
        <f>SUM(E44*2/1000)</f>
        <v>2.2235</v>
      </c>
      <c r="G44" s="21">
        <v>809.74</v>
      </c>
      <c r="H44" s="214">
        <f t="shared" ref="H44:H54" si="6">SUM(F44*G44/1000)</f>
        <v>1.8004568900000002</v>
      </c>
      <c r="I44" s="21">
        <f>F44/2*G44</f>
        <v>900.22844500000008</v>
      </c>
      <c r="J44" s="200"/>
      <c r="K44" s="201"/>
      <c r="L44" s="201"/>
      <c r="M44" s="201"/>
      <c r="N44" s="201"/>
      <c r="O44" s="201"/>
      <c r="P44" s="201"/>
      <c r="Q44" s="201"/>
      <c r="R44" s="201"/>
      <c r="S44" s="201"/>
      <c r="T44" s="205"/>
      <c r="U44" s="205"/>
    </row>
    <row r="45" spans="1:21" ht="15" customHeight="1">
      <c r="A45" s="210">
        <v>10</v>
      </c>
      <c r="B45" s="176" t="s">
        <v>41</v>
      </c>
      <c r="C45" s="211" t="s">
        <v>185</v>
      </c>
      <c r="D45" s="176" t="s">
        <v>52</v>
      </c>
      <c r="E45" s="212">
        <v>88</v>
      </c>
      <c r="F45" s="213">
        <f>E45*2/1000</f>
        <v>0.17599999999999999</v>
      </c>
      <c r="G45" s="21">
        <v>579.48</v>
      </c>
      <c r="H45" s="214">
        <f t="shared" si="6"/>
        <v>0.10198847999999999</v>
      </c>
      <c r="I45" s="21">
        <f t="shared" ref="I45:I48" si="7">F45/2*G45</f>
        <v>50.994239999999998</v>
      </c>
      <c r="J45" s="200"/>
      <c r="K45" s="201"/>
      <c r="L45" s="201"/>
      <c r="M45" s="201"/>
      <c r="N45" s="201"/>
      <c r="O45" s="201"/>
      <c r="P45" s="201"/>
      <c r="Q45" s="201"/>
      <c r="R45" s="201"/>
      <c r="S45" s="201"/>
      <c r="T45" s="205"/>
      <c r="U45" s="205"/>
    </row>
    <row r="46" spans="1:21" ht="15" customHeight="1">
      <c r="A46" s="210">
        <v>11</v>
      </c>
      <c r="B46" s="176" t="s">
        <v>42</v>
      </c>
      <c r="C46" s="211" t="s">
        <v>185</v>
      </c>
      <c r="D46" s="176" t="s">
        <v>52</v>
      </c>
      <c r="E46" s="212">
        <v>1250.6199999999999</v>
      </c>
      <c r="F46" s="213">
        <f>SUM(E46*2/1000)</f>
        <v>2.5012399999999997</v>
      </c>
      <c r="G46" s="21">
        <v>579.48</v>
      </c>
      <c r="H46" s="214">
        <f t="shared" si="6"/>
        <v>1.4494185551999998</v>
      </c>
      <c r="I46" s="21">
        <f t="shared" si="7"/>
        <v>724.70927759999995</v>
      </c>
      <c r="J46" s="200"/>
      <c r="K46" s="201"/>
      <c r="L46" s="201"/>
      <c r="M46" s="201"/>
      <c r="N46" s="201"/>
      <c r="O46" s="201"/>
      <c r="P46" s="201"/>
      <c r="Q46" s="201"/>
      <c r="R46" s="201"/>
      <c r="S46" s="201"/>
      <c r="T46" s="205"/>
      <c r="U46" s="205"/>
    </row>
    <row r="47" spans="1:21" ht="15" customHeight="1">
      <c r="A47" s="210">
        <v>12</v>
      </c>
      <c r="B47" s="176" t="s">
        <v>43</v>
      </c>
      <c r="C47" s="211" t="s">
        <v>185</v>
      </c>
      <c r="D47" s="176" t="s">
        <v>52</v>
      </c>
      <c r="E47" s="212">
        <v>1295.68</v>
      </c>
      <c r="F47" s="213">
        <f>SUM(E47*2/1000)</f>
        <v>2.5913600000000003</v>
      </c>
      <c r="G47" s="21">
        <v>606.77</v>
      </c>
      <c r="H47" s="214">
        <f t="shared" si="6"/>
        <v>1.5723595072000001</v>
      </c>
      <c r="I47" s="21">
        <f t="shared" si="7"/>
        <v>786.17975360000003</v>
      </c>
      <c r="J47" s="200"/>
      <c r="K47" s="201"/>
      <c r="L47" s="201"/>
      <c r="M47" s="201"/>
      <c r="N47" s="201"/>
      <c r="O47" s="201"/>
      <c r="P47" s="201"/>
      <c r="Q47" s="201"/>
      <c r="R47" s="201"/>
      <c r="S47" s="201"/>
      <c r="T47" s="205"/>
      <c r="U47" s="205"/>
    </row>
    <row r="48" spans="1:21" ht="15" customHeight="1">
      <c r="A48" s="210">
        <v>13</v>
      </c>
      <c r="B48" s="176" t="s">
        <v>39</v>
      </c>
      <c r="C48" s="211" t="s">
        <v>40</v>
      </c>
      <c r="D48" s="176" t="s">
        <v>52</v>
      </c>
      <c r="E48" s="212">
        <v>85.84</v>
      </c>
      <c r="F48" s="213">
        <f>E48*2/100</f>
        <v>1.7168000000000001</v>
      </c>
      <c r="G48" s="21">
        <v>72.81</v>
      </c>
      <c r="H48" s="214">
        <f>G48*F48/1000</f>
        <v>0.125000208</v>
      </c>
      <c r="I48" s="21">
        <f t="shared" si="7"/>
        <v>62.500104000000007</v>
      </c>
      <c r="J48" s="200"/>
      <c r="K48" s="201"/>
      <c r="L48" s="201"/>
      <c r="M48" s="201"/>
      <c r="N48" s="201"/>
      <c r="O48" s="201"/>
      <c r="P48" s="201"/>
      <c r="Q48" s="201"/>
      <c r="R48" s="201"/>
      <c r="S48" s="201"/>
      <c r="T48" s="205"/>
      <c r="U48" s="205"/>
    </row>
    <row r="49" spans="1:21" ht="30" customHeight="1">
      <c r="A49" s="210">
        <v>14</v>
      </c>
      <c r="B49" s="176" t="s">
        <v>72</v>
      </c>
      <c r="C49" s="211" t="s">
        <v>185</v>
      </c>
      <c r="D49" s="176" t="s">
        <v>219</v>
      </c>
      <c r="E49" s="212">
        <v>897</v>
      </c>
      <c r="F49" s="213">
        <f>SUM(E49*5/1000)</f>
        <v>4.4850000000000003</v>
      </c>
      <c r="G49" s="21">
        <v>1213.55</v>
      </c>
      <c r="H49" s="214">
        <f t="shared" si="6"/>
        <v>5.4427717499999995</v>
      </c>
      <c r="I49" s="21">
        <f>F49/5*G49</f>
        <v>1088.5543499999999</v>
      </c>
      <c r="J49" s="200"/>
      <c r="K49" s="201"/>
      <c r="L49" s="201"/>
      <c r="M49" s="201"/>
      <c r="N49" s="201"/>
      <c r="O49" s="201"/>
      <c r="P49" s="201"/>
      <c r="Q49" s="201"/>
      <c r="R49" s="201"/>
      <c r="S49" s="201"/>
      <c r="T49" s="205"/>
      <c r="U49" s="205"/>
    </row>
    <row r="50" spans="1:21" ht="30" customHeight="1">
      <c r="A50" s="210">
        <v>15</v>
      </c>
      <c r="B50" s="176" t="s">
        <v>201</v>
      </c>
      <c r="C50" s="211" t="s">
        <v>185</v>
      </c>
      <c r="D50" s="176" t="s">
        <v>52</v>
      </c>
      <c r="E50" s="212">
        <v>897</v>
      </c>
      <c r="F50" s="213">
        <f>SUM(E50*2/1000)</f>
        <v>1.794</v>
      </c>
      <c r="G50" s="21">
        <v>1213.55</v>
      </c>
      <c r="H50" s="214">
        <f t="shared" si="6"/>
        <v>2.1771086999999998</v>
      </c>
      <c r="I50" s="21">
        <f>F50/2*G50</f>
        <v>1088.5543499999999</v>
      </c>
      <c r="J50" s="200"/>
      <c r="K50" s="201"/>
      <c r="L50" s="201"/>
      <c r="M50" s="201"/>
      <c r="N50" s="201"/>
      <c r="O50" s="201"/>
      <c r="P50" s="201"/>
      <c r="Q50" s="201"/>
      <c r="R50" s="201"/>
      <c r="S50" s="201"/>
      <c r="T50" s="205"/>
      <c r="U50" s="205"/>
    </row>
    <row r="51" spans="1:21" ht="30" customHeight="1">
      <c r="A51" s="210">
        <v>16</v>
      </c>
      <c r="B51" s="176" t="s">
        <v>202</v>
      </c>
      <c r="C51" s="211" t="s">
        <v>46</v>
      </c>
      <c r="D51" s="176" t="s">
        <v>52</v>
      </c>
      <c r="E51" s="212">
        <v>16</v>
      </c>
      <c r="F51" s="213">
        <f>SUM(E51*2/100)</f>
        <v>0.32</v>
      </c>
      <c r="G51" s="21">
        <v>2730.49</v>
      </c>
      <c r="H51" s="214">
        <f t="shared" si="6"/>
        <v>0.8737568</v>
      </c>
      <c r="I51" s="21">
        <f t="shared" ref="I51:I52" si="8">F51/2*G51</f>
        <v>436.8784</v>
      </c>
      <c r="J51" s="200"/>
      <c r="K51" s="201"/>
      <c r="L51" s="201"/>
      <c r="M51" s="201"/>
      <c r="N51" s="201"/>
      <c r="O51" s="201"/>
      <c r="P51" s="201"/>
      <c r="Q51" s="201"/>
      <c r="R51" s="201"/>
      <c r="S51" s="201"/>
      <c r="T51" s="205"/>
      <c r="U51" s="205"/>
    </row>
    <row r="52" spans="1:21" ht="15.75" customHeight="1">
      <c r="A52" s="210">
        <v>17</v>
      </c>
      <c r="B52" s="176" t="s">
        <v>47</v>
      </c>
      <c r="C52" s="211" t="s">
        <v>48</v>
      </c>
      <c r="D52" s="176" t="s">
        <v>52</v>
      </c>
      <c r="E52" s="212">
        <v>1</v>
      </c>
      <c r="F52" s="213">
        <v>0.02</v>
      </c>
      <c r="G52" s="21">
        <v>5652.13</v>
      </c>
      <c r="H52" s="214">
        <f t="shared" si="6"/>
        <v>0.11304260000000001</v>
      </c>
      <c r="I52" s="21">
        <f t="shared" si="8"/>
        <v>56.521300000000004</v>
      </c>
      <c r="J52" s="200"/>
      <c r="K52" s="201"/>
      <c r="L52" s="201"/>
      <c r="M52" s="201"/>
      <c r="N52" s="201"/>
      <c r="O52" s="201"/>
      <c r="P52" s="201"/>
      <c r="Q52" s="201"/>
      <c r="R52" s="201"/>
      <c r="S52" s="201"/>
      <c r="T52" s="205"/>
      <c r="U52" s="205"/>
    </row>
    <row r="53" spans="1:21" ht="15.75" hidden="1" customHeight="1">
      <c r="A53" s="210">
        <v>14</v>
      </c>
      <c r="B53" s="176" t="s">
        <v>203</v>
      </c>
      <c r="C53" s="211" t="s">
        <v>159</v>
      </c>
      <c r="D53" s="176" t="s">
        <v>86</v>
      </c>
      <c r="E53" s="212">
        <v>64</v>
      </c>
      <c r="F53" s="213">
        <f>E53*3</f>
        <v>192</v>
      </c>
      <c r="G53" s="21">
        <v>141.12</v>
      </c>
      <c r="H53" s="214">
        <f>F53*G53/1000</f>
        <v>27.095040000000001</v>
      </c>
      <c r="I53" s="21">
        <f>E53*G53</f>
        <v>9031.68</v>
      </c>
      <c r="J53" s="200"/>
      <c r="K53" s="201"/>
      <c r="L53" s="201"/>
      <c r="M53" s="201"/>
      <c r="N53" s="201"/>
      <c r="O53" s="201"/>
      <c r="P53" s="201"/>
      <c r="Q53" s="201"/>
      <c r="R53" s="201"/>
      <c r="S53" s="201"/>
      <c r="T53" s="205"/>
      <c r="U53" s="205"/>
    </row>
    <row r="54" spans="1:21" ht="15.75" hidden="1" customHeight="1">
      <c r="A54" s="210">
        <v>15</v>
      </c>
      <c r="B54" s="176" t="s">
        <v>51</v>
      </c>
      <c r="C54" s="211" t="s">
        <v>159</v>
      </c>
      <c r="D54" s="176" t="s">
        <v>86</v>
      </c>
      <c r="E54" s="212">
        <v>128</v>
      </c>
      <c r="F54" s="213">
        <f>SUM(E54)*3</f>
        <v>384</v>
      </c>
      <c r="G54" s="21">
        <v>65.67</v>
      </c>
      <c r="H54" s="214">
        <f t="shared" si="6"/>
        <v>25.217279999999999</v>
      </c>
      <c r="I54" s="21">
        <f>E54*G54</f>
        <v>8405.76</v>
      </c>
      <c r="J54" s="200"/>
      <c r="K54" s="201"/>
      <c r="L54" s="201"/>
      <c r="M54" s="201"/>
      <c r="N54" s="201"/>
      <c r="O54" s="201"/>
      <c r="P54" s="201"/>
      <c r="Q54" s="201"/>
      <c r="R54" s="201"/>
      <c r="S54" s="201"/>
      <c r="T54" s="205"/>
      <c r="U54" s="205"/>
    </row>
    <row r="55" spans="1:21" ht="15.75" customHeight="1">
      <c r="A55" s="274" t="s">
        <v>222</v>
      </c>
      <c r="B55" s="275"/>
      <c r="C55" s="275"/>
      <c r="D55" s="275"/>
      <c r="E55" s="275"/>
      <c r="F55" s="275"/>
      <c r="G55" s="275"/>
      <c r="H55" s="275"/>
      <c r="I55" s="276"/>
      <c r="J55" s="200"/>
      <c r="K55" s="201"/>
      <c r="L55" s="201"/>
      <c r="M55" s="201"/>
      <c r="N55" s="201"/>
      <c r="O55" s="201"/>
      <c r="P55" s="201"/>
      <c r="Q55" s="201"/>
      <c r="R55" s="201"/>
      <c r="S55" s="201"/>
      <c r="T55" s="205"/>
      <c r="U55" s="205"/>
    </row>
    <row r="56" spans="1:21" ht="15" hidden="1" customHeight="1">
      <c r="A56" s="210"/>
      <c r="B56" s="251" t="s">
        <v>53</v>
      </c>
      <c r="C56" s="250"/>
      <c r="D56" s="249"/>
      <c r="E56" s="212"/>
      <c r="F56" s="213"/>
      <c r="G56" s="213"/>
      <c r="H56" s="214"/>
      <c r="I56" s="21"/>
      <c r="J56" s="200"/>
      <c r="K56" s="201"/>
      <c r="L56" s="201"/>
      <c r="M56" s="201"/>
      <c r="N56" s="201"/>
      <c r="O56" s="201"/>
      <c r="P56" s="201"/>
      <c r="Q56" s="201"/>
      <c r="R56" s="201"/>
      <c r="S56" s="201"/>
      <c r="T56" s="205"/>
      <c r="U56" s="205"/>
    </row>
    <row r="57" spans="1:21" ht="30" hidden="1" customHeight="1">
      <c r="A57" s="210">
        <v>16</v>
      </c>
      <c r="B57" s="176" t="s">
        <v>204</v>
      </c>
      <c r="C57" s="211" t="s">
        <v>145</v>
      </c>
      <c r="D57" s="176" t="s">
        <v>205</v>
      </c>
      <c r="E57" s="212">
        <v>123.175</v>
      </c>
      <c r="F57" s="213">
        <f>SUM(E57*6/100)</f>
        <v>7.3904999999999994</v>
      </c>
      <c r="G57" s="21">
        <v>1547.28</v>
      </c>
      <c r="H57" s="214">
        <f>SUM(F57*G57/1000)</f>
        <v>11.43517284</v>
      </c>
      <c r="I57" s="21">
        <f>F57/6*G57</f>
        <v>1905.8621399999997</v>
      </c>
      <c r="J57" s="200"/>
      <c r="K57" s="201"/>
      <c r="L57" s="201"/>
      <c r="M57" s="201"/>
      <c r="N57" s="201"/>
      <c r="O57" s="201"/>
      <c r="P57" s="201"/>
      <c r="Q57" s="201"/>
      <c r="R57" s="201"/>
      <c r="S57" s="201"/>
      <c r="T57" s="205"/>
      <c r="U57" s="205"/>
    </row>
    <row r="58" spans="1:21" ht="15" hidden="1" customHeight="1">
      <c r="A58" s="223"/>
      <c r="B58" s="251" t="s">
        <v>54</v>
      </c>
      <c r="C58" s="250"/>
      <c r="D58" s="249"/>
      <c r="E58" s="226"/>
      <c r="F58" s="227"/>
      <c r="G58" s="21"/>
      <c r="H58" s="228"/>
      <c r="I58" s="21"/>
      <c r="J58" s="200"/>
      <c r="K58" s="201"/>
      <c r="L58" s="201"/>
      <c r="M58" s="201"/>
      <c r="N58" s="201"/>
      <c r="O58" s="201"/>
      <c r="P58" s="201"/>
      <c r="Q58" s="201"/>
      <c r="R58" s="201"/>
      <c r="S58" s="201"/>
      <c r="T58" s="205"/>
      <c r="U58" s="205"/>
    </row>
    <row r="59" spans="1:21" ht="15" hidden="1" customHeight="1">
      <c r="A59" s="223"/>
      <c r="B59" s="225" t="s">
        <v>206</v>
      </c>
      <c r="C59" s="224" t="s">
        <v>65</v>
      </c>
      <c r="D59" s="225" t="s">
        <v>66</v>
      </c>
      <c r="E59" s="226">
        <v>897</v>
      </c>
      <c r="F59" s="227">
        <v>8.9700000000000006</v>
      </c>
      <c r="G59" s="21">
        <v>793.61</v>
      </c>
      <c r="H59" s="228">
        <f>F59*G59/1000</f>
        <v>7.1186817000000007</v>
      </c>
      <c r="I59" s="21">
        <v>0</v>
      </c>
      <c r="J59" s="200"/>
      <c r="K59" s="201"/>
      <c r="L59" s="201"/>
      <c r="M59" s="201"/>
      <c r="N59" s="201"/>
      <c r="O59" s="201"/>
      <c r="P59" s="201"/>
      <c r="Q59" s="201"/>
      <c r="R59" s="201"/>
      <c r="S59" s="201"/>
      <c r="T59" s="205"/>
      <c r="U59" s="205"/>
    </row>
    <row r="60" spans="1:21" ht="15" customHeight="1">
      <c r="A60" s="223"/>
      <c r="B60" s="251" t="s">
        <v>56</v>
      </c>
      <c r="C60" s="250"/>
      <c r="D60" s="250"/>
      <c r="E60" s="226"/>
      <c r="F60" s="229"/>
      <c r="G60" s="229"/>
      <c r="H60" s="227" t="s">
        <v>183</v>
      </c>
      <c r="I60" s="21"/>
      <c r="J60" s="200"/>
      <c r="K60" s="201"/>
      <c r="L60" s="201"/>
      <c r="M60" s="201"/>
      <c r="N60" s="201"/>
      <c r="O60" s="201"/>
      <c r="P60" s="201"/>
      <c r="Q60" s="201"/>
      <c r="R60" s="201"/>
      <c r="S60" s="201"/>
      <c r="T60" s="205"/>
      <c r="U60" s="205"/>
    </row>
    <row r="61" spans="1:21" ht="15" hidden="1" customHeight="1">
      <c r="A61" s="25">
        <v>17</v>
      </c>
      <c r="B61" s="32" t="s">
        <v>57</v>
      </c>
      <c r="C61" s="33" t="s">
        <v>159</v>
      </c>
      <c r="D61" s="252" t="s">
        <v>81</v>
      </c>
      <c r="E61" s="27">
        <v>15</v>
      </c>
      <c r="F61" s="213">
        <v>15</v>
      </c>
      <c r="G61" s="21">
        <v>222.4</v>
      </c>
      <c r="H61" s="215">
        <f t="shared" ref="H61:H74" si="9">SUM(F61*G61/1000)</f>
        <v>3.3359999999999999</v>
      </c>
      <c r="I61" s="21">
        <f>G61*2</f>
        <v>444.8</v>
      </c>
      <c r="J61" s="200"/>
      <c r="K61" s="201"/>
      <c r="L61" s="201"/>
      <c r="M61" s="201"/>
      <c r="N61" s="201"/>
      <c r="O61" s="201"/>
      <c r="P61" s="201"/>
      <c r="Q61" s="201"/>
      <c r="R61" s="201"/>
      <c r="S61" s="201"/>
      <c r="T61" s="205"/>
      <c r="U61" s="205"/>
    </row>
    <row r="62" spans="1:21" ht="15" hidden="1" customHeight="1">
      <c r="A62" s="25"/>
      <c r="B62" s="23" t="s">
        <v>58</v>
      </c>
      <c r="C62" s="25" t="s">
        <v>159</v>
      </c>
      <c r="D62" s="176" t="s">
        <v>81</v>
      </c>
      <c r="E62" s="27">
        <v>5</v>
      </c>
      <c r="F62" s="213">
        <v>5</v>
      </c>
      <c r="G62" s="21">
        <v>76.25</v>
      </c>
      <c r="H62" s="215">
        <f t="shared" si="9"/>
        <v>0.38124999999999998</v>
      </c>
      <c r="I62" s="21">
        <v>0</v>
      </c>
      <c r="J62" s="200"/>
      <c r="K62" s="201"/>
      <c r="L62" s="201"/>
      <c r="M62" s="201"/>
      <c r="N62" s="201"/>
      <c r="O62" s="201"/>
      <c r="P62" s="201"/>
      <c r="Q62" s="201"/>
      <c r="R62" s="201"/>
      <c r="S62" s="201"/>
      <c r="T62" s="205"/>
      <c r="U62" s="205"/>
    </row>
    <row r="63" spans="1:21" ht="15" hidden="1" customHeight="1">
      <c r="A63" s="25">
        <v>23</v>
      </c>
      <c r="B63" s="23" t="s">
        <v>59</v>
      </c>
      <c r="C63" s="25" t="s">
        <v>160</v>
      </c>
      <c r="D63" s="23" t="s">
        <v>66</v>
      </c>
      <c r="E63" s="212">
        <v>10052</v>
      </c>
      <c r="F63" s="21">
        <f>SUM(E63/100)</f>
        <v>100.52</v>
      </c>
      <c r="G63" s="21">
        <v>212.15</v>
      </c>
      <c r="H63" s="215">
        <f t="shared" si="9"/>
        <v>21.325317999999999</v>
      </c>
      <c r="I63" s="21">
        <f>F63*G63</f>
        <v>21325.317999999999</v>
      </c>
      <c r="J63" s="200"/>
      <c r="K63" s="201"/>
      <c r="L63" s="201"/>
      <c r="M63" s="201"/>
      <c r="N63" s="201"/>
      <c r="O63" s="201"/>
      <c r="P63" s="201"/>
      <c r="Q63" s="201"/>
      <c r="R63" s="201"/>
      <c r="S63" s="201"/>
      <c r="T63" s="205"/>
      <c r="U63" s="205"/>
    </row>
    <row r="64" spans="1:21" ht="15" hidden="1" customHeight="1">
      <c r="A64" s="25">
        <v>24</v>
      </c>
      <c r="B64" s="23" t="s">
        <v>60</v>
      </c>
      <c r="C64" s="25" t="s">
        <v>161</v>
      </c>
      <c r="D64" s="23"/>
      <c r="E64" s="212">
        <v>10052</v>
      </c>
      <c r="F64" s="21">
        <f>SUM(E64/1000)</f>
        <v>10.052</v>
      </c>
      <c r="G64" s="21">
        <v>165.21</v>
      </c>
      <c r="H64" s="215">
        <f t="shared" si="9"/>
        <v>1.66069092</v>
      </c>
      <c r="I64" s="21">
        <f t="shared" ref="I64:I67" si="10">F64*G64</f>
        <v>1660.69092</v>
      </c>
      <c r="J64" s="200"/>
      <c r="K64" s="201"/>
      <c r="L64" s="201"/>
      <c r="M64" s="201"/>
      <c r="N64" s="201"/>
      <c r="O64" s="201"/>
      <c r="P64" s="201"/>
      <c r="Q64" s="201"/>
      <c r="R64" s="201"/>
      <c r="S64" s="201"/>
      <c r="T64" s="205"/>
      <c r="U64" s="205"/>
    </row>
    <row r="65" spans="1:21" ht="15" hidden="1" customHeight="1">
      <c r="A65" s="25">
        <v>25</v>
      </c>
      <c r="B65" s="23" t="s">
        <v>61</v>
      </c>
      <c r="C65" s="25" t="s">
        <v>93</v>
      </c>
      <c r="D65" s="23" t="s">
        <v>66</v>
      </c>
      <c r="E65" s="212">
        <v>2200</v>
      </c>
      <c r="F65" s="21">
        <f>SUM(E65/100)</f>
        <v>22</v>
      </c>
      <c r="G65" s="21">
        <v>2074.63</v>
      </c>
      <c r="H65" s="215">
        <f t="shared" si="9"/>
        <v>45.641860000000001</v>
      </c>
      <c r="I65" s="21">
        <f t="shared" si="10"/>
        <v>45641.86</v>
      </c>
      <c r="J65" s="200"/>
      <c r="K65" s="201"/>
      <c r="L65" s="201"/>
      <c r="M65" s="201"/>
      <c r="N65" s="201"/>
      <c r="O65" s="201"/>
      <c r="P65" s="201"/>
      <c r="Q65" s="201"/>
      <c r="R65" s="201"/>
      <c r="S65" s="201"/>
      <c r="T65" s="205"/>
      <c r="U65" s="205"/>
    </row>
    <row r="66" spans="1:21" ht="15" hidden="1" customHeight="1">
      <c r="A66" s="25">
        <v>26</v>
      </c>
      <c r="B66" s="230" t="s">
        <v>162</v>
      </c>
      <c r="C66" s="25" t="s">
        <v>37</v>
      </c>
      <c r="D66" s="23"/>
      <c r="E66" s="212">
        <v>9.4</v>
      </c>
      <c r="F66" s="21">
        <f>SUM(E66)</f>
        <v>9.4</v>
      </c>
      <c r="G66" s="21">
        <v>42.67</v>
      </c>
      <c r="H66" s="215">
        <f t="shared" si="9"/>
        <v>0.40109800000000001</v>
      </c>
      <c r="I66" s="21">
        <f t="shared" si="10"/>
        <v>401.09800000000001</v>
      </c>
      <c r="J66" s="200"/>
      <c r="K66" s="201"/>
      <c r="L66" s="201"/>
      <c r="M66" s="201"/>
      <c r="N66" s="201"/>
      <c r="O66" s="201"/>
      <c r="P66" s="201"/>
      <c r="Q66" s="201"/>
      <c r="R66" s="201"/>
      <c r="S66" s="201"/>
      <c r="T66" s="205"/>
      <c r="U66" s="205"/>
    </row>
    <row r="67" spans="1:21" ht="15" hidden="1" customHeight="1">
      <c r="A67" s="255">
        <v>27</v>
      </c>
      <c r="B67" s="230" t="s">
        <v>163</v>
      </c>
      <c r="C67" s="25" t="s">
        <v>37</v>
      </c>
      <c r="D67" s="23"/>
      <c r="E67" s="212">
        <v>9.4</v>
      </c>
      <c r="F67" s="21">
        <f>SUM(E67)</f>
        <v>9.4</v>
      </c>
      <c r="G67" s="21">
        <v>39.81</v>
      </c>
      <c r="H67" s="215">
        <f t="shared" si="9"/>
        <v>0.37421400000000005</v>
      </c>
      <c r="I67" s="21">
        <f t="shared" si="10"/>
        <v>374.21400000000006</v>
      </c>
      <c r="J67" s="200"/>
      <c r="K67" s="201"/>
      <c r="L67" s="201"/>
      <c r="M67" s="201"/>
      <c r="N67" s="201"/>
      <c r="O67" s="201"/>
      <c r="P67" s="201"/>
      <c r="Q67" s="201"/>
      <c r="R67" s="201"/>
      <c r="S67" s="201"/>
      <c r="T67" s="205"/>
      <c r="U67" s="205"/>
    </row>
    <row r="68" spans="1:21" ht="15" customHeight="1">
      <c r="A68" s="25">
        <v>18</v>
      </c>
      <c r="B68" s="23" t="s">
        <v>73</v>
      </c>
      <c r="C68" s="25" t="s">
        <v>74</v>
      </c>
      <c r="D68" s="23" t="s">
        <v>66</v>
      </c>
      <c r="E68" s="27">
        <v>5</v>
      </c>
      <c r="F68" s="213">
        <v>5</v>
      </c>
      <c r="G68" s="21">
        <v>49.88</v>
      </c>
      <c r="H68" s="215">
        <f t="shared" si="9"/>
        <v>0.24940000000000001</v>
      </c>
      <c r="I68" s="21">
        <f>G68*F68</f>
        <v>249.4</v>
      </c>
      <c r="J68" s="200"/>
      <c r="K68" s="201"/>
      <c r="L68" s="201"/>
      <c r="M68" s="201"/>
      <c r="N68" s="201"/>
      <c r="O68" s="201"/>
      <c r="P68" s="201"/>
      <c r="Q68" s="201"/>
      <c r="R68" s="201"/>
      <c r="S68" s="201"/>
      <c r="T68" s="205"/>
      <c r="U68" s="205"/>
    </row>
    <row r="69" spans="1:21" ht="15" hidden="1" customHeight="1">
      <c r="A69" s="255"/>
      <c r="B69" s="188" t="s">
        <v>87</v>
      </c>
      <c r="C69" s="253"/>
      <c r="D69" s="253"/>
      <c r="E69" s="27"/>
      <c r="F69" s="21"/>
      <c r="G69" s="21"/>
      <c r="H69" s="215" t="s">
        <v>183</v>
      </c>
      <c r="I69" s="21"/>
      <c r="J69" s="200"/>
      <c r="K69" s="201"/>
      <c r="L69" s="201"/>
      <c r="M69" s="201"/>
      <c r="N69" s="201"/>
      <c r="O69" s="201"/>
      <c r="P69" s="201"/>
      <c r="Q69" s="201"/>
      <c r="R69" s="201"/>
      <c r="S69" s="201"/>
      <c r="T69" s="205"/>
      <c r="U69" s="205"/>
    </row>
    <row r="70" spans="1:21" ht="15" hidden="1" customHeight="1">
      <c r="A70" s="25"/>
      <c r="B70" s="23" t="s">
        <v>88</v>
      </c>
      <c r="C70" s="25" t="s">
        <v>90</v>
      </c>
      <c r="D70" s="23"/>
      <c r="E70" s="27">
        <v>3</v>
      </c>
      <c r="F70" s="21">
        <v>0.3</v>
      </c>
      <c r="G70" s="21">
        <v>501.62</v>
      </c>
      <c r="H70" s="215">
        <f t="shared" si="9"/>
        <v>0.15048599999999998</v>
      </c>
      <c r="I70" s="21">
        <v>0</v>
      </c>
      <c r="J70" s="200"/>
      <c r="K70" s="201"/>
      <c r="L70" s="201"/>
      <c r="M70" s="201"/>
      <c r="N70" s="201"/>
      <c r="O70" s="201"/>
      <c r="P70" s="201"/>
      <c r="Q70" s="201"/>
      <c r="R70" s="201"/>
      <c r="S70" s="201"/>
      <c r="T70" s="205"/>
      <c r="U70" s="205"/>
    </row>
    <row r="71" spans="1:21" ht="15" hidden="1" customHeight="1">
      <c r="A71" s="25"/>
      <c r="B71" s="23" t="s">
        <v>89</v>
      </c>
      <c r="C71" s="25" t="s">
        <v>35</v>
      </c>
      <c r="D71" s="23"/>
      <c r="E71" s="27">
        <v>1</v>
      </c>
      <c r="F71" s="232">
        <v>1</v>
      </c>
      <c r="G71" s="21">
        <v>852.99</v>
      </c>
      <c r="H71" s="215">
        <f>F71*G71/1000</f>
        <v>0.85299000000000003</v>
      </c>
      <c r="I71" s="21">
        <v>0</v>
      </c>
      <c r="J71" s="200"/>
      <c r="K71" s="201"/>
      <c r="L71" s="201"/>
      <c r="M71" s="201"/>
      <c r="N71" s="201"/>
      <c r="O71" s="201"/>
      <c r="P71" s="201"/>
      <c r="Q71" s="201"/>
      <c r="R71" s="201"/>
      <c r="S71" s="201"/>
      <c r="T71" s="205"/>
      <c r="U71" s="205"/>
    </row>
    <row r="72" spans="1:21" ht="15" hidden="1" customHeight="1">
      <c r="A72" s="25"/>
      <c r="B72" s="23" t="s">
        <v>126</v>
      </c>
      <c r="C72" s="25" t="s">
        <v>35</v>
      </c>
      <c r="D72" s="23"/>
      <c r="E72" s="27">
        <v>1</v>
      </c>
      <c r="F72" s="21">
        <v>1</v>
      </c>
      <c r="G72" s="21">
        <v>358.51</v>
      </c>
      <c r="H72" s="215">
        <f>G72*F72/1000</f>
        <v>0.35851</v>
      </c>
      <c r="I72" s="21">
        <v>0</v>
      </c>
      <c r="J72" s="200"/>
      <c r="K72" s="201"/>
      <c r="L72" s="201"/>
      <c r="M72" s="201"/>
      <c r="N72" s="201"/>
      <c r="O72" s="201"/>
      <c r="P72" s="201"/>
      <c r="Q72" s="201"/>
      <c r="R72" s="201"/>
      <c r="S72" s="201"/>
      <c r="T72" s="205"/>
      <c r="U72" s="205"/>
    </row>
    <row r="73" spans="1:21" ht="15" hidden="1" customHeight="1">
      <c r="A73" s="255"/>
      <c r="B73" s="234" t="s">
        <v>91</v>
      </c>
      <c r="C73" s="253"/>
      <c r="D73" s="253"/>
      <c r="E73" s="27"/>
      <c r="F73" s="21"/>
      <c r="G73" s="21" t="s">
        <v>183</v>
      </c>
      <c r="H73" s="215" t="s">
        <v>183</v>
      </c>
      <c r="I73" s="21"/>
      <c r="J73" s="200"/>
      <c r="K73" s="201"/>
      <c r="L73" s="201"/>
      <c r="M73" s="201"/>
      <c r="N73" s="201"/>
      <c r="O73" s="201"/>
      <c r="P73" s="201"/>
      <c r="Q73" s="201"/>
      <c r="R73" s="201"/>
      <c r="S73" s="201"/>
      <c r="T73" s="205"/>
      <c r="U73" s="205"/>
    </row>
    <row r="74" spans="1:21" ht="15" hidden="1" customHeight="1">
      <c r="A74" s="25"/>
      <c r="B74" s="85" t="s">
        <v>92</v>
      </c>
      <c r="C74" s="25" t="s">
        <v>93</v>
      </c>
      <c r="D74" s="23"/>
      <c r="E74" s="27"/>
      <c r="F74" s="21">
        <v>1</v>
      </c>
      <c r="G74" s="21">
        <v>2579.44</v>
      </c>
      <c r="H74" s="215">
        <f t="shared" si="9"/>
        <v>2.57944</v>
      </c>
      <c r="I74" s="21">
        <v>0</v>
      </c>
      <c r="J74" s="200"/>
      <c r="K74" s="201"/>
      <c r="L74" s="201"/>
      <c r="M74" s="201"/>
      <c r="N74" s="201"/>
      <c r="O74" s="201"/>
      <c r="P74" s="201"/>
      <c r="Q74" s="201"/>
      <c r="R74" s="201"/>
      <c r="S74" s="201"/>
      <c r="T74" s="205"/>
      <c r="U74" s="205"/>
    </row>
    <row r="75" spans="1:21" ht="15" hidden="1" customHeight="1">
      <c r="A75" s="248"/>
      <c r="B75" s="188" t="s">
        <v>165</v>
      </c>
      <c r="C75" s="254"/>
      <c r="D75" s="254"/>
      <c r="E75" s="237"/>
      <c r="F75" s="21"/>
      <c r="G75" s="21"/>
      <c r="H75" s="215"/>
      <c r="I75" s="21"/>
      <c r="J75" s="200"/>
      <c r="K75" s="201"/>
      <c r="L75" s="201"/>
      <c r="M75" s="201"/>
      <c r="N75" s="201"/>
      <c r="O75" s="201"/>
      <c r="P75" s="201"/>
      <c r="Q75" s="201"/>
      <c r="R75" s="201"/>
      <c r="S75" s="201"/>
      <c r="T75" s="205"/>
      <c r="U75" s="205"/>
    </row>
    <row r="76" spans="1:21" ht="15" hidden="1" customHeight="1">
      <c r="A76" s="236">
        <v>28</v>
      </c>
      <c r="B76" s="252" t="s">
        <v>166</v>
      </c>
      <c r="C76" s="33"/>
      <c r="D76" s="32"/>
      <c r="E76" s="237"/>
      <c r="F76" s="21">
        <v>1</v>
      </c>
      <c r="G76" s="21">
        <v>20950</v>
      </c>
      <c r="H76" s="215">
        <f>G76*F76/1000</f>
        <v>20.95</v>
      </c>
      <c r="I76" s="21">
        <f>F76*G76</f>
        <v>20950</v>
      </c>
      <c r="J76" s="200"/>
      <c r="K76" s="201"/>
      <c r="L76" s="201"/>
      <c r="M76" s="201"/>
      <c r="N76" s="201"/>
      <c r="O76" s="201"/>
      <c r="P76" s="201"/>
      <c r="Q76" s="201"/>
      <c r="R76" s="201"/>
      <c r="S76" s="201"/>
      <c r="T76" s="205"/>
      <c r="U76" s="205"/>
    </row>
    <row r="77" spans="1:21" ht="15" customHeight="1">
      <c r="A77" s="274" t="s">
        <v>227</v>
      </c>
      <c r="B77" s="275"/>
      <c r="C77" s="275"/>
      <c r="D77" s="275"/>
      <c r="E77" s="275"/>
      <c r="F77" s="275"/>
      <c r="G77" s="275"/>
      <c r="H77" s="275"/>
      <c r="I77" s="276"/>
      <c r="J77" s="200"/>
      <c r="K77" s="201"/>
      <c r="L77" s="201"/>
      <c r="M77" s="201"/>
      <c r="N77" s="201"/>
      <c r="O77" s="201"/>
      <c r="P77" s="201"/>
      <c r="Q77" s="201"/>
      <c r="R77" s="201"/>
      <c r="S77" s="201"/>
      <c r="T77" s="205"/>
      <c r="U77" s="205"/>
    </row>
    <row r="78" spans="1:21" ht="15" customHeight="1">
      <c r="A78" s="25">
        <v>19</v>
      </c>
      <c r="B78" s="176" t="s">
        <v>207</v>
      </c>
      <c r="C78" s="25" t="s">
        <v>70</v>
      </c>
      <c r="D78" s="238"/>
      <c r="E78" s="21">
        <v>2549.5</v>
      </c>
      <c r="F78" s="21">
        <f>SUM(E78*12)</f>
        <v>30594</v>
      </c>
      <c r="G78" s="21">
        <v>2.1</v>
      </c>
      <c r="H78" s="215">
        <f>SUM(F78*G78/1000)</f>
        <v>64.247399999999999</v>
      </c>
      <c r="I78" s="21">
        <f>F78/12*G78</f>
        <v>5353.95</v>
      </c>
      <c r="J78" s="200"/>
      <c r="K78" s="201"/>
      <c r="L78" s="201"/>
      <c r="M78" s="201"/>
      <c r="N78" s="201"/>
      <c r="O78" s="201"/>
      <c r="P78" s="201"/>
      <c r="Q78" s="201"/>
      <c r="R78" s="201"/>
      <c r="S78" s="201"/>
      <c r="T78" s="205"/>
      <c r="U78" s="205"/>
    </row>
    <row r="79" spans="1:21" ht="30" customHeight="1">
      <c r="A79" s="255">
        <v>20</v>
      </c>
      <c r="B79" s="23" t="s">
        <v>94</v>
      </c>
      <c r="C79" s="25"/>
      <c r="D79" s="85"/>
      <c r="E79" s="212">
        <f>E78</f>
        <v>2549.5</v>
      </c>
      <c r="F79" s="21">
        <f>E79*12</f>
        <v>30594</v>
      </c>
      <c r="G79" s="21">
        <v>1.63</v>
      </c>
      <c r="H79" s="215">
        <f>F79*G79/1000</f>
        <v>49.868219999999994</v>
      </c>
      <c r="I79" s="21">
        <f>F79/12*G79</f>
        <v>4155.6849999999995</v>
      </c>
      <c r="J79" s="200"/>
      <c r="K79" s="201"/>
      <c r="L79" s="201"/>
      <c r="M79" s="201"/>
      <c r="N79" s="201"/>
      <c r="O79" s="201"/>
      <c r="P79" s="201"/>
      <c r="Q79" s="201"/>
      <c r="R79" s="201"/>
      <c r="S79" s="201"/>
      <c r="T79" s="205"/>
      <c r="U79" s="205"/>
    </row>
    <row r="80" spans="1:21" ht="15" customHeight="1">
      <c r="A80" s="239"/>
      <c r="B80" s="73" t="s">
        <v>99</v>
      </c>
      <c r="C80" s="234"/>
      <c r="D80" s="233"/>
      <c r="E80" s="235"/>
      <c r="F80" s="235"/>
      <c r="G80" s="235"/>
      <c r="H80" s="222">
        <f>H79</f>
        <v>49.868219999999994</v>
      </c>
      <c r="I80" s="235">
        <f>I15+I16+I17+I25+I26+I28+I29+I31+I44+I45+I46+I47+I48+I49+I50+I51+I52+I68+I78+I79</f>
        <v>37408.857948122219</v>
      </c>
      <c r="J80" s="202"/>
      <c r="K80" s="203"/>
      <c r="L80" s="203"/>
      <c r="M80" s="203"/>
      <c r="N80" s="203"/>
      <c r="O80" s="203"/>
      <c r="P80" s="203"/>
      <c r="Q80" s="203"/>
      <c r="R80" s="203"/>
      <c r="S80" s="203"/>
      <c r="T80" s="205"/>
      <c r="U80" s="205"/>
    </row>
    <row r="81" spans="1:22" ht="15" customHeight="1">
      <c r="A81" s="239"/>
      <c r="B81" s="145" t="s">
        <v>75</v>
      </c>
      <c r="C81" s="25"/>
      <c r="D81" s="85"/>
      <c r="E81" s="21"/>
      <c r="F81" s="21"/>
      <c r="G81" s="21"/>
      <c r="H81" s="222" t="e">
        <f>SUM(H80+#REF!+#REF!+#REF!+#REF!+#REF!+#REF!)</f>
        <v>#REF!</v>
      </c>
      <c r="I81" s="21"/>
      <c r="J81" s="200"/>
      <c r="K81" s="201"/>
      <c r="L81" s="201"/>
      <c r="M81" s="201"/>
      <c r="N81" s="201"/>
      <c r="O81" s="201"/>
      <c r="P81" s="201"/>
      <c r="Q81" s="201"/>
      <c r="R81" s="201"/>
      <c r="S81" s="201"/>
      <c r="T81" s="205"/>
      <c r="U81" s="205"/>
    </row>
    <row r="82" spans="1:22" ht="30" customHeight="1">
      <c r="A82" s="240">
        <v>21</v>
      </c>
      <c r="B82" s="146" t="s">
        <v>172</v>
      </c>
      <c r="C82" s="240" t="s">
        <v>46</v>
      </c>
      <c r="D82" s="23"/>
      <c r="E82" s="27"/>
      <c r="F82" s="21">
        <f>6/100</f>
        <v>0.06</v>
      </c>
      <c r="G82" s="21">
        <v>3397.65</v>
      </c>
      <c r="H82" s="215">
        <f t="shared" ref="H82" si="11">G82*F82/1000</f>
        <v>0.20385900000000001</v>
      </c>
      <c r="I82" s="260">
        <f>G82*0.01</f>
        <v>33.976500000000001</v>
      </c>
      <c r="J82" s="200"/>
      <c r="K82" s="201"/>
      <c r="L82" s="201"/>
      <c r="M82" s="201"/>
      <c r="N82" s="201"/>
      <c r="O82" s="201"/>
      <c r="P82" s="201"/>
      <c r="Q82" s="201"/>
      <c r="R82" s="201"/>
      <c r="S82" s="201"/>
      <c r="T82" s="205"/>
      <c r="U82" s="205"/>
    </row>
    <row r="83" spans="1:22" ht="15" customHeight="1">
      <c r="A83" s="244">
        <v>22</v>
      </c>
      <c r="B83" s="245" t="s">
        <v>136</v>
      </c>
      <c r="C83" s="244" t="s">
        <v>137</v>
      </c>
      <c r="D83" s="23"/>
      <c r="E83" s="27"/>
      <c r="F83" s="21">
        <f>33/3</f>
        <v>11</v>
      </c>
      <c r="G83" s="21">
        <v>1063.47</v>
      </c>
      <c r="H83" s="215">
        <f>G83*F83/1000</f>
        <v>11.698169999999999</v>
      </c>
      <c r="I83" s="260">
        <f>G83*4</f>
        <v>4253.88</v>
      </c>
      <c r="J83" s="200"/>
      <c r="K83" s="201"/>
      <c r="L83" s="201"/>
      <c r="M83" s="201"/>
      <c r="N83" s="201"/>
      <c r="O83" s="201"/>
      <c r="P83" s="201"/>
      <c r="Q83" s="201"/>
      <c r="R83" s="201"/>
      <c r="S83" s="201"/>
      <c r="T83" s="205"/>
      <c r="U83" s="205"/>
    </row>
    <row r="84" spans="1:22" ht="15" customHeight="1">
      <c r="A84" s="25"/>
      <c r="B84" s="247" t="s">
        <v>216</v>
      </c>
      <c r="C84" s="246"/>
      <c r="D84" s="246"/>
      <c r="E84" s="21"/>
      <c r="F84" s="21"/>
      <c r="G84" s="21"/>
      <c r="H84" s="222">
        <f>SUM(H82:H83)</f>
        <v>11.902028999999999</v>
      </c>
      <c r="I84" s="235">
        <f>I82+I83</f>
        <v>4287.8564999999999</v>
      </c>
      <c r="J84" s="200"/>
      <c r="K84" s="201"/>
      <c r="L84" s="201"/>
      <c r="M84" s="201"/>
      <c r="N84" s="201"/>
      <c r="O84" s="201"/>
      <c r="P84" s="201"/>
      <c r="Q84" s="201"/>
      <c r="R84" s="201"/>
      <c r="S84" s="201"/>
      <c r="T84" s="205"/>
      <c r="U84" s="205"/>
    </row>
    <row r="85" spans="1:22" ht="15" customHeight="1">
      <c r="A85" s="51"/>
      <c r="B85" s="85" t="s">
        <v>95</v>
      </c>
      <c r="C85" s="24"/>
      <c r="D85" s="24"/>
      <c r="E85" s="77"/>
      <c r="F85" s="77"/>
      <c r="G85" s="78"/>
      <c r="H85" s="78"/>
      <c r="I85" s="26">
        <v>0</v>
      </c>
      <c r="J85" s="204"/>
      <c r="K85" s="205"/>
      <c r="L85" s="29"/>
      <c r="M85" s="30"/>
      <c r="N85" s="31"/>
      <c r="O85" s="205"/>
      <c r="P85" s="205"/>
      <c r="Q85" s="205"/>
      <c r="R85" s="205"/>
      <c r="S85" s="205"/>
      <c r="T85" s="205"/>
      <c r="U85" s="205"/>
    </row>
    <row r="86" spans="1:22" ht="15" customHeight="1">
      <c r="A86" s="51"/>
      <c r="B86" s="81" t="s">
        <v>64</v>
      </c>
      <c r="C86" s="24"/>
      <c r="D86" s="24"/>
      <c r="E86" s="77"/>
      <c r="F86" s="77"/>
      <c r="G86" s="78"/>
      <c r="H86" s="78"/>
      <c r="I86" s="79">
        <f>I80+I84</f>
        <v>41696.71444812222</v>
      </c>
      <c r="J86" s="204"/>
      <c r="K86" s="205"/>
      <c r="L86" s="29"/>
      <c r="M86" s="30"/>
      <c r="N86" s="31"/>
      <c r="O86" s="205"/>
      <c r="P86" s="205"/>
      <c r="Q86" s="205"/>
      <c r="R86" s="205"/>
      <c r="S86" s="205"/>
      <c r="T86" s="205"/>
      <c r="U86" s="205"/>
    </row>
    <row r="87" spans="1:22" ht="15.75">
      <c r="A87" s="263" t="s">
        <v>256</v>
      </c>
      <c r="B87" s="263"/>
      <c r="C87" s="263"/>
      <c r="D87" s="263"/>
      <c r="E87" s="263"/>
      <c r="F87" s="263"/>
      <c r="G87" s="263"/>
      <c r="H87" s="263"/>
      <c r="I87" s="263"/>
      <c r="J87" s="205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</row>
    <row r="88" spans="1:22" ht="15.75">
      <c r="A88" s="13"/>
      <c r="B88" s="264" t="s">
        <v>257</v>
      </c>
      <c r="C88" s="264"/>
      <c r="D88" s="264"/>
      <c r="E88" s="264"/>
      <c r="F88" s="264"/>
      <c r="G88" s="264"/>
      <c r="H88" s="196"/>
      <c r="I88" s="4"/>
      <c r="J88" s="205"/>
      <c r="K88" s="205"/>
      <c r="L88" s="205"/>
      <c r="M88" s="205"/>
      <c r="N88" s="205"/>
      <c r="O88" s="205"/>
      <c r="P88" s="205"/>
      <c r="Q88" s="205"/>
      <c r="R88" s="205"/>
      <c r="S88" s="205"/>
      <c r="T88" s="205"/>
      <c r="U88" s="205"/>
    </row>
    <row r="89" spans="1:22" ht="15.75">
      <c r="A89" s="187"/>
      <c r="B89" s="280" t="s">
        <v>7</v>
      </c>
      <c r="C89" s="280"/>
      <c r="D89" s="280"/>
      <c r="E89" s="280"/>
      <c r="F89" s="280"/>
      <c r="G89" s="280"/>
      <c r="H89" s="199"/>
      <c r="I89" s="123"/>
      <c r="J89" s="205"/>
      <c r="K89" s="205"/>
      <c r="L89" s="205"/>
      <c r="M89" s="205"/>
      <c r="N89" s="205"/>
      <c r="O89" s="205"/>
      <c r="P89" s="205"/>
      <c r="Q89" s="205"/>
      <c r="R89" s="205"/>
      <c r="S89" s="205"/>
      <c r="T89" s="205"/>
      <c r="U89" s="205"/>
    </row>
    <row r="90" spans="1:22" ht="15.75" customHeight="1">
      <c r="A90" s="124"/>
      <c r="B90" s="124"/>
      <c r="C90" s="124"/>
      <c r="D90" s="124"/>
      <c r="E90" s="124"/>
      <c r="F90" s="124"/>
      <c r="G90" s="124"/>
      <c r="H90" s="124"/>
      <c r="I90" s="124"/>
      <c r="J90" s="4"/>
      <c r="K90" s="4"/>
      <c r="L90" s="4"/>
      <c r="M90" s="4"/>
      <c r="N90" s="4"/>
      <c r="O90" s="4"/>
      <c r="P90" s="4"/>
      <c r="Q90" s="206"/>
      <c r="R90" s="206"/>
      <c r="S90" s="206"/>
      <c r="T90" s="206"/>
      <c r="U90" s="206"/>
      <c r="V90" s="12"/>
    </row>
    <row r="91" spans="1:22" ht="15.75" customHeight="1">
      <c r="A91" s="281" t="s">
        <v>8</v>
      </c>
      <c r="B91" s="281"/>
      <c r="C91" s="281"/>
      <c r="D91" s="281"/>
      <c r="E91" s="281"/>
      <c r="F91" s="281"/>
      <c r="G91" s="281"/>
      <c r="H91" s="281"/>
      <c r="I91" s="281"/>
      <c r="J91" s="43"/>
      <c r="K91" s="43"/>
      <c r="L91" s="4"/>
      <c r="M91" s="4"/>
      <c r="N91" s="4"/>
      <c r="O91" s="4"/>
      <c r="P91" s="4"/>
      <c r="Q91" s="206"/>
      <c r="R91" s="206"/>
      <c r="S91" s="206"/>
      <c r="T91" s="206"/>
      <c r="U91" s="206"/>
    </row>
    <row r="92" spans="1:22" ht="15.75">
      <c r="A92" s="281" t="s">
        <v>9</v>
      </c>
      <c r="B92" s="281"/>
      <c r="C92" s="281"/>
      <c r="D92" s="281"/>
      <c r="E92" s="281"/>
      <c r="F92" s="281"/>
      <c r="G92" s="281"/>
      <c r="H92" s="281"/>
      <c r="I92" s="281"/>
      <c r="J92" s="4"/>
      <c r="K92" s="4"/>
      <c r="L92" s="4"/>
      <c r="M92" s="4"/>
      <c r="N92" s="4"/>
      <c r="O92" s="4"/>
      <c r="P92" s="4"/>
      <c r="Q92" s="206"/>
      <c r="R92" s="205"/>
      <c r="S92" s="206"/>
      <c r="T92" s="206"/>
      <c r="U92" s="206"/>
    </row>
    <row r="93" spans="1:22" ht="15.75">
      <c r="A93" s="263" t="s">
        <v>10</v>
      </c>
      <c r="B93" s="263"/>
      <c r="C93" s="263"/>
      <c r="D93" s="263"/>
      <c r="E93" s="263"/>
      <c r="F93" s="263"/>
      <c r="G93" s="263"/>
      <c r="H93" s="263"/>
      <c r="I93" s="263"/>
      <c r="J93" s="6"/>
      <c r="K93" s="6"/>
      <c r="L93" s="6"/>
      <c r="M93" s="6"/>
      <c r="N93" s="6"/>
      <c r="O93" s="6"/>
      <c r="P93" s="6"/>
      <c r="Q93" s="207"/>
      <c r="R93" s="261"/>
      <c r="S93" s="261"/>
      <c r="T93" s="261"/>
      <c r="U93" s="261"/>
    </row>
    <row r="94" spans="1:22" ht="15.75">
      <c r="A94" s="15"/>
      <c r="B94" s="121"/>
      <c r="C94" s="121"/>
      <c r="D94" s="121"/>
      <c r="E94" s="121"/>
      <c r="F94" s="121"/>
      <c r="G94" s="121"/>
      <c r="H94" s="121"/>
      <c r="I94" s="121"/>
      <c r="J94" s="14"/>
      <c r="K94" s="14"/>
      <c r="L94" s="14"/>
      <c r="M94" s="14"/>
      <c r="N94" s="14"/>
      <c r="O94" s="14"/>
      <c r="P94" s="14"/>
      <c r="Q94" s="208"/>
      <c r="R94" s="208"/>
      <c r="S94" s="208"/>
      <c r="T94" s="208"/>
      <c r="U94" s="208"/>
    </row>
    <row r="95" spans="1:22" ht="15.75">
      <c r="A95" s="15"/>
      <c r="B95" s="121"/>
      <c r="C95" s="121"/>
      <c r="D95" s="121"/>
      <c r="E95" s="121"/>
      <c r="F95" s="121"/>
      <c r="G95" s="121"/>
      <c r="H95" s="121"/>
      <c r="I95" s="121"/>
    </row>
    <row r="96" spans="1:22" ht="15.75">
      <c r="A96" s="262" t="s">
        <v>11</v>
      </c>
      <c r="B96" s="262"/>
      <c r="C96" s="262"/>
      <c r="D96" s="262"/>
      <c r="E96" s="262"/>
      <c r="F96" s="262"/>
      <c r="G96" s="262"/>
      <c r="H96" s="262"/>
      <c r="I96" s="262"/>
    </row>
    <row r="97" spans="1:9" ht="15.75" customHeight="1">
      <c r="A97" s="5"/>
    </row>
    <row r="98" spans="1:9" ht="15.75">
      <c r="A98" s="263" t="s">
        <v>12</v>
      </c>
      <c r="B98" s="263"/>
      <c r="C98" s="287" t="s">
        <v>133</v>
      </c>
      <c r="D98" s="287"/>
      <c r="E98" s="287"/>
      <c r="F98" s="197"/>
      <c r="I98" s="191"/>
    </row>
    <row r="99" spans="1:9">
      <c r="A99" s="192"/>
      <c r="C99" s="277" t="s">
        <v>13</v>
      </c>
      <c r="D99" s="277"/>
      <c r="E99" s="277"/>
      <c r="F99" s="42"/>
      <c r="I99" s="189" t="s">
        <v>14</v>
      </c>
    </row>
    <row r="100" spans="1:9" ht="15.75">
      <c r="A100" s="43"/>
      <c r="C100" s="16"/>
      <c r="D100" s="16"/>
      <c r="G100" s="16"/>
      <c r="H100" s="16"/>
    </row>
    <row r="101" spans="1:9" ht="15.75" customHeight="1">
      <c r="A101" s="263" t="s">
        <v>15</v>
      </c>
      <c r="B101" s="263"/>
      <c r="C101" s="278"/>
      <c r="D101" s="278"/>
      <c r="E101" s="278"/>
      <c r="F101" s="198"/>
      <c r="I101" s="191"/>
    </row>
    <row r="102" spans="1:9">
      <c r="A102" s="192"/>
      <c r="C102" s="279" t="s">
        <v>13</v>
      </c>
      <c r="D102" s="279"/>
      <c r="E102" s="279"/>
      <c r="F102" s="192"/>
      <c r="I102" s="189" t="s">
        <v>14</v>
      </c>
    </row>
    <row r="103" spans="1:9" ht="15.75">
      <c r="A103" s="5" t="s">
        <v>16</v>
      </c>
    </row>
    <row r="104" spans="1:9">
      <c r="A104" s="288" t="s">
        <v>17</v>
      </c>
      <c r="B104" s="288"/>
      <c r="C104" s="288"/>
      <c r="D104" s="288"/>
      <c r="E104" s="288"/>
      <c r="F104" s="288"/>
      <c r="G104" s="288"/>
      <c r="H104" s="288"/>
      <c r="I104" s="288"/>
    </row>
    <row r="105" spans="1:9" ht="47.25" customHeight="1">
      <c r="A105" s="289" t="s">
        <v>18</v>
      </c>
      <c r="B105" s="289"/>
      <c r="C105" s="289"/>
      <c r="D105" s="289"/>
      <c r="E105" s="289"/>
      <c r="F105" s="289"/>
      <c r="G105" s="289"/>
      <c r="H105" s="289"/>
      <c r="I105" s="289"/>
    </row>
    <row r="106" spans="1:9" ht="31.5" customHeight="1">
      <c r="A106" s="289" t="s">
        <v>19</v>
      </c>
      <c r="B106" s="289"/>
      <c r="C106" s="289"/>
      <c r="D106" s="289"/>
      <c r="E106" s="289"/>
      <c r="F106" s="289"/>
      <c r="G106" s="289"/>
      <c r="H106" s="289"/>
      <c r="I106" s="289"/>
    </row>
    <row r="107" spans="1:9" ht="31.5" customHeight="1">
      <c r="A107" s="289" t="s">
        <v>24</v>
      </c>
      <c r="B107" s="289"/>
      <c r="C107" s="289"/>
      <c r="D107" s="289"/>
      <c r="E107" s="289"/>
      <c r="F107" s="289"/>
      <c r="G107" s="289"/>
      <c r="H107" s="289"/>
      <c r="I107" s="289"/>
    </row>
    <row r="108" spans="1:9" ht="15.75">
      <c r="A108" s="289" t="s">
        <v>23</v>
      </c>
      <c r="B108" s="289"/>
      <c r="C108" s="289"/>
      <c r="D108" s="289"/>
      <c r="E108" s="289"/>
      <c r="F108" s="289"/>
      <c r="G108" s="289"/>
      <c r="H108" s="289"/>
      <c r="I108" s="289"/>
    </row>
  </sheetData>
  <autoFilter ref="I14:I88"/>
  <mergeCells count="30">
    <mergeCell ref="A14:I14"/>
    <mergeCell ref="A3:I3"/>
    <mergeCell ref="A4:I4"/>
    <mergeCell ref="A5:I5"/>
    <mergeCell ref="A8:I8"/>
    <mergeCell ref="A10:I10"/>
    <mergeCell ref="R93:U93"/>
    <mergeCell ref="A27:I27"/>
    <mergeCell ref="A34:I34"/>
    <mergeCell ref="A43:I43"/>
    <mergeCell ref="A55:I55"/>
    <mergeCell ref="A77:I77"/>
    <mergeCell ref="A87:I87"/>
    <mergeCell ref="B88:G88"/>
    <mergeCell ref="B89:G89"/>
    <mergeCell ref="A91:I91"/>
    <mergeCell ref="A92:I92"/>
    <mergeCell ref="A93:I93"/>
    <mergeCell ref="A108:I108"/>
    <mergeCell ref="A96:I96"/>
    <mergeCell ref="A98:B98"/>
    <mergeCell ref="C98:E98"/>
    <mergeCell ref="C99:E99"/>
    <mergeCell ref="A101:B101"/>
    <mergeCell ref="C101:E101"/>
    <mergeCell ref="C102:E102"/>
    <mergeCell ref="A104:I104"/>
    <mergeCell ref="A105:I105"/>
    <mergeCell ref="A106:I106"/>
    <mergeCell ref="A107:I10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11</vt:i4>
      </vt:variant>
    </vt:vector>
  </HeadingPairs>
  <TitlesOfParts>
    <vt:vector size="24" baseType="lpstr">
      <vt:lpstr>01.16</vt:lpstr>
      <vt:lpstr>02.16</vt:lpstr>
      <vt:lpstr>03.16</vt:lpstr>
      <vt:lpstr>04.16</vt:lpstr>
      <vt:lpstr>05.16</vt:lpstr>
      <vt:lpstr>06.16</vt:lpstr>
      <vt:lpstr>07.16</vt:lpstr>
      <vt:lpstr>08.16</vt:lpstr>
      <vt:lpstr>09.16</vt:lpstr>
      <vt:lpstr>10.16</vt:lpstr>
      <vt:lpstr>11.16</vt:lpstr>
      <vt:lpstr>12.16</vt:lpstr>
      <vt:lpstr>Лист2</vt:lpstr>
      <vt:lpstr>'11.16'!Заголовки_для_печати</vt:lpstr>
      <vt:lpstr>'02.16'!Область_печати</vt:lpstr>
      <vt:lpstr>'04.16'!Область_печати</vt:lpstr>
      <vt:lpstr>'05.16'!Область_печати</vt:lpstr>
      <vt:lpstr>'06.16'!Область_печати</vt:lpstr>
      <vt:lpstr>'07.16'!Область_печати</vt:lpstr>
      <vt:lpstr>'08.16'!Область_печати</vt:lpstr>
      <vt:lpstr>'09.16'!Область_печати</vt:lpstr>
      <vt:lpstr>'10.16'!Область_печати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2017-04-06T12:14:43Z</cp:lastPrinted>
  <dcterms:created xsi:type="dcterms:W3CDTF">2016-03-25T08:33:47Z</dcterms:created>
  <dcterms:modified xsi:type="dcterms:W3CDTF">2017-04-13T08:02:16Z</dcterms:modified>
</cp:coreProperties>
</file>