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21" sheetId="8" r:id="rId1"/>
    <sheet name="02.21" sheetId="17" r:id="rId2"/>
    <sheet name="03.21" sheetId="18" r:id="rId3"/>
    <sheet name="04.21" sheetId="19" r:id="rId4"/>
    <sheet name="05.21" sheetId="20" r:id="rId5"/>
    <sheet name="06.21" sheetId="21" r:id="rId6"/>
    <sheet name="07.21" sheetId="22" r:id="rId7"/>
    <sheet name="08.21" sheetId="23" r:id="rId8"/>
    <sheet name="09.21" sheetId="24" r:id="rId9"/>
    <sheet name="10.21" sheetId="25" r:id="rId10"/>
    <sheet name="11.21" sheetId="26" r:id="rId11"/>
    <sheet name="12.21" sheetId="27" r:id="rId12"/>
  </sheets>
  <definedNames>
    <definedName name="_xlnm._FilterDatabase" localSheetId="0" hidden="1">'01.21'!$I$12:$I$64</definedName>
    <definedName name="_xlnm._FilterDatabase" localSheetId="1" hidden="1">'02.21'!$I$12:$I$64</definedName>
    <definedName name="_xlnm._FilterDatabase" localSheetId="2" hidden="1">'03.21'!$I$12:$I$64</definedName>
    <definedName name="_xlnm._FilterDatabase" localSheetId="3" hidden="1">'04.21'!$I$12:$I$65</definedName>
    <definedName name="_xlnm._FilterDatabase" localSheetId="4" hidden="1">'05.21'!$I$12:$I$63</definedName>
    <definedName name="_xlnm._FilterDatabase" localSheetId="5" hidden="1">'06.21'!$I$12:$I$63</definedName>
    <definedName name="_xlnm._FilterDatabase" localSheetId="6" hidden="1">'07.21'!$I$12:$I$63</definedName>
    <definedName name="_xlnm._FilterDatabase" localSheetId="7" hidden="1">'08.21'!$I$12:$I$63</definedName>
    <definedName name="_xlnm._FilterDatabase" localSheetId="8" hidden="1">'09.21'!$I$12:$I$64</definedName>
    <definedName name="_xlnm._FilterDatabase" localSheetId="9" hidden="1">'10.21'!$I$12:$I$63</definedName>
    <definedName name="_xlnm._FilterDatabase" localSheetId="10" hidden="1">'11.21'!$I$12:$I$65</definedName>
    <definedName name="_xlnm._FilterDatabase" localSheetId="11" hidden="1">'12.21'!$I$12:$I$65</definedName>
    <definedName name="_xlnm.Print_Area" localSheetId="0">'01.21'!$A$1:$I$126</definedName>
    <definedName name="_xlnm.Print_Area" localSheetId="1">'02.21'!$A$1:$I$126</definedName>
    <definedName name="_xlnm.Print_Area" localSheetId="2">'03.21'!$A$1:$I$125</definedName>
    <definedName name="_xlnm.Print_Area" localSheetId="3">'04.21'!$A$1:$I$129</definedName>
    <definedName name="_xlnm.Print_Area" localSheetId="4">'05.21'!$A$1:$I$123</definedName>
    <definedName name="_xlnm.Print_Area" localSheetId="5">'06.21'!$A$1:$I$128</definedName>
    <definedName name="_xlnm.Print_Area" localSheetId="6">'07.21'!$A$1:$I$126</definedName>
    <definedName name="_xlnm.Print_Area" localSheetId="7">'08.21'!$A$1:$I$127</definedName>
    <definedName name="_xlnm.Print_Area" localSheetId="8">'09.21'!$A$1:$I$126</definedName>
    <definedName name="_xlnm.Print_Area" localSheetId="9">'10.21'!$A$1:$I$122</definedName>
    <definedName name="_xlnm.Print_Area" localSheetId="10">'11.21'!$A$1:$I$126</definedName>
    <definedName name="_xlnm.Print_Area" localSheetId="11">'12.21'!$A$1:$I$125</definedName>
  </definedNames>
  <calcPr calcId="125725"/>
</workbook>
</file>

<file path=xl/calcChain.xml><?xml version="1.0" encoding="utf-8"?>
<calcChain xmlns="http://schemas.openxmlformats.org/spreadsheetml/2006/main">
  <c r="I98" i="27"/>
  <c r="I102"/>
  <c r="I39"/>
  <c r="I99" i="26"/>
  <c r="I96"/>
  <c r="I102"/>
  <c r="F102"/>
  <c r="I100"/>
  <c r="I39"/>
  <c r="I94" i="25"/>
  <c r="I97"/>
  <c r="F97"/>
  <c r="I63"/>
  <c r="I95" i="24"/>
  <c r="I103"/>
  <c r="I101"/>
  <c r="I100"/>
  <c r="I99"/>
  <c r="I98"/>
  <c r="I96" i="23"/>
  <c r="I104"/>
  <c r="I103"/>
  <c r="I102"/>
  <c r="I101"/>
  <c r="I100"/>
  <c r="I99"/>
  <c r="F102"/>
  <c r="I100" i="8" l="1"/>
  <c r="I99"/>
  <c r="I103" i="22"/>
  <c r="I102"/>
  <c r="I101"/>
  <c r="I100"/>
  <c r="I26"/>
  <c r="I25"/>
  <c r="I24"/>
  <c r="I23"/>
  <c r="I22"/>
  <c r="I21"/>
  <c r="I20"/>
  <c r="I105" i="21"/>
  <c r="I104"/>
  <c r="I96"/>
  <c r="I102"/>
  <c r="I101"/>
  <c r="I100"/>
  <c r="I98" i="20"/>
  <c r="I105" i="19"/>
  <c r="I104"/>
  <c r="I58" i="18"/>
  <c r="I100"/>
  <c r="H100"/>
  <c r="I43"/>
  <c r="I38"/>
  <c r="I96" i="22" l="1"/>
  <c r="I101" i="17"/>
  <c r="I100"/>
  <c r="H100"/>
  <c r="I43" l="1"/>
  <c r="I38"/>
  <c r="I102" i="8" l="1"/>
  <c r="I101"/>
  <c r="H102"/>
  <c r="H101"/>
  <c r="H100"/>
  <c r="H99"/>
  <c r="I64"/>
  <c r="I58"/>
  <c r="I55"/>
  <c r="F55"/>
  <c r="H55" s="1"/>
  <c r="I54"/>
  <c r="H54"/>
  <c r="F54"/>
  <c r="I43"/>
  <c r="I38"/>
  <c r="F73" i="27"/>
  <c r="I73" s="1"/>
  <c r="F71" i="23"/>
  <c r="I71" s="1"/>
  <c r="F71" i="22"/>
  <c r="I71" s="1"/>
  <c r="F92" i="21"/>
  <c r="I92" s="1"/>
  <c r="F91" i="20"/>
  <c r="I91" s="1"/>
  <c r="F95" i="19"/>
  <c r="I95" s="1"/>
  <c r="F72" i="18"/>
  <c r="I72" s="1"/>
  <c r="F93" i="17"/>
  <c r="I93" s="1"/>
  <c r="I44" i="26"/>
  <c r="F22" i="21" l="1"/>
  <c r="H22" s="1"/>
  <c r="F21"/>
  <c r="H21" s="1"/>
  <c r="F33"/>
  <c r="I33" s="1"/>
  <c r="E32"/>
  <c r="F32" s="1"/>
  <c r="H32" s="1"/>
  <c r="F31"/>
  <c r="H31" s="1"/>
  <c r="F30"/>
  <c r="I30" s="1"/>
  <c r="I26"/>
  <c r="I20"/>
  <c r="F27"/>
  <c r="H27" s="1"/>
  <c r="H26"/>
  <c r="F25"/>
  <c r="H25" s="1"/>
  <c r="F24"/>
  <c r="H24" s="1"/>
  <c r="F23"/>
  <c r="H23" s="1"/>
  <c r="H20"/>
  <c r="F19"/>
  <c r="H19" s="1"/>
  <c r="E18"/>
  <c r="F18" s="1"/>
  <c r="F17"/>
  <c r="I17" s="1"/>
  <c r="F16"/>
  <c r="H16" s="1"/>
  <c r="F27" i="20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17" l="1"/>
  <c r="I19" i="21"/>
  <c r="I21"/>
  <c r="I23"/>
  <c r="I25"/>
  <c r="H33"/>
  <c r="H17"/>
  <c r="I22"/>
  <c r="I24"/>
  <c r="H30"/>
  <c r="I31"/>
  <c r="I32"/>
  <c r="I18"/>
  <c r="H18"/>
  <c r="I16"/>
  <c r="I27"/>
  <c r="I18" i="20"/>
  <c r="H18"/>
  <c r="I16"/>
  <c r="I27"/>
  <c r="I102" i="19" l="1"/>
  <c r="F102"/>
  <c r="I59"/>
  <c r="I58"/>
  <c r="I38"/>
  <c r="I58" i="17" l="1"/>
  <c r="I44" i="27"/>
  <c r="H44"/>
  <c r="E41"/>
  <c r="E42" s="1"/>
  <c r="F40"/>
  <c r="H40" s="1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F27" i="26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17" i="27" l="1"/>
  <c r="E43"/>
  <c r="F43" s="1"/>
  <c r="F42"/>
  <c r="I40"/>
  <c r="F41"/>
  <c r="I18"/>
  <c r="H18"/>
  <c r="I16"/>
  <c r="I27"/>
  <c r="H17" i="26"/>
  <c r="I18"/>
  <c r="H18"/>
  <c r="I16"/>
  <c r="I27"/>
  <c r="I80" i="25"/>
  <c r="F33"/>
  <c r="H33" s="1"/>
  <c r="E32"/>
  <c r="F32" s="1"/>
  <c r="F31"/>
  <c r="I31" s="1"/>
  <c r="F30"/>
  <c r="H30" s="1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43" i="27" l="1"/>
  <c r="I43"/>
  <c r="H41"/>
  <c r="I41"/>
  <c r="H42"/>
  <c r="I42"/>
  <c r="H31" i="25"/>
  <c r="H17"/>
  <c r="I32"/>
  <c r="H32"/>
  <c r="I30"/>
  <c r="I33"/>
  <c r="I18"/>
  <c r="H18"/>
  <c r="I16"/>
  <c r="I27"/>
  <c r="E18" i="24"/>
  <c r="F18" s="1"/>
  <c r="F17"/>
  <c r="I17" s="1"/>
  <c r="F16"/>
  <c r="I16" s="1"/>
  <c r="I19"/>
  <c r="I22"/>
  <c r="I81"/>
  <c r="F28"/>
  <c r="H28" s="1"/>
  <c r="H27"/>
  <c r="F26"/>
  <c r="H26" s="1"/>
  <c r="F25"/>
  <c r="H25" s="1"/>
  <c r="F24"/>
  <c r="H24" s="1"/>
  <c r="F23"/>
  <c r="H23" s="1"/>
  <c r="H22"/>
  <c r="H21"/>
  <c r="H20"/>
  <c r="I82" i="23"/>
  <c r="F33"/>
  <c r="H33" s="1"/>
  <c r="E32"/>
  <c r="F32" s="1"/>
  <c r="F31"/>
  <c r="I31" s="1"/>
  <c r="F30"/>
  <c r="H30" s="1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17" i="24" l="1"/>
  <c r="H18"/>
  <c r="I18"/>
  <c r="H16"/>
  <c r="I23"/>
  <c r="H19"/>
  <c r="I28"/>
  <c r="H17" i="23"/>
  <c r="I32"/>
  <c r="H32"/>
  <c r="I30"/>
  <c r="H31"/>
  <c r="I33"/>
  <c r="I18"/>
  <c r="H18"/>
  <c r="I16"/>
  <c r="I27"/>
  <c r="F27" i="22"/>
  <c r="H27" s="1"/>
  <c r="H26"/>
  <c r="F25"/>
  <c r="H25" s="1"/>
  <c r="F24"/>
  <c r="H24" s="1"/>
  <c r="F23"/>
  <c r="H23" s="1"/>
  <c r="H22"/>
  <c r="H21"/>
  <c r="H20"/>
  <c r="F19"/>
  <c r="H19" s="1"/>
  <c r="E18"/>
  <c r="F18" s="1"/>
  <c r="H17"/>
  <c r="F17"/>
  <c r="I17" s="1"/>
  <c r="F16"/>
  <c r="H16" s="1"/>
  <c r="F27" i="19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F27" i="18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F27" i="1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F27" i="8"/>
  <c r="H17" i="19" l="1"/>
  <c r="H17" i="18"/>
  <c r="H17" i="17"/>
  <c r="I18" i="22"/>
  <c r="H18"/>
  <c r="I16"/>
  <c r="I27"/>
  <c r="I18" i="19"/>
  <c r="H18"/>
  <c r="I16"/>
  <c r="I27"/>
  <c r="I18" i="18"/>
  <c r="H18"/>
  <c r="I16"/>
  <c r="I27"/>
  <c r="I18" i="17"/>
  <c r="H18"/>
  <c r="I16"/>
  <c r="I27"/>
  <c r="I62" i="20" l="1"/>
  <c r="H63"/>
  <c r="I101" i="19"/>
  <c r="I106" s="1"/>
  <c r="H101"/>
  <c r="I98" i="8" l="1"/>
  <c r="I91"/>
  <c r="I101" i="27"/>
  <c r="H101"/>
  <c r="I100"/>
  <c r="H100"/>
  <c r="I98" i="26" l="1"/>
  <c r="I103" s="1"/>
  <c r="H98"/>
  <c r="I96" i="25" l="1"/>
  <c r="I99" s="1"/>
  <c r="H96"/>
  <c r="I97" i="24"/>
  <c r="I98" i="23"/>
  <c r="I98" i="22" l="1"/>
  <c r="I98" i="21"/>
  <c r="I97" i="20"/>
  <c r="I100" s="1"/>
  <c r="I53" i="19"/>
  <c r="I93" l="1"/>
  <c r="I43"/>
  <c r="I99" i="18" l="1"/>
  <c r="I102" s="1"/>
  <c r="H99"/>
  <c r="I63"/>
  <c r="I99" i="17" l="1"/>
  <c r="I103" s="1"/>
  <c r="H99"/>
  <c r="H98" i="8"/>
  <c r="I97"/>
  <c r="I103" s="1"/>
  <c r="H97"/>
  <c r="I59"/>
  <c r="F97" i="27" l="1"/>
  <c r="I97" s="1"/>
  <c r="F96"/>
  <c r="I96" s="1"/>
  <c r="I94"/>
  <c r="H94"/>
  <c r="F92"/>
  <c r="I92" s="1"/>
  <c r="F91"/>
  <c r="H91" s="1"/>
  <c r="H90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H75"/>
  <c r="I71"/>
  <c r="F71"/>
  <c r="H71" s="1"/>
  <c r="F70"/>
  <c r="H70" s="1"/>
  <c r="F69"/>
  <c r="I69" s="1"/>
  <c r="F68"/>
  <c r="H68" s="1"/>
  <c r="F67"/>
  <c r="I67" s="1"/>
  <c r="F66"/>
  <c r="H66" s="1"/>
  <c r="H65"/>
  <c r="I64"/>
  <c r="H64"/>
  <c r="F62"/>
  <c r="H62" s="1"/>
  <c r="I60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39"/>
  <c r="H37"/>
  <c r="H36"/>
  <c r="F35"/>
  <c r="H35" s="1"/>
  <c r="E35"/>
  <c r="F34"/>
  <c r="H34" s="1"/>
  <c r="E33"/>
  <c r="F33" s="1"/>
  <c r="F32"/>
  <c r="I32" s="1"/>
  <c r="F31"/>
  <c r="H31" s="1"/>
  <c r="F28"/>
  <c r="I28" s="1"/>
  <c r="H99" i="26"/>
  <c r="F95"/>
  <c r="I95" s="1"/>
  <c r="F94"/>
  <c r="H94" s="1"/>
  <c r="I92"/>
  <c r="H92"/>
  <c r="F90"/>
  <c r="I90" s="1"/>
  <c r="F89"/>
  <c r="H89" s="1"/>
  <c r="H88"/>
  <c r="F87"/>
  <c r="H87" s="1"/>
  <c r="F86"/>
  <c r="H86" s="1"/>
  <c r="F85"/>
  <c r="H85" s="1"/>
  <c r="F84"/>
  <c r="H84" s="1"/>
  <c r="I83"/>
  <c r="F83"/>
  <c r="H83" s="1"/>
  <c r="F82"/>
  <c r="H82" s="1"/>
  <c r="F81"/>
  <c r="H81" s="1"/>
  <c r="H79"/>
  <c r="F77"/>
  <c r="H77" s="1"/>
  <c r="H76"/>
  <c r="F75"/>
  <c r="H75" s="1"/>
  <c r="H74"/>
  <c r="H73"/>
  <c r="I71"/>
  <c r="F71"/>
  <c r="H71" s="1"/>
  <c r="F70"/>
  <c r="I70" s="1"/>
  <c r="F69"/>
  <c r="I69" s="1"/>
  <c r="F68"/>
  <c r="I68" s="1"/>
  <c r="F67"/>
  <c r="I67" s="1"/>
  <c r="F66"/>
  <c r="I66" s="1"/>
  <c r="H65"/>
  <c r="I64"/>
  <c r="H64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H44"/>
  <c r="E41"/>
  <c r="E42" s="1"/>
  <c r="F40"/>
  <c r="H40" s="1"/>
  <c r="H39"/>
  <c r="H37"/>
  <c r="H36"/>
  <c r="F35"/>
  <c r="I35" s="1"/>
  <c r="E35"/>
  <c r="F34"/>
  <c r="I34" s="1"/>
  <c r="E33"/>
  <c r="F33" s="1"/>
  <c r="F32"/>
  <c r="H32" s="1"/>
  <c r="F31"/>
  <c r="I31" s="1"/>
  <c r="F28"/>
  <c r="H28" s="1"/>
  <c r="I81" i="25"/>
  <c r="H92" i="27" l="1"/>
  <c r="H97"/>
  <c r="I33"/>
  <c r="H33"/>
  <c r="H28"/>
  <c r="I31"/>
  <c r="H32"/>
  <c r="I34"/>
  <c r="I35"/>
  <c r="I46"/>
  <c r="H47"/>
  <c r="I48"/>
  <c r="H49"/>
  <c r="I50"/>
  <c r="H51"/>
  <c r="I52"/>
  <c r="H53"/>
  <c r="I59"/>
  <c r="I66"/>
  <c r="H67"/>
  <c r="I68"/>
  <c r="H69"/>
  <c r="I70"/>
  <c r="H96"/>
  <c r="H69" i="26"/>
  <c r="H67"/>
  <c r="H33"/>
  <c r="I33"/>
  <c r="E43"/>
  <c r="F43" s="1"/>
  <c r="I43" s="1"/>
  <c r="F42"/>
  <c r="I28"/>
  <c r="H31"/>
  <c r="I32"/>
  <c r="H34"/>
  <c r="H35"/>
  <c r="I40"/>
  <c r="F41"/>
  <c r="H46"/>
  <c r="I47"/>
  <c r="H48"/>
  <c r="I49"/>
  <c r="H50"/>
  <c r="I51"/>
  <c r="H52"/>
  <c r="I53"/>
  <c r="H59"/>
  <c r="H66"/>
  <c r="H68"/>
  <c r="H70"/>
  <c r="H90"/>
  <c r="I94"/>
  <c r="H95"/>
  <c r="H42" l="1"/>
  <c r="I42"/>
  <c r="H41"/>
  <c r="I41"/>
  <c r="H43"/>
  <c r="I105" l="1"/>
  <c r="I104" i="27" l="1"/>
  <c r="F93" i="25" l="1"/>
  <c r="I93" s="1"/>
  <c r="F92"/>
  <c r="H92" s="1"/>
  <c r="I90"/>
  <c r="H90"/>
  <c r="F88"/>
  <c r="I88" s="1"/>
  <c r="F87"/>
  <c r="H87" s="1"/>
  <c r="H86"/>
  <c r="F85"/>
  <c r="H85" s="1"/>
  <c r="F84"/>
  <c r="H84" s="1"/>
  <c r="F83"/>
  <c r="H83" s="1"/>
  <c r="F82"/>
  <c r="H82" s="1"/>
  <c r="F81"/>
  <c r="H81" s="1"/>
  <c r="F80"/>
  <c r="H80" s="1"/>
  <c r="F79"/>
  <c r="H79" s="1"/>
  <c r="H77"/>
  <c r="F75"/>
  <c r="H75" s="1"/>
  <c r="H74"/>
  <c r="F73"/>
  <c r="H73" s="1"/>
  <c r="H72"/>
  <c r="H71"/>
  <c r="I69"/>
  <c r="F69"/>
  <c r="H69" s="1"/>
  <c r="F68"/>
  <c r="I68" s="1"/>
  <c r="F67"/>
  <c r="H67" s="1"/>
  <c r="F66"/>
  <c r="I66" s="1"/>
  <c r="F65"/>
  <c r="H65" s="1"/>
  <c r="F64"/>
  <c r="I64" s="1"/>
  <c r="H63"/>
  <c r="I62"/>
  <c r="H62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39"/>
  <c r="E40" s="1"/>
  <c r="F38"/>
  <c r="H38" s="1"/>
  <c r="I37"/>
  <c r="H37"/>
  <c r="H35"/>
  <c r="H34"/>
  <c r="H97" i="24"/>
  <c r="I70"/>
  <c r="F94"/>
  <c r="I94" s="1"/>
  <c r="F93"/>
  <c r="H93" s="1"/>
  <c r="I91"/>
  <c r="H91"/>
  <c r="F89"/>
  <c r="I89" s="1"/>
  <c r="F88"/>
  <c r="H88" s="1"/>
  <c r="H87"/>
  <c r="F86"/>
  <c r="H86" s="1"/>
  <c r="F85"/>
  <c r="H85" s="1"/>
  <c r="F84"/>
  <c r="H84" s="1"/>
  <c r="F83"/>
  <c r="H83" s="1"/>
  <c r="I82"/>
  <c r="F82"/>
  <c r="H82" s="1"/>
  <c r="F81"/>
  <c r="H81" s="1"/>
  <c r="F80"/>
  <c r="H80" s="1"/>
  <c r="H78"/>
  <c r="F76"/>
  <c r="H76" s="1"/>
  <c r="H75"/>
  <c r="F74"/>
  <c r="H74" s="1"/>
  <c r="H73"/>
  <c r="H72"/>
  <c r="F70"/>
  <c r="H70" s="1"/>
  <c r="F69"/>
  <c r="H69" s="1"/>
  <c r="F68"/>
  <c r="I68" s="1"/>
  <c r="F67"/>
  <c r="H67" s="1"/>
  <c r="F66"/>
  <c r="I66" s="1"/>
  <c r="F65"/>
  <c r="H65" s="1"/>
  <c r="H64"/>
  <c r="I63"/>
  <c r="H63"/>
  <c r="F61"/>
  <c r="H61" s="1"/>
  <c r="I59"/>
  <c r="H59"/>
  <c r="F58"/>
  <c r="H58" s="1"/>
  <c r="I55"/>
  <c r="F55"/>
  <c r="H55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E40"/>
  <c r="F40" s="1"/>
  <c r="F39"/>
  <c r="I39" s="1"/>
  <c r="I38"/>
  <c r="H38"/>
  <c r="H36"/>
  <c r="H35"/>
  <c r="F34"/>
  <c r="H34" s="1"/>
  <c r="E33"/>
  <c r="F33" s="1"/>
  <c r="F32"/>
  <c r="I32" s="1"/>
  <c r="F31"/>
  <c r="H31" s="1"/>
  <c r="F95" i="23"/>
  <c r="H95" s="1"/>
  <c r="F94"/>
  <c r="I94" s="1"/>
  <c r="I92"/>
  <c r="H92"/>
  <c r="F90"/>
  <c r="H90" s="1"/>
  <c r="F89"/>
  <c r="H89" s="1"/>
  <c r="H88"/>
  <c r="F87"/>
  <c r="H87" s="1"/>
  <c r="F86"/>
  <c r="H86" s="1"/>
  <c r="F85"/>
  <c r="H85" s="1"/>
  <c r="F84"/>
  <c r="H84" s="1"/>
  <c r="I83"/>
  <c r="F83"/>
  <c r="H83" s="1"/>
  <c r="F82"/>
  <c r="H82" s="1"/>
  <c r="F81"/>
  <c r="H81" s="1"/>
  <c r="H79"/>
  <c r="F77"/>
  <c r="H77" s="1"/>
  <c r="H76"/>
  <c r="F75"/>
  <c r="H75" s="1"/>
  <c r="H74"/>
  <c r="H73"/>
  <c r="F69"/>
  <c r="H69" s="1"/>
  <c r="F68"/>
  <c r="I68" s="1"/>
  <c r="F67"/>
  <c r="H67" s="1"/>
  <c r="F66"/>
  <c r="I66" s="1"/>
  <c r="F65"/>
  <c r="H65" s="1"/>
  <c r="F64"/>
  <c r="I64" s="1"/>
  <c r="H63"/>
  <c r="I62"/>
  <c r="H62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39"/>
  <c r="E40" s="1"/>
  <c r="F38"/>
  <c r="H38" s="1"/>
  <c r="I37"/>
  <c r="H37"/>
  <c r="H35"/>
  <c r="H34"/>
  <c r="I83" i="22"/>
  <c r="F95"/>
  <c r="I95" s="1"/>
  <c r="F94"/>
  <c r="H94" s="1"/>
  <c r="I92"/>
  <c r="H92"/>
  <c r="F90"/>
  <c r="I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F69"/>
  <c r="H69" s="1"/>
  <c r="F68"/>
  <c r="I68" s="1"/>
  <c r="F67"/>
  <c r="I67" s="1"/>
  <c r="F66"/>
  <c r="I66" s="1"/>
  <c r="F65"/>
  <c r="H65" s="1"/>
  <c r="F64"/>
  <c r="I64" s="1"/>
  <c r="H63"/>
  <c r="I62"/>
  <c r="H62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39"/>
  <c r="E40" s="1"/>
  <c r="F38"/>
  <c r="H38" s="1"/>
  <c r="I37"/>
  <c r="H37"/>
  <c r="H35"/>
  <c r="H34"/>
  <c r="F33"/>
  <c r="I33" s="1"/>
  <c r="E32"/>
  <c r="F32" s="1"/>
  <c r="F31"/>
  <c r="H31" s="1"/>
  <c r="F30"/>
  <c r="I30" s="1"/>
  <c r="I62" i="21"/>
  <c r="F95"/>
  <c r="I95" s="1"/>
  <c r="F94"/>
  <c r="H94" s="1"/>
  <c r="I90"/>
  <c r="H90"/>
  <c r="F88"/>
  <c r="I88" s="1"/>
  <c r="F87"/>
  <c r="H87" s="1"/>
  <c r="H86"/>
  <c r="F85"/>
  <c r="H85" s="1"/>
  <c r="F84"/>
  <c r="H84" s="1"/>
  <c r="F83"/>
  <c r="H83" s="1"/>
  <c r="F82"/>
  <c r="H82" s="1"/>
  <c r="F81"/>
  <c r="H81" s="1"/>
  <c r="F80"/>
  <c r="H80" s="1"/>
  <c r="F79"/>
  <c r="H79" s="1"/>
  <c r="H77"/>
  <c r="F75"/>
  <c r="H75" s="1"/>
  <c r="H74"/>
  <c r="F73"/>
  <c r="H73" s="1"/>
  <c r="H72"/>
  <c r="H71"/>
  <c r="F69"/>
  <c r="F68"/>
  <c r="I68" s="1"/>
  <c r="F67"/>
  <c r="I67" s="1"/>
  <c r="F66"/>
  <c r="I66" s="1"/>
  <c r="F65"/>
  <c r="H65" s="1"/>
  <c r="F64"/>
  <c r="I64" s="1"/>
  <c r="H63"/>
  <c r="H62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E39"/>
  <c r="F39" s="1"/>
  <c r="F38"/>
  <c r="I38" s="1"/>
  <c r="I37"/>
  <c r="H37"/>
  <c r="H35"/>
  <c r="H34"/>
  <c r="I52" i="20"/>
  <c r="F94"/>
  <c r="I94" s="1"/>
  <c r="F93"/>
  <c r="I93" s="1"/>
  <c r="I90"/>
  <c r="H90"/>
  <c r="F88"/>
  <c r="H88" s="1"/>
  <c r="F87"/>
  <c r="H87" s="1"/>
  <c r="H86"/>
  <c r="F85"/>
  <c r="H85" s="1"/>
  <c r="F84"/>
  <c r="H84" s="1"/>
  <c r="F83"/>
  <c r="H83" s="1"/>
  <c r="F82"/>
  <c r="H82" s="1"/>
  <c r="F81"/>
  <c r="H81" s="1"/>
  <c r="F80"/>
  <c r="H80" s="1"/>
  <c r="F79"/>
  <c r="H79" s="1"/>
  <c r="H77"/>
  <c r="F75"/>
  <c r="H75" s="1"/>
  <c r="H74"/>
  <c r="F73"/>
  <c r="H73" s="1"/>
  <c r="H72"/>
  <c r="H71"/>
  <c r="F69"/>
  <c r="H69" s="1"/>
  <c r="F68"/>
  <c r="H68" s="1"/>
  <c r="F67"/>
  <c r="H67" s="1"/>
  <c r="F66"/>
  <c r="H66" s="1"/>
  <c r="F65"/>
  <c r="H65" s="1"/>
  <c r="F64"/>
  <c r="H64" s="1"/>
  <c r="H62"/>
  <c r="F60"/>
  <c r="H60" s="1"/>
  <c r="I58"/>
  <c r="H58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E39"/>
  <c r="E40" s="1"/>
  <c r="F38"/>
  <c r="H38" s="1"/>
  <c r="I37"/>
  <c r="H37"/>
  <c r="H35"/>
  <c r="H34"/>
  <c r="F33"/>
  <c r="I33" s="1"/>
  <c r="E32"/>
  <c r="F32" s="1"/>
  <c r="F31"/>
  <c r="H31" s="1"/>
  <c r="F30"/>
  <c r="I30" s="1"/>
  <c r="F98" i="19"/>
  <c r="H98" s="1"/>
  <c r="F97"/>
  <c r="I97" s="1"/>
  <c r="I92"/>
  <c r="H92"/>
  <c r="F90"/>
  <c r="H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0"/>
  <c r="F58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H43"/>
  <c r="E40"/>
  <c r="E41" s="1"/>
  <c r="F39"/>
  <c r="H39" s="1"/>
  <c r="H38"/>
  <c r="H36"/>
  <c r="H35"/>
  <c r="F34"/>
  <c r="I34" s="1"/>
  <c r="E34"/>
  <c r="F33"/>
  <c r="I33" s="1"/>
  <c r="E32"/>
  <c r="F32" s="1"/>
  <c r="F31"/>
  <c r="H31" s="1"/>
  <c r="F30"/>
  <c r="I30" s="1"/>
  <c r="F96" i="18"/>
  <c r="I96" s="1"/>
  <c r="F95"/>
  <c r="H95" s="1"/>
  <c r="I93"/>
  <c r="H93"/>
  <c r="F91"/>
  <c r="H91" s="1"/>
  <c r="F90"/>
  <c r="H90" s="1"/>
  <c r="H89"/>
  <c r="F88"/>
  <c r="H88" s="1"/>
  <c r="F87"/>
  <c r="H87" s="1"/>
  <c r="F86"/>
  <c r="H86" s="1"/>
  <c r="F85"/>
  <c r="H85" s="1"/>
  <c r="F84"/>
  <c r="H84" s="1"/>
  <c r="F83"/>
  <c r="H83" s="1"/>
  <c r="F82"/>
  <c r="H82" s="1"/>
  <c r="H80"/>
  <c r="F78"/>
  <c r="H78" s="1"/>
  <c r="H77"/>
  <c r="F76"/>
  <c r="H76" s="1"/>
  <c r="H75"/>
  <c r="H74"/>
  <c r="F70"/>
  <c r="H70" s="1"/>
  <c r="F69"/>
  <c r="H69" s="1"/>
  <c r="F68"/>
  <c r="H68" s="1"/>
  <c r="F67"/>
  <c r="H67" s="1"/>
  <c r="F66"/>
  <c r="H66" s="1"/>
  <c r="F65"/>
  <c r="H65" s="1"/>
  <c r="H64"/>
  <c r="H63"/>
  <c r="F61"/>
  <c r="I59"/>
  <c r="H59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E40"/>
  <c r="F40" s="1"/>
  <c r="F39"/>
  <c r="I39" s="1"/>
  <c r="H38"/>
  <c r="H36"/>
  <c r="H35"/>
  <c r="F34"/>
  <c r="H34" s="1"/>
  <c r="E34"/>
  <c r="F33"/>
  <c r="H33" s="1"/>
  <c r="E32"/>
  <c r="F32" s="1"/>
  <c r="F31"/>
  <c r="I31" s="1"/>
  <c r="F30"/>
  <c r="H30" s="1"/>
  <c r="I91" i="17"/>
  <c r="I59"/>
  <c r="F96"/>
  <c r="H96" s="1"/>
  <c r="F95"/>
  <c r="I95" s="1"/>
  <c r="H91"/>
  <c r="F89"/>
  <c r="H89" s="1"/>
  <c r="F88"/>
  <c r="H88" s="1"/>
  <c r="H87"/>
  <c r="F86"/>
  <c r="H86" s="1"/>
  <c r="F85"/>
  <c r="H85" s="1"/>
  <c r="F84"/>
  <c r="H84" s="1"/>
  <c r="F83"/>
  <c r="H83" s="1"/>
  <c r="F82"/>
  <c r="H82" s="1"/>
  <c r="F81"/>
  <c r="H81" s="1"/>
  <c r="F80"/>
  <c r="H80" s="1"/>
  <c r="H78"/>
  <c r="F76"/>
  <c r="H76" s="1"/>
  <c r="H75"/>
  <c r="F74"/>
  <c r="H74" s="1"/>
  <c r="H73"/>
  <c r="H72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H59"/>
  <c r="F58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E40"/>
  <c r="E41" s="1"/>
  <c r="F39"/>
  <c r="H39" s="1"/>
  <c r="H38"/>
  <c r="H36"/>
  <c r="H35"/>
  <c r="F34"/>
  <c r="I34" s="1"/>
  <c r="E34"/>
  <c r="F33"/>
  <c r="I33" s="1"/>
  <c r="E32"/>
  <c r="F32" s="1"/>
  <c r="H32" s="1"/>
  <c r="F31"/>
  <c r="H31" s="1"/>
  <c r="F30"/>
  <c r="I30" s="1"/>
  <c r="F94" i="8"/>
  <c r="H94" s="1"/>
  <c r="F93"/>
  <c r="H93" s="1"/>
  <c r="F89"/>
  <c r="H89" s="1"/>
  <c r="F88"/>
  <c r="H88" s="1"/>
  <c r="H87"/>
  <c r="F86"/>
  <c r="H86" s="1"/>
  <c r="F85"/>
  <c r="H85" s="1"/>
  <c r="F84"/>
  <c r="H84" s="1"/>
  <c r="F83"/>
  <c r="H83" s="1"/>
  <c r="F82"/>
  <c r="H82" s="1"/>
  <c r="F81"/>
  <c r="H81" s="1"/>
  <c r="F80"/>
  <c r="H80" s="1"/>
  <c r="H78"/>
  <c r="F76"/>
  <c r="H76" s="1"/>
  <c r="H75"/>
  <c r="F74"/>
  <c r="H74" s="1"/>
  <c r="H73"/>
  <c r="H72"/>
  <c r="H91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H59"/>
  <c r="F58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E40"/>
  <c r="E41" s="1"/>
  <c r="F39"/>
  <c r="H39" s="1"/>
  <c r="H38"/>
  <c r="H36"/>
  <c r="H35"/>
  <c r="F34"/>
  <c r="H34" s="1"/>
  <c r="E34"/>
  <c r="F33"/>
  <c r="I33" s="1"/>
  <c r="E32"/>
  <c r="F32" s="1"/>
  <c r="H32" s="1"/>
  <c r="F31"/>
  <c r="H31" s="1"/>
  <c r="F30"/>
  <c r="H30" s="1"/>
  <c r="H27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61" i="18" l="1"/>
  <c r="I61"/>
  <c r="H50" i="17"/>
  <c r="H34"/>
  <c r="H90" i="22"/>
  <c r="I45" i="20"/>
  <c r="I68"/>
  <c r="I47"/>
  <c r="I66"/>
  <c r="H33" i="17"/>
  <c r="F40"/>
  <c r="H40" s="1"/>
  <c r="H30"/>
  <c r="H95"/>
  <c r="I34" i="8"/>
  <c r="H58" i="17"/>
  <c r="H69" i="21"/>
  <c r="I69"/>
  <c r="I51" i="20"/>
  <c r="H51" i="19"/>
  <c r="I51"/>
  <c r="H52"/>
  <c r="I52"/>
  <c r="H50"/>
  <c r="H88" i="25"/>
  <c r="E41"/>
  <c r="F41" s="1"/>
  <c r="F40"/>
  <c r="I38"/>
  <c r="F39"/>
  <c r="H44"/>
  <c r="I45"/>
  <c r="H46"/>
  <c r="I47"/>
  <c r="H48"/>
  <c r="I49"/>
  <c r="H50"/>
  <c r="I51"/>
  <c r="H57"/>
  <c r="H64"/>
  <c r="I65"/>
  <c r="H66"/>
  <c r="I67"/>
  <c r="H68"/>
  <c r="I92"/>
  <c r="H93"/>
  <c r="H89" i="24"/>
  <c r="I33"/>
  <c r="H33"/>
  <c r="I40"/>
  <c r="H40"/>
  <c r="I31"/>
  <c r="H32"/>
  <c r="I34"/>
  <c r="H39"/>
  <c r="E41"/>
  <c r="I45"/>
  <c r="H46"/>
  <c r="I47"/>
  <c r="H48"/>
  <c r="I49"/>
  <c r="H50"/>
  <c r="I51"/>
  <c r="H52"/>
  <c r="I58"/>
  <c r="I65"/>
  <c r="H66"/>
  <c r="I67"/>
  <c r="H68"/>
  <c r="I69"/>
  <c r="I93"/>
  <c r="H94"/>
  <c r="H46" i="23"/>
  <c r="H50"/>
  <c r="H57"/>
  <c r="H64"/>
  <c r="F39"/>
  <c r="H39" s="1"/>
  <c r="H44"/>
  <c r="H48"/>
  <c r="H68"/>
  <c r="H94"/>
  <c r="H66"/>
  <c r="E41"/>
  <c r="F41" s="1"/>
  <c r="F40"/>
  <c r="I38"/>
  <c r="I45"/>
  <c r="I47"/>
  <c r="I49"/>
  <c r="I51"/>
  <c r="I65"/>
  <c r="I67"/>
  <c r="I90"/>
  <c r="I95"/>
  <c r="H67" i="22"/>
  <c r="E41"/>
  <c r="F41" s="1"/>
  <c r="F40"/>
  <c r="H32"/>
  <c r="I32"/>
  <c r="H30"/>
  <c r="I31"/>
  <c r="H33"/>
  <c r="I38"/>
  <c r="F39"/>
  <c r="H44"/>
  <c r="I45"/>
  <c r="H46"/>
  <c r="I47"/>
  <c r="H48"/>
  <c r="I49"/>
  <c r="H50"/>
  <c r="I51"/>
  <c r="H57"/>
  <c r="H64"/>
  <c r="I65"/>
  <c r="H66"/>
  <c r="H68"/>
  <c r="I94"/>
  <c r="H95"/>
  <c r="H67" i="21"/>
  <c r="I39"/>
  <c r="H39"/>
  <c r="H38"/>
  <c r="E40"/>
  <c r="I44"/>
  <c r="H45"/>
  <c r="I46"/>
  <c r="H47"/>
  <c r="I48"/>
  <c r="H49"/>
  <c r="I50"/>
  <c r="H51"/>
  <c r="I57"/>
  <c r="H64"/>
  <c r="I65"/>
  <c r="H66"/>
  <c r="H68"/>
  <c r="H88"/>
  <c r="I94"/>
  <c r="H95"/>
  <c r="I50" i="20"/>
  <c r="I88"/>
  <c r="I95" s="1"/>
  <c r="H94"/>
  <c r="I48"/>
  <c r="I46"/>
  <c r="I44"/>
  <c r="I64"/>
  <c r="I67"/>
  <c r="I65"/>
  <c r="E41"/>
  <c r="F41" s="1"/>
  <c r="F40"/>
  <c r="H32"/>
  <c r="I32"/>
  <c r="H30"/>
  <c r="I31"/>
  <c r="H33"/>
  <c r="I38"/>
  <c r="F39"/>
  <c r="H49"/>
  <c r="H57"/>
  <c r="H93"/>
  <c r="H32" i="19"/>
  <c r="I32"/>
  <c r="E42"/>
  <c r="F42" s="1"/>
  <c r="I42" s="1"/>
  <c r="F41"/>
  <c r="H30"/>
  <c r="I31"/>
  <c r="H33"/>
  <c r="H34"/>
  <c r="I39"/>
  <c r="F40"/>
  <c r="H58"/>
  <c r="H97"/>
  <c r="I98"/>
  <c r="I40" i="18"/>
  <c r="H40"/>
  <c r="I32"/>
  <c r="H32"/>
  <c r="I30"/>
  <c r="H31"/>
  <c r="I33"/>
  <c r="I34"/>
  <c r="H39"/>
  <c r="E41"/>
  <c r="I50"/>
  <c r="I95"/>
  <c r="H96"/>
  <c r="E42" i="17"/>
  <c r="F42" s="1"/>
  <c r="I42" s="1"/>
  <c r="F41"/>
  <c r="I31"/>
  <c r="I32"/>
  <c r="I39"/>
  <c r="I40"/>
  <c r="I96"/>
  <c r="I94" i="8"/>
  <c r="I93"/>
  <c r="H17"/>
  <c r="H33"/>
  <c r="H50"/>
  <c r="H58"/>
  <c r="E42"/>
  <c r="F42" s="1"/>
  <c r="I42" s="1"/>
  <c r="F41"/>
  <c r="I39"/>
  <c r="F40"/>
  <c r="I30"/>
  <c r="I32"/>
  <c r="I31"/>
  <c r="I27"/>
  <c r="I18"/>
  <c r="H18"/>
  <c r="I16"/>
  <c r="I105" i="24" l="1"/>
  <c r="I39" i="23"/>
  <c r="I99" i="19"/>
  <c r="I97" i="17"/>
  <c r="I101" i="25"/>
  <c r="I105" i="22"/>
  <c r="H40" i="25"/>
  <c r="I40"/>
  <c r="H39"/>
  <c r="I39"/>
  <c r="H41"/>
  <c r="I41"/>
  <c r="F41" i="24"/>
  <c r="E42"/>
  <c r="F42" s="1"/>
  <c r="I106" i="23"/>
  <c r="H41"/>
  <c r="I41"/>
  <c r="H40"/>
  <c r="I40"/>
  <c r="H39" i="22"/>
  <c r="I39"/>
  <c r="H41"/>
  <c r="I41"/>
  <c r="H40"/>
  <c r="I40"/>
  <c r="I107" i="21"/>
  <c r="F40"/>
  <c r="E41"/>
  <c r="F41" s="1"/>
  <c r="H40" i="20"/>
  <c r="I40"/>
  <c r="H39"/>
  <c r="I39"/>
  <c r="I102" s="1"/>
  <c r="H41"/>
  <c r="I41"/>
  <c r="H40" i="19"/>
  <c r="I40"/>
  <c r="H42"/>
  <c r="H41"/>
  <c r="I41"/>
  <c r="F41" i="18"/>
  <c r="E42"/>
  <c r="F42" s="1"/>
  <c r="I42" s="1"/>
  <c r="H42" i="17"/>
  <c r="H41"/>
  <c r="I41"/>
  <c r="H40" i="8"/>
  <c r="I40"/>
  <c r="H42"/>
  <c r="H41"/>
  <c r="I41"/>
  <c r="I95" s="1"/>
  <c r="I108" i="19" l="1"/>
  <c r="I105" i="17"/>
  <c r="I42" i="24"/>
  <c r="H42"/>
  <c r="I41"/>
  <c r="H41"/>
  <c r="I41" i="21"/>
  <c r="H41"/>
  <c r="I40"/>
  <c r="H40"/>
  <c r="H42" i="18"/>
  <c r="I41"/>
  <c r="I97" s="1"/>
  <c r="H41"/>
  <c r="I104" l="1"/>
  <c r="I105" i="8" l="1"/>
</calcChain>
</file>

<file path=xl/sharedStrings.xml><?xml version="1.0" encoding="utf-8"?>
<sst xmlns="http://schemas.openxmlformats.org/spreadsheetml/2006/main" count="3037" uniqueCount="285">
  <si>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</si>
  <si>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</si>
  <si>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</si>
  <si>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</si>
  <si>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</si>
  <si>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</si>
  <si>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</si>
  <si>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</si>
  <si>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</si>
  <si>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</si>
  <si>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</si>
  <si>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</si>
  <si>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</si>
  <si>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</si>
  <si>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</si>
  <si>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</si>
  <si>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</si>
  <si>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</si>
  <si>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</si>
  <si>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</si>
  <si>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</si>
  <si>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</si>
  <si>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</si>
  <si>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</si>
  <si>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</si>
  <si>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</si>
  <si>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</si>
  <si>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</si>
  <si>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</si>
  <si>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</si>
  <si>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</si>
  <si>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</si>
  <si>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</si>
  <si>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</si>
  <si>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</si>
  <si>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</si>
  <si>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</si>
  <si>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</si>
  <si>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</si>
  <si>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</si>
  <si>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</si>
  <si>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</si>
  <si>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</si>
  <si>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</si>
  <si>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</si>
  <si>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</si>
  <si>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</si>
  <si>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</si>
  <si>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</si>
  <si>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</si>
  <si>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</si>
  <si>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</si>
  <si>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</si>
  <si>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</si>
  <si>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</si>
  <si>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</si>
  <si>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</si>
  <si>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</si>
  <si>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</si>
  <si>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</si>
  <si>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</si>
  <si>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</si>
  <si>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</si>
  <si>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</si>
  <si>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</si>
  <si>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</si>
  <si>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</si>
  <si>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</si>
  <si>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</si>
  <si>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</si>
  <si>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</si>
  <si>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</si>
  <si>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</si>
  <si>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</si>
  <si>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</si>
  <si>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</si>
  <si>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</si>
  <si>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</si>
  <si>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</si>
  <si>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</si>
  <si>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</si>
  <si>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</si>
  <si>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</si>
  <si>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 xml:space="preserve">ежедневно </t>
  </si>
  <si>
    <t>Влажное подметание лестничных клеток 1 этажа</t>
  </si>
  <si>
    <t>Работа автовышки</t>
  </si>
  <si>
    <t>Замена ламп ДРЛ</t>
  </si>
  <si>
    <t>1 шт</t>
  </si>
  <si>
    <t>Водоснабжение, канализация</t>
  </si>
  <si>
    <t>10м2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</si>
  <si>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</si>
  <si>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</si>
  <si>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</si>
  <si>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</si>
  <si>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</si>
  <si>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подоконников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</si>
  <si>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</si>
  <si>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</si>
  <si>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</si>
  <si>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</si>
  <si>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</si>
  <si>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</si>
  <si>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</si>
  <si>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</si>
  <si>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</si>
  <si>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</si>
  <si>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</si>
  <si>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</si>
  <si>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</si>
  <si>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</si>
  <si>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</si>
  <si>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</si>
  <si>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</si>
  <si>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</si>
  <si>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</si>
  <si>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</si>
  <si>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</si>
  <si>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</si>
  <si>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</si>
  <si>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</si>
  <si>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</si>
  <si>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</si>
  <si>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</si>
  <si>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</si>
  <si>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</si>
  <si>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</si>
  <si>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</si>
  <si>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Зачеканка раструбов канализационных труб диаметром до 100 мм</t>
  </si>
  <si>
    <t>Очистка канализационной сети внутренней</t>
  </si>
  <si>
    <t>Прочистка засоров ХВС</t>
  </si>
  <si>
    <t>3 м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</si>
  <si>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</si>
  <si>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</si>
  <si>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</si>
  <si>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</si>
  <si>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</si>
  <si>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</si>
  <si>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</si>
  <si>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</si>
  <si>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ул.Нефтяников пгт.Ярега
</t>
  </si>
  <si>
    <t>Влажная протирка шкафов для щитов и слаботочн.устройств</t>
  </si>
  <si>
    <t>Проверка дымоходов</t>
  </si>
  <si>
    <t>5 раз в год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</si>
  <si>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</si>
  <si>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д.5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</si>
  <si>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</si>
  <si>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</si>
  <si>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</si>
  <si>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</si>
  <si>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Очистка края кровли от слежавшегося снега со сбрасыванием сосулек (10% от S кровли, козырьки над подъездами)</t>
  </si>
  <si>
    <t>маш.-час</t>
  </si>
  <si>
    <t>Спуск воды после промывки СО в канализацию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</si>
  <si>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</si>
  <si>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</si>
  <si>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</si>
  <si>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</si>
  <si>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</si>
  <si>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</si>
  <si>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</si>
  <si>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№8</t>
  </si>
  <si>
    <t>III. Прочие услуги</t>
  </si>
  <si>
    <t>АКТ №9</t>
  </si>
  <si>
    <t>АКТ №10</t>
  </si>
  <si>
    <t>АКТ №11</t>
  </si>
  <si>
    <t>АКТ №12</t>
  </si>
  <si>
    <t>Дератизация</t>
  </si>
  <si>
    <t>м2</t>
  </si>
  <si>
    <t>по мере необходимости</t>
  </si>
  <si>
    <t>ООО «Движение»</t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</si>
  <si>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</si>
  <si>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</si>
  <si>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Организация и содержание мест накопления ТКО</t>
  </si>
  <si>
    <t>13 раз</t>
  </si>
  <si>
    <t>2 раза</t>
  </si>
  <si>
    <t>21 раз</t>
  </si>
  <si>
    <t>5 раз</t>
  </si>
  <si>
    <t>25 раз</t>
  </si>
  <si>
    <t>6 раз</t>
  </si>
  <si>
    <t>3 раза</t>
  </si>
  <si>
    <t>1 раз</t>
  </si>
  <si>
    <t>8 раз</t>
  </si>
  <si>
    <t xml:space="preserve">1 раз </t>
  </si>
  <si>
    <t>м</t>
  </si>
  <si>
    <t>9 м</t>
  </si>
  <si>
    <t>14 апреля</t>
  </si>
  <si>
    <t>1 маш/час</t>
  </si>
  <si>
    <t>1 м/час</t>
  </si>
  <si>
    <t xml:space="preserve">1 раз     </t>
  </si>
  <si>
    <t xml:space="preserve">1 раз   </t>
  </si>
  <si>
    <t xml:space="preserve">1 раз  </t>
  </si>
  <si>
    <t xml:space="preserve">1 раз    </t>
  </si>
  <si>
    <t>час</t>
  </si>
  <si>
    <t>Осмотр электросетей, армазуры и электрооборудования на лестничных клетках</t>
  </si>
  <si>
    <t>Смена арматуры - вентилей и клапанов обратных муфтовых диаметром до 32 мм</t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</si>
  <si>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</si>
  <si>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место</t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</si>
  <si>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</si>
  <si>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</si>
  <si>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Кочановой Ирины Леонидовны  действующего на основании Устава,  с другой стороны,  совместно именуемые "Стороны", составили настоящий Акт о нижеследующем:</t>
    </r>
  </si>
  <si>
    <t>Техническое обслуживание внутренних сетей водопровода и канализации</t>
  </si>
  <si>
    <t>руб/м2 в мес.</t>
  </si>
  <si>
    <t>за период с 01.01.2021 г. по 31.01.2021 г.</t>
  </si>
  <si>
    <t>21,25,26,28 янв.(1,8 ч)</t>
  </si>
  <si>
    <t>очистка канализационной сети внутренней</t>
  </si>
  <si>
    <t>Установка хомута диаметром до 50 мм</t>
  </si>
  <si>
    <t>Сварочные работы</t>
  </si>
  <si>
    <t>6 м</t>
  </si>
  <si>
    <t>с/о 1 шт. р/у</t>
  </si>
  <si>
    <t>кан-ция</t>
  </si>
  <si>
    <t>за период с 01.02.2021 г. по 28.02.2021 г.</t>
  </si>
  <si>
    <t>29.02.2021</t>
  </si>
  <si>
    <t>1,8 ч (1,3,4,5 февр)</t>
  </si>
  <si>
    <t>Очистка оголовка от снега и наледи</t>
  </si>
  <si>
    <t>Внеплановая проверка дымоходов</t>
  </si>
  <si>
    <t>2. Всего за период с 01.02.2021 по 29.02.2021 выполнено работ (оказано услуг) на общую сумму: 24572,46 руб.</t>
  </si>
  <si>
    <t>(двадцать четыре тысячи пятьсот семьдесят два рубля 46 копеек)</t>
  </si>
  <si>
    <t>за период с 01.03.2021 г. по 31.03.2021 г.</t>
  </si>
  <si>
    <t>2,16,29 марта</t>
  </si>
  <si>
    <t>11 марта</t>
  </si>
  <si>
    <t>Осмотр водопроводов, канализации, отопления</t>
  </si>
  <si>
    <t>2. Всего за период с 01.03.2021 по 31.03.2021 выполнено работ (оказано услуг) на общую сумму: 26036,70 руб.</t>
  </si>
  <si>
    <t>(двадцать шесть тысяч тридцать шесть рублей 70 копеек)</t>
  </si>
  <si>
    <t>за период с 01.04.2021 г. по 30.04.2021 г.</t>
  </si>
  <si>
    <t>Укрепление  дверных приборов -  петель</t>
  </si>
  <si>
    <t>Смена арматуры - вентилей и клапанов обратных муфтовых диаметром до 20 мм ( без материалов)</t>
  </si>
  <si>
    <t>1 шт. ХВС кв.23; 1 шт. ХВС кв.25</t>
  </si>
  <si>
    <t>чердак под.№2</t>
  </si>
  <si>
    <t>2. Всего за период с 01.04.2021 по 30.04.2021 выполнено работ (оказано услуг) на общую сумму: 21899,31 руб.</t>
  </si>
  <si>
    <t>(двадцать одна тысяча восемьсот девяносто девять рублей 31 копейка)</t>
  </si>
  <si>
    <t>за период с 01.05.2021 г. по 31.05.2021 г.</t>
  </si>
  <si>
    <t>Подборка мусора, налетевшего с контейнерной площадки</t>
  </si>
  <si>
    <t>Внеплановая проверка вентканалов</t>
  </si>
  <si>
    <t>кв.23</t>
  </si>
  <si>
    <t>2. Всего за период с 01.05.2021 по 31.05.2021 выполнено работ (оказано услуг) на общую сумму: 27925,58 руб.</t>
  </si>
  <si>
    <t>(двадцать семь тысяч девятьсот двадцать пять рублей 58 копеек)</t>
  </si>
  <si>
    <t>за период с 01.06.2021 г. по 30.06.2021 г.</t>
  </si>
  <si>
    <t>Смена радиаторов отопительных</t>
  </si>
  <si>
    <t>Радиатор 7 секций</t>
  </si>
  <si>
    <t>Радиатор 3 секции</t>
  </si>
  <si>
    <t>кв.22</t>
  </si>
  <si>
    <t>2 шт</t>
  </si>
  <si>
    <t>Ремонт групповых щитков на лестничных клетках под.№ 1,2,3</t>
  </si>
  <si>
    <t>руб</t>
  </si>
  <si>
    <t>2. Всего за период с 01.06.2021 по 30.06.2021 выполнено работ (оказано услуг) на общую сумму: 112557,72 руб.</t>
  </si>
  <si>
    <t>(сто двенадцать тысяч пятьсот пятьдесят семь рублей 72 копейки )</t>
  </si>
  <si>
    <t>за период с 01.07.2021 г. по 31.07.2021 г.</t>
  </si>
  <si>
    <t>Свод деревьев</t>
  </si>
  <si>
    <t>1 мЗ</t>
  </si>
  <si>
    <t>Работа автопогрузчика</t>
  </si>
  <si>
    <t>1 шт. ХВС кв.13</t>
  </si>
  <si>
    <t>кв.26</t>
  </si>
  <si>
    <t>2. Всего за период с 01.07.2021 по 31.07.2021 выполнено работ (оказано услуг) на общую сумму: 22648,52 руб.</t>
  </si>
  <si>
    <t>(двадцать две тысячи шестьсот сорок восемь рублей 52 копейки)</t>
  </si>
  <si>
    <t>2. Всего за период с 01.01.2021 по 31.01.2021 выполнено работ (оказано услуг) на общую сумму: 41757,56 руб.</t>
  </si>
  <si>
    <t>(сорок одна тысяча семьсот пятьдесят семь рублей 56 копеек)</t>
  </si>
  <si>
    <t>за период с 01.08.2021 г. по 31.08.2021 г.</t>
  </si>
  <si>
    <t>Нумерация подъездов и квартир</t>
  </si>
  <si>
    <t>10 м2</t>
  </si>
  <si>
    <t>Очистка цоколя и отмостки от растительности</t>
  </si>
  <si>
    <t>17 м</t>
  </si>
  <si>
    <t>под.№3</t>
  </si>
  <si>
    <t>2. Всего за период с 01.08.2021 по 31.08.2021 выполнено работ (оказано услуг) на общую сумму: 25564,32 руб.</t>
  </si>
  <si>
    <t>(двадцать пять тысяч пятьсот шестьдесят четыре рубля 32 копейки)</t>
  </si>
  <si>
    <t>за период с 01.09.2021 г. по 30.09.2021 г.</t>
  </si>
  <si>
    <t>Работа ротенбергера</t>
  </si>
  <si>
    <t>Ремонт отдельных мест покрытия из асбоцементных листов обыкновенного профиля</t>
  </si>
  <si>
    <t>Шифер</t>
  </si>
  <si>
    <t>1,9 м2</t>
  </si>
  <si>
    <t>1 л</t>
  </si>
  <si>
    <t>4 м</t>
  </si>
  <si>
    <t>2. Всего за период с 01.09.2021 по 30.09.2021 выполнено работ (оказано услуг) на общую сумму: 28417,30 руб.</t>
  </si>
  <si>
    <t>(двадцать восемь тысяч четыреста семнадцать рублей 30 копеек)</t>
  </si>
  <si>
    <t>за период с 01.10.2021 г. по 31.10.2021 г.</t>
  </si>
  <si>
    <t>100шт</t>
  </si>
  <si>
    <t>2. Всего за период с 01.10.2021 по 31.10.2021 выполнено работ (оказано услуг) на общую сумму: 19197,38 руб.</t>
  </si>
  <si>
    <t>( девятнадцать тысяч сто девяносто семь рублей 38 копеек)</t>
  </si>
  <si>
    <t>за период с 01.11.2021 г. по 30.11.2021 г.</t>
  </si>
  <si>
    <t>22,30 ноября</t>
  </si>
  <si>
    <t>Закрытие продухов</t>
  </si>
  <si>
    <t>2. Всего за период с 01.11.2021 по 30.11.2021 выполнено работ (оказано услуг) на общую сумму: 30614,58 руб.</t>
  </si>
  <si>
    <t>(тридцать тысяч шестьсот четырнадцать рублей 58 копеек)</t>
  </si>
  <si>
    <t>за период с 01.12.2021 г. по 31.12.2021 г.</t>
  </si>
  <si>
    <t>2,16,30 декабря</t>
  </si>
  <si>
    <t>2. Всего за период с 01.12.2021 по 31.12.2021 выполнено работ (оказано услуг) на общую сумму: 23122,31 руб.</t>
  </si>
  <si>
    <t>(двадцать три тысячи сто двадцать два рубля 31 копейка)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</si>
</sst>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left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6"/>
  <sheetViews>
    <sheetView topLeftCell="A90" workbookViewId="0">
      <selection activeCell="A111" sqref="A111:I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143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201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71"/>
      <c r="F6" s="61"/>
      <c r="G6" s="61"/>
      <c r="H6" s="71"/>
      <c r="I6" s="32">
        <v>44227</v>
      </c>
      <c r="J6" s="2"/>
      <c r="K6" s="2"/>
      <c r="L6" s="2"/>
      <c r="M6" s="2"/>
    </row>
    <row r="7" spans="1:13" ht="15.75" customHeight="1">
      <c r="B7" s="58"/>
      <c r="C7" s="58"/>
      <c r="D7" s="58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197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76.5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95</v>
      </c>
      <c r="C20" s="82" t="s">
        <v>53</v>
      </c>
      <c r="D20" s="81" t="s">
        <v>94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96</v>
      </c>
      <c r="C21" s="82" t="s">
        <v>92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97</v>
      </c>
      <c r="C22" s="82" t="s">
        <v>92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98</v>
      </c>
      <c r="C23" s="82" t="s">
        <v>53</v>
      </c>
      <c r="D23" s="81" t="s">
        <v>94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99</v>
      </c>
      <c r="C24" s="82" t="s">
        <v>53</v>
      </c>
      <c r="D24" s="81" t="s">
        <v>94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100</v>
      </c>
      <c r="C25" s="82" t="s">
        <v>53</v>
      </c>
      <c r="D25" s="81" t="s">
        <v>94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140</v>
      </c>
      <c r="C26" s="82" t="s">
        <v>53</v>
      </c>
      <c r="D26" s="81" t="s">
        <v>94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77" t="s">
        <v>82</v>
      </c>
      <c r="B28" s="177"/>
      <c r="C28" s="177"/>
      <c r="D28" s="177"/>
      <c r="E28" s="177"/>
      <c r="F28" s="177"/>
      <c r="G28" s="177"/>
      <c r="H28" s="177"/>
      <c r="I28" s="177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101</v>
      </c>
      <c r="C30" s="82" t="s">
        <v>102</v>
      </c>
      <c r="D30" s="81" t="s">
        <v>103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104</v>
      </c>
      <c r="C31" s="82" t="s">
        <v>102</v>
      </c>
      <c r="D31" s="81" t="s">
        <v>105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102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106</v>
      </c>
      <c r="C33" s="82" t="s">
        <v>40</v>
      </c>
      <c r="D33" s="81" t="s">
        <v>63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107</v>
      </c>
      <c r="C34" s="82" t="s">
        <v>29</v>
      </c>
      <c r="D34" s="81" t="s">
        <v>63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30.75" customHeight="1">
      <c r="A38" s="35">
        <v>5</v>
      </c>
      <c r="B38" s="81" t="s">
        <v>25</v>
      </c>
      <c r="C38" s="82" t="s">
        <v>31</v>
      </c>
      <c r="D38" s="81" t="s">
        <v>202</v>
      </c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G38*1.8</f>
        <v>3420.6659999999997</v>
      </c>
      <c r="J38" s="25"/>
    </row>
    <row r="39" spans="1:14" ht="15.75" customHeight="1">
      <c r="A39" s="35">
        <v>6</v>
      </c>
      <c r="B39" s="81" t="s">
        <v>67</v>
      </c>
      <c r="C39" s="82" t="s">
        <v>28</v>
      </c>
      <c r="D39" s="81" t="s">
        <v>175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7</v>
      </c>
      <c r="B40" s="81" t="s">
        <v>68</v>
      </c>
      <c r="C40" s="82" t="s">
        <v>28</v>
      </c>
      <c r="D40" s="81" t="s">
        <v>176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8</v>
      </c>
      <c r="B41" s="81" t="s">
        <v>81</v>
      </c>
      <c r="C41" s="82" t="s">
        <v>102</v>
      </c>
      <c r="D41" s="81" t="s">
        <v>177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customHeight="1">
      <c r="A42" s="35">
        <v>9</v>
      </c>
      <c r="B42" s="81" t="s">
        <v>111</v>
      </c>
      <c r="C42" s="82" t="s">
        <v>102</v>
      </c>
      <c r="D42" s="81"/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G42*F42/20*1</f>
        <v>18.243990000000004</v>
      </c>
      <c r="J42" s="25"/>
      <c r="L42" s="21"/>
      <c r="M42" s="22"/>
      <c r="N42" s="23"/>
    </row>
    <row r="43" spans="1:14" ht="15.75" customHeight="1">
      <c r="A43" s="35">
        <v>10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G43*F43/20*1</f>
        <v>24.824249999999999</v>
      </c>
      <c r="J43" s="25"/>
      <c r="L43" s="21"/>
      <c r="M43" s="22"/>
      <c r="N43" s="23"/>
    </row>
    <row r="44" spans="1:14" ht="15.75" customHeight="1">
      <c r="A44" s="162" t="s">
        <v>145</v>
      </c>
      <c r="B44" s="163"/>
      <c r="C44" s="163"/>
      <c r="D44" s="163"/>
      <c r="E44" s="163"/>
      <c r="F44" s="163"/>
      <c r="G44" s="163"/>
      <c r="H44" s="163"/>
      <c r="I44" s="164"/>
      <c r="J44" s="25"/>
      <c r="L44" s="21"/>
      <c r="M44" s="22"/>
      <c r="N44" s="23"/>
    </row>
    <row r="45" spans="1:14" ht="15.75" hidden="1" customHeight="1">
      <c r="A45" s="42">
        <v>15</v>
      </c>
      <c r="B45" s="81" t="s">
        <v>113</v>
      </c>
      <c r="C45" s="82" t="s">
        <v>102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3" si="5">SUM(F45*G45/1000)</f>
        <v>2.6521417440000006</v>
      </c>
      <c r="I45" s="14">
        <v>0</v>
      </c>
      <c r="J45" s="25"/>
      <c r="L45" s="21"/>
      <c r="M45" s="22"/>
      <c r="N45" s="23"/>
    </row>
    <row r="46" spans="1:14" ht="15.75" hidden="1" customHeight="1">
      <c r="A46" s="42"/>
      <c r="B46" s="81" t="s">
        <v>35</v>
      </c>
      <c r="C46" s="82" t="s">
        <v>102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15.75" hidden="1" customHeight="1">
      <c r="A47" s="42">
        <v>16</v>
      </c>
      <c r="B47" s="81" t="s">
        <v>36</v>
      </c>
      <c r="C47" s="82" t="s">
        <v>102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15.75" hidden="1" customHeight="1">
      <c r="A48" s="42">
        <v>17</v>
      </c>
      <c r="B48" s="81" t="s">
        <v>37</v>
      </c>
      <c r="C48" s="82" t="s">
        <v>102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15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15.75" customHeight="1">
      <c r="A50" s="42">
        <v>11</v>
      </c>
      <c r="B50" s="81" t="s">
        <v>56</v>
      </c>
      <c r="C50" s="82" t="s">
        <v>102</v>
      </c>
      <c r="D50" s="81" t="s">
        <v>179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hidden="1" customHeight="1">
      <c r="A51" s="42">
        <v>13</v>
      </c>
      <c r="B51" s="81" t="s">
        <v>114</v>
      </c>
      <c r="C51" s="82" t="s">
        <v>102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v>0</v>
      </c>
      <c r="J51" s="25"/>
      <c r="L51" s="21"/>
      <c r="M51" s="22"/>
      <c r="N51" s="23"/>
    </row>
    <row r="52" spans="1:14" ht="31.5" hidden="1" customHeight="1">
      <c r="A52" s="42">
        <v>14</v>
      </c>
      <c r="B52" s="81" t="s">
        <v>115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v>0</v>
      </c>
      <c r="J52" s="25"/>
      <c r="L52" s="21"/>
      <c r="M52" s="22"/>
      <c r="N52" s="23"/>
    </row>
    <row r="53" spans="1:14" ht="15.75" hidden="1" customHeight="1">
      <c r="A53" s="149">
        <v>15</v>
      </c>
      <c r="B53" s="91" t="s">
        <v>39</v>
      </c>
      <c r="C53" s="92" t="s">
        <v>40</v>
      </c>
      <c r="D53" s="91" t="s">
        <v>42</v>
      </c>
      <c r="E53" s="93">
        <v>1</v>
      </c>
      <c r="F53" s="94">
        <v>0.02</v>
      </c>
      <c r="G53" s="104">
        <v>7033.13</v>
      </c>
      <c r="H53" s="85">
        <f t="shared" si="5"/>
        <v>0.1406626</v>
      </c>
      <c r="I53" s="14">
        <v>0</v>
      </c>
      <c r="J53" s="25"/>
      <c r="L53" s="21"/>
      <c r="M53" s="22"/>
      <c r="N53" s="23"/>
    </row>
    <row r="54" spans="1:14" ht="15.75" customHeight="1">
      <c r="A54" s="42">
        <v>12</v>
      </c>
      <c r="B54" s="81" t="s">
        <v>141</v>
      </c>
      <c r="C54" s="82" t="s">
        <v>29</v>
      </c>
      <c r="D54" s="136">
        <v>44225</v>
      </c>
      <c r="E54" s="83">
        <v>36</v>
      </c>
      <c r="F54" s="84">
        <f>E54*3</f>
        <v>108</v>
      </c>
      <c r="G54" s="14">
        <v>175.6</v>
      </c>
      <c r="H54" s="85">
        <f t="shared" ref="H54:H55" si="6">SUM(F54*G54/1000)</f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customHeight="1">
      <c r="A55" s="42">
        <v>13</v>
      </c>
      <c r="B55" s="81" t="s">
        <v>41</v>
      </c>
      <c r="C55" s="82" t="s">
        <v>29</v>
      </c>
      <c r="D55" s="136">
        <v>44225</v>
      </c>
      <c r="E55" s="83">
        <v>36</v>
      </c>
      <c r="F55" s="84">
        <f>SUM(E55)*3</f>
        <v>108</v>
      </c>
      <c r="G55" s="14">
        <v>81.73</v>
      </c>
      <c r="H55" s="85">
        <f t="shared" si="6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62" t="s">
        <v>146</v>
      </c>
      <c r="B56" s="163"/>
      <c r="C56" s="163"/>
      <c r="D56" s="163"/>
      <c r="E56" s="163"/>
      <c r="F56" s="163"/>
      <c r="G56" s="163"/>
      <c r="H56" s="163"/>
      <c r="I56" s="164"/>
      <c r="J56" s="25"/>
      <c r="L56" s="21"/>
      <c r="M56" s="22"/>
      <c r="N56" s="23"/>
    </row>
    <row r="57" spans="1:14" ht="15.75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customHeight="1">
      <c r="A58" s="42">
        <v>14</v>
      </c>
      <c r="B58" s="81" t="s">
        <v>149</v>
      </c>
      <c r="C58" s="82" t="s">
        <v>92</v>
      </c>
      <c r="D58" s="81"/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G58*0.09</f>
        <v>207.59579999999997</v>
      </c>
      <c r="J58" s="25"/>
      <c r="L58" s="21"/>
      <c r="M58" s="22"/>
      <c r="N58" s="23"/>
    </row>
    <row r="59" spans="1:14" ht="15.75" hidden="1" customHeight="1">
      <c r="A59" s="42">
        <v>16</v>
      </c>
      <c r="B59" s="81" t="s">
        <v>85</v>
      </c>
      <c r="C59" s="82" t="s">
        <v>150</v>
      </c>
      <c r="D59" s="81" t="s">
        <v>66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G59*1.3</f>
        <v>1951.3</v>
      </c>
      <c r="J59" s="25"/>
      <c r="L59" s="21"/>
      <c r="M59" s="22"/>
      <c r="N59" s="23"/>
    </row>
    <row r="60" spans="1:14" ht="15.75" hidden="1" customHeight="1">
      <c r="A60" s="42"/>
      <c r="B60" s="63" t="s">
        <v>44</v>
      </c>
      <c r="C60" s="63"/>
      <c r="D60" s="63"/>
      <c r="E60" s="70"/>
      <c r="F60" s="63"/>
      <c r="G60" s="63"/>
      <c r="H60" s="70"/>
      <c r="I60" s="37"/>
      <c r="J60" s="25"/>
      <c r="L60" s="21"/>
      <c r="M60" s="22"/>
      <c r="N60" s="23"/>
    </row>
    <row r="61" spans="1:14" ht="15.7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15.75" customHeight="1">
      <c r="A62" s="42"/>
      <c r="B62" s="63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15.75" hidden="1" customHeight="1">
      <c r="A63" s="42">
        <v>17</v>
      </c>
      <c r="B63" s="16" t="s">
        <v>47</v>
      </c>
      <c r="C63" s="18" t="s">
        <v>116</v>
      </c>
      <c r="D63" s="16" t="s">
        <v>66</v>
      </c>
      <c r="E63" s="20">
        <v>10</v>
      </c>
      <c r="F63" s="84">
        <v>10</v>
      </c>
      <c r="G63" s="14">
        <v>276.74</v>
      </c>
      <c r="H63" s="97">
        <f t="shared" ref="H63:H70" si="7">SUM(F63*G63/1000)</f>
        <v>2.7674000000000003</v>
      </c>
      <c r="I63" s="14">
        <v>0</v>
      </c>
    </row>
    <row r="64" spans="1:14" ht="15.75" customHeight="1">
      <c r="A64" s="31">
        <v>15</v>
      </c>
      <c r="B64" s="16" t="s">
        <v>48</v>
      </c>
      <c r="C64" s="18" t="s">
        <v>116</v>
      </c>
      <c r="D64" s="16" t="s">
        <v>179</v>
      </c>
      <c r="E64" s="20">
        <v>3</v>
      </c>
      <c r="F64" s="84">
        <v>3</v>
      </c>
      <c r="G64" s="14">
        <v>94.89</v>
      </c>
      <c r="H64" s="97">
        <f t="shared" si="7"/>
        <v>0.28467000000000003</v>
      </c>
      <c r="I64" s="14">
        <f>G64*1</f>
        <v>94.89</v>
      </c>
    </row>
    <row r="65" spans="1:22" ht="15.75" hidden="1" customHeight="1">
      <c r="A65" s="31">
        <v>8</v>
      </c>
      <c r="B65" s="16" t="s">
        <v>49</v>
      </c>
      <c r="C65" s="18" t="s">
        <v>117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7"/>
        <v>19.820369200000002</v>
      </c>
      <c r="I65" s="14">
        <v>0</v>
      </c>
    </row>
    <row r="66" spans="1:22" ht="15.75" hidden="1" customHeight="1">
      <c r="A66" s="31">
        <v>9</v>
      </c>
      <c r="B66" s="16" t="s">
        <v>50</v>
      </c>
      <c r="C66" s="18" t="s">
        <v>118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7"/>
        <v>1.54341956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1">
        <v>10</v>
      </c>
      <c r="B67" s="16" t="s">
        <v>51</v>
      </c>
      <c r="C67" s="18" t="s">
        <v>76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7"/>
        <v>28.138677000000005</v>
      </c>
      <c r="I67" s="14">
        <v>0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1">
        <v>11</v>
      </c>
      <c r="B68" s="98" t="s">
        <v>119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7"/>
        <v>0.35113000000000005</v>
      </c>
      <c r="I68" s="14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31">
        <v>12</v>
      </c>
      <c r="B69" s="98" t="s">
        <v>151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7"/>
        <v>0.327598</v>
      </c>
      <c r="I69" s="14">
        <v>0</v>
      </c>
      <c r="J69" s="5"/>
      <c r="K69" s="5"/>
      <c r="L69" s="5"/>
      <c r="M69" s="5"/>
      <c r="N69" s="5"/>
      <c r="O69" s="5"/>
      <c r="P69" s="5"/>
      <c r="Q69" s="5"/>
      <c r="R69" s="153"/>
      <c r="S69" s="153"/>
      <c r="T69" s="153"/>
      <c r="U69" s="153"/>
    </row>
    <row r="70" spans="1:22" ht="15.75" hidden="1" customHeight="1">
      <c r="A70" s="31">
        <v>13</v>
      </c>
      <c r="B70" s="16" t="s">
        <v>57</v>
      </c>
      <c r="C70" s="18" t="s">
        <v>58</v>
      </c>
      <c r="D70" s="16" t="s">
        <v>54</v>
      </c>
      <c r="E70" s="20">
        <v>3</v>
      </c>
      <c r="F70" s="84">
        <f>SUM(E70)</f>
        <v>3</v>
      </c>
      <c r="G70" s="14">
        <v>62.07</v>
      </c>
      <c r="H70" s="97">
        <f t="shared" si="7"/>
        <v>0.18621000000000001</v>
      </c>
      <c r="I70" s="14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31"/>
      <c r="B71" s="50" t="s">
        <v>72</v>
      </c>
      <c r="C71" s="50"/>
      <c r="D71" s="50"/>
      <c r="E71" s="50"/>
      <c r="F71" s="20"/>
      <c r="G71" s="31"/>
      <c r="H71" s="31"/>
      <c r="I71" s="20"/>
    </row>
    <row r="72" spans="1:22" ht="15.75" hidden="1" customHeight="1">
      <c r="A72" s="31"/>
      <c r="B72" s="16" t="s">
        <v>122</v>
      </c>
      <c r="C72" s="18" t="s">
        <v>123</v>
      </c>
      <c r="D72" s="39" t="s">
        <v>66</v>
      </c>
      <c r="E72" s="20">
        <v>3</v>
      </c>
      <c r="F72" s="14">
        <v>3</v>
      </c>
      <c r="G72" s="14">
        <v>976.4</v>
      </c>
      <c r="H72" s="97">
        <f t="shared" ref="H72:H76" si="8">SUM(F72*G72/1000)</f>
        <v>2.9291999999999998</v>
      </c>
      <c r="I72" s="14">
        <v>0</v>
      </c>
    </row>
    <row r="73" spans="1:22" ht="15.75" hidden="1" customHeight="1">
      <c r="A73" s="31"/>
      <c r="B73" s="16" t="s">
        <v>124</v>
      </c>
      <c r="C73" s="18" t="s">
        <v>125</v>
      </c>
      <c r="D73" s="16"/>
      <c r="E73" s="20">
        <v>1</v>
      </c>
      <c r="F73" s="14">
        <v>1</v>
      </c>
      <c r="G73" s="14">
        <v>750</v>
      </c>
      <c r="H73" s="97">
        <f t="shared" si="8"/>
        <v>0.75</v>
      </c>
      <c r="I73" s="14">
        <v>0</v>
      </c>
    </row>
    <row r="74" spans="1:22" ht="15.75" hidden="1" customHeight="1">
      <c r="A74" s="31"/>
      <c r="B74" s="16" t="s">
        <v>73</v>
      </c>
      <c r="C74" s="18" t="s">
        <v>30</v>
      </c>
      <c r="D74" s="39" t="s">
        <v>66</v>
      </c>
      <c r="E74" s="20">
        <v>3</v>
      </c>
      <c r="F74" s="14">
        <f>E74/10</f>
        <v>0.3</v>
      </c>
      <c r="G74" s="14">
        <v>624.16999999999996</v>
      </c>
      <c r="H74" s="97">
        <f t="shared" si="8"/>
        <v>0.18725099999999997</v>
      </c>
      <c r="I74" s="14">
        <v>0</v>
      </c>
    </row>
    <row r="75" spans="1:22" ht="15.75" hidden="1" customHeight="1">
      <c r="A75" s="31"/>
      <c r="B75" s="16" t="s">
        <v>74</v>
      </c>
      <c r="C75" s="18" t="s">
        <v>29</v>
      </c>
      <c r="D75" s="39" t="s">
        <v>66</v>
      </c>
      <c r="E75" s="20">
        <v>1</v>
      </c>
      <c r="F75" s="14">
        <v>1</v>
      </c>
      <c r="G75" s="14">
        <v>1061.4100000000001</v>
      </c>
      <c r="H75" s="97">
        <f t="shared" si="8"/>
        <v>1.0614100000000002</v>
      </c>
      <c r="I75" s="14">
        <v>0</v>
      </c>
    </row>
    <row r="76" spans="1:22" ht="15.75" hidden="1" customHeight="1">
      <c r="A76" s="31">
        <v>17</v>
      </c>
      <c r="B76" s="16" t="s">
        <v>86</v>
      </c>
      <c r="C76" s="18" t="s">
        <v>29</v>
      </c>
      <c r="D76" s="39" t="s">
        <v>66</v>
      </c>
      <c r="E76" s="20">
        <v>1</v>
      </c>
      <c r="F76" s="84">
        <f>SUM(E76)</f>
        <v>1</v>
      </c>
      <c r="G76" s="14">
        <v>446.12</v>
      </c>
      <c r="H76" s="97">
        <f t="shared" si="8"/>
        <v>0.44612000000000002</v>
      </c>
      <c r="I76" s="14">
        <v>0</v>
      </c>
    </row>
    <row r="77" spans="1:22" ht="15.75" hidden="1" customHeight="1">
      <c r="A77" s="31"/>
      <c r="B77" s="51" t="s">
        <v>75</v>
      </c>
      <c r="C77" s="40"/>
      <c r="D77" s="31"/>
      <c r="E77" s="31"/>
      <c r="F77" s="20"/>
      <c r="G77" s="38"/>
      <c r="H77" s="38"/>
      <c r="I77" s="20"/>
    </row>
    <row r="78" spans="1:22" ht="15.75" hidden="1" customHeight="1">
      <c r="A78" s="31">
        <v>39</v>
      </c>
      <c r="B78" s="53" t="s">
        <v>126</v>
      </c>
      <c r="C78" s="18" t="s">
        <v>76</v>
      </c>
      <c r="D78" s="16"/>
      <c r="E78" s="20"/>
      <c r="F78" s="14">
        <v>1.35</v>
      </c>
      <c r="G78" s="14">
        <v>3433.68</v>
      </c>
      <c r="H78" s="97">
        <f t="shared" ref="H78" si="9">SUM(F78*G78/1000)</f>
        <v>4.6354679999999995</v>
      </c>
      <c r="I78" s="14">
        <v>0</v>
      </c>
    </row>
    <row r="79" spans="1:22" ht="15.75" hidden="1" customHeight="1">
      <c r="A79" s="31"/>
      <c r="B79" s="63" t="s">
        <v>88</v>
      </c>
      <c r="C79" s="64"/>
      <c r="D79" s="33"/>
      <c r="E79" s="33"/>
      <c r="F79" s="13"/>
      <c r="G79" s="38"/>
      <c r="H79" s="38"/>
      <c r="I79" s="20"/>
    </row>
    <row r="80" spans="1:22" ht="31.5" hidden="1" customHeight="1">
      <c r="A80" s="31"/>
      <c r="B80" s="16" t="s">
        <v>127</v>
      </c>
      <c r="C80" s="18" t="s">
        <v>87</v>
      </c>
      <c r="D80" s="16" t="s">
        <v>66</v>
      </c>
      <c r="E80" s="20">
        <v>6</v>
      </c>
      <c r="F80" s="14">
        <f>E80</f>
        <v>6</v>
      </c>
      <c r="G80" s="14">
        <v>297.44</v>
      </c>
      <c r="H80" s="97">
        <f t="shared" ref="H80:H89" si="10">SUM(F80*G80/1000)</f>
        <v>1.7846399999999998</v>
      </c>
      <c r="I80" s="14">
        <v>0</v>
      </c>
    </row>
    <row r="81" spans="1:9" ht="15.75" hidden="1" customHeight="1">
      <c r="A81" s="31"/>
      <c r="B81" s="16" t="s">
        <v>128</v>
      </c>
      <c r="C81" s="18" t="s">
        <v>80</v>
      </c>
      <c r="D81" s="16" t="s">
        <v>66</v>
      </c>
      <c r="E81" s="20">
        <v>12</v>
      </c>
      <c r="F81" s="14">
        <f>E81</f>
        <v>12</v>
      </c>
      <c r="G81" s="14">
        <v>122.35</v>
      </c>
      <c r="H81" s="97">
        <f t="shared" si="10"/>
        <v>1.4681999999999997</v>
      </c>
      <c r="I81" s="14">
        <v>0</v>
      </c>
    </row>
    <row r="82" spans="1:9" ht="15.75" hidden="1" customHeight="1">
      <c r="A82" s="31"/>
      <c r="B82" s="16" t="s">
        <v>129</v>
      </c>
      <c r="C82" s="18" t="s">
        <v>130</v>
      </c>
      <c r="D82" s="16" t="s">
        <v>66</v>
      </c>
      <c r="E82" s="20">
        <v>9</v>
      </c>
      <c r="F82" s="14">
        <f>E82/3</f>
        <v>3</v>
      </c>
      <c r="G82" s="14">
        <v>1063.47</v>
      </c>
      <c r="H82" s="97">
        <f t="shared" si="10"/>
        <v>3.19041</v>
      </c>
      <c r="I82" s="14">
        <v>0</v>
      </c>
    </row>
    <row r="83" spans="1:9" ht="31.5" hidden="1" customHeight="1">
      <c r="A83" s="31"/>
      <c r="B83" s="16" t="s">
        <v>131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1564.44</v>
      </c>
      <c r="H83" s="97">
        <f t="shared" si="10"/>
        <v>9.3866399999999999</v>
      </c>
      <c r="I83" s="14">
        <v>0</v>
      </c>
    </row>
    <row r="84" spans="1:9" ht="31.5" hidden="1" customHeight="1">
      <c r="A84" s="31"/>
      <c r="B84" s="16" t="s">
        <v>132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1906.89</v>
      </c>
      <c r="H84" s="97">
        <f t="shared" si="10"/>
        <v>11.44134</v>
      </c>
      <c r="I84" s="14">
        <v>0</v>
      </c>
    </row>
    <row r="85" spans="1:9" ht="31.5" hidden="1" customHeight="1">
      <c r="A85" s="31"/>
      <c r="B85" s="16" t="s">
        <v>133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664.35</v>
      </c>
      <c r="H85" s="97">
        <f t="shared" si="10"/>
        <v>3.9861000000000004</v>
      </c>
      <c r="I85" s="14">
        <v>0</v>
      </c>
    </row>
    <row r="86" spans="1:9" ht="31.5" hidden="1" customHeight="1">
      <c r="A86" s="31"/>
      <c r="B86" s="16" t="s">
        <v>134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778.85</v>
      </c>
      <c r="H86" s="97">
        <f t="shared" si="10"/>
        <v>4.6731000000000007</v>
      </c>
      <c r="I86" s="14">
        <v>0</v>
      </c>
    </row>
    <row r="87" spans="1:9" ht="15.75" hidden="1" customHeight="1">
      <c r="A87" s="31"/>
      <c r="B87" s="16" t="s">
        <v>135</v>
      </c>
      <c r="C87" s="18" t="s">
        <v>123</v>
      </c>
      <c r="D87" s="16" t="s">
        <v>66</v>
      </c>
      <c r="E87" s="20">
        <v>3</v>
      </c>
      <c r="F87" s="14">
        <v>3</v>
      </c>
      <c r="G87" s="14">
        <v>498.11</v>
      </c>
      <c r="H87" s="97">
        <f t="shared" si="10"/>
        <v>1.4943299999999999</v>
      </c>
      <c r="I87" s="14">
        <v>0</v>
      </c>
    </row>
    <row r="88" spans="1:9" ht="31.5" hidden="1" customHeight="1">
      <c r="A88" s="31"/>
      <c r="B88" s="16" t="s">
        <v>136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1264.3399999999999</v>
      </c>
      <c r="H88" s="97">
        <f t="shared" si="10"/>
        <v>7.5860399999999988</v>
      </c>
      <c r="I88" s="14">
        <v>0</v>
      </c>
    </row>
    <row r="89" spans="1:9" ht="15.75" hidden="1" customHeight="1">
      <c r="A89" s="31"/>
      <c r="B89" s="16" t="s">
        <v>137</v>
      </c>
      <c r="C89" s="18" t="s">
        <v>28</v>
      </c>
      <c r="D89" s="16" t="s">
        <v>42</v>
      </c>
      <c r="E89" s="20">
        <v>823</v>
      </c>
      <c r="F89" s="14">
        <f>E89*2/1000</f>
        <v>1.6459999999999999</v>
      </c>
      <c r="G89" s="14">
        <v>1707.71</v>
      </c>
      <c r="H89" s="97">
        <f t="shared" si="10"/>
        <v>2.8108906600000001</v>
      </c>
      <c r="I89" s="14">
        <v>0</v>
      </c>
    </row>
    <row r="90" spans="1:9" ht="15" customHeight="1">
      <c r="A90" s="54"/>
      <c r="B90" s="63" t="s">
        <v>120</v>
      </c>
      <c r="C90" s="63"/>
      <c r="D90" s="63"/>
      <c r="E90" s="70"/>
      <c r="F90" s="63"/>
      <c r="G90" s="63"/>
      <c r="H90" s="70"/>
      <c r="I90" s="20"/>
    </row>
    <row r="91" spans="1:9" ht="15.75" customHeight="1">
      <c r="A91" s="31">
        <v>16</v>
      </c>
      <c r="B91" s="81" t="s">
        <v>121</v>
      </c>
      <c r="C91" s="18"/>
      <c r="D91" s="16"/>
      <c r="E91" s="20"/>
      <c r="F91" s="14">
        <v>1</v>
      </c>
      <c r="G91" s="14">
        <v>4611.6000000000004</v>
      </c>
      <c r="H91" s="97">
        <f>G91*F91/1000</f>
        <v>4.6116000000000001</v>
      </c>
      <c r="I91" s="14">
        <f>G91</f>
        <v>4611.6000000000004</v>
      </c>
    </row>
    <row r="92" spans="1:9" ht="15.75" customHeight="1">
      <c r="A92" s="170" t="s">
        <v>147</v>
      </c>
      <c r="B92" s="171"/>
      <c r="C92" s="171"/>
      <c r="D92" s="171"/>
      <c r="E92" s="171"/>
      <c r="F92" s="171"/>
      <c r="G92" s="171"/>
      <c r="H92" s="171"/>
      <c r="I92" s="172"/>
    </row>
    <row r="93" spans="1:9" ht="15.75" customHeight="1">
      <c r="A93" s="31">
        <v>17</v>
      </c>
      <c r="B93" s="81" t="s">
        <v>138</v>
      </c>
      <c r="C93" s="18" t="s">
        <v>55</v>
      </c>
      <c r="D93" s="99"/>
      <c r="E93" s="14">
        <v>1810.5</v>
      </c>
      <c r="F93" s="14">
        <f>SUM(E93*12)</f>
        <v>21726</v>
      </c>
      <c r="G93" s="14">
        <v>2.95</v>
      </c>
      <c r="H93" s="97">
        <f>SUM(F93*G93/1000)</f>
        <v>64.091700000000003</v>
      </c>
      <c r="I93" s="14">
        <f>F93/12*G93</f>
        <v>5340.9750000000004</v>
      </c>
    </row>
    <row r="94" spans="1:9" ht="31.5" customHeight="1">
      <c r="A94" s="31">
        <v>18</v>
      </c>
      <c r="B94" s="16" t="s">
        <v>77</v>
      </c>
      <c r="C94" s="18" t="s">
        <v>55</v>
      </c>
      <c r="D94" s="99"/>
      <c r="E94" s="83">
        <v>1810.5</v>
      </c>
      <c r="F94" s="14">
        <f>E94*12</f>
        <v>21726</v>
      </c>
      <c r="G94" s="14">
        <v>3.05</v>
      </c>
      <c r="H94" s="97">
        <f>F94*G94/1000</f>
        <v>66.264300000000006</v>
      </c>
      <c r="I94" s="14">
        <f>F94/12*G94</f>
        <v>5522.0249999999996</v>
      </c>
    </row>
    <row r="95" spans="1:9" ht="15.75" customHeight="1">
      <c r="A95" s="54"/>
      <c r="B95" s="41" t="s">
        <v>79</v>
      </c>
      <c r="C95" s="42"/>
      <c r="D95" s="17"/>
      <c r="E95" s="17"/>
      <c r="F95" s="17"/>
      <c r="G95" s="20"/>
      <c r="H95" s="20"/>
      <c r="I95" s="34">
        <f>I94+I93+I91+I64+I58+I55+I54+I50+I43+I42+I41+I40+I39+I38+I27+I18+I17+I16</f>
        <v>38373.851223333339</v>
      </c>
    </row>
    <row r="96" spans="1:9" ht="15.75" customHeight="1">
      <c r="A96" s="173" t="s">
        <v>60</v>
      </c>
      <c r="B96" s="174"/>
      <c r="C96" s="174"/>
      <c r="D96" s="174"/>
      <c r="E96" s="174"/>
      <c r="F96" s="174"/>
      <c r="G96" s="174"/>
      <c r="H96" s="174"/>
      <c r="I96" s="175"/>
    </row>
    <row r="97" spans="1:9" ht="15.75" customHeight="1">
      <c r="A97" s="31">
        <v>18</v>
      </c>
      <c r="B97" s="91" t="s">
        <v>165</v>
      </c>
      <c r="C97" s="92" t="s">
        <v>166</v>
      </c>
      <c r="D97" s="91"/>
      <c r="E97" s="93"/>
      <c r="F97" s="94">
        <v>24</v>
      </c>
      <c r="G97" s="103">
        <v>1.4</v>
      </c>
      <c r="H97" s="96">
        <f>F97*G97/1000</f>
        <v>3.3599999999999991E-2</v>
      </c>
      <c r="I97" s="104">
        <f>G97*12</f>
        <v>16.799999999999997</v>
      </c>
    </row>
    <row r="98" spans="1:9" ht="31.5" customHeight="1">
      <c r="A98" s="31">
        <v>19</v>
      </c>
      <c r="B98" s="128" t="s">
        <v>170</v>
      </c>
      <c r="C98" s="129" t="s">
        <v>28</v>
      </c>
      <c r="D98" s="53"/>
      <c r="E98" s="14"/>
      <c r="F98" s="14">
        <v>1</v>
      </c>
      <c r="G98" s="106">
        <v>21369.24</v>
      </c>
      <c r="H98" s="97">
        <f t="shared" ref="H98" si="11">G98*F98/1000</f>
        <v>21.369240000000001</v>
      </c>
      <c r="I98" s="14">
        <f>G98*0.599*6/1000</f>
        <v>76.801048559999998</v>
      </c>
    </row>
    <row r="99" spans="1:9" ht="17.25" customHeight="1">
      <c r="A99" s="31">
        <v>20</v>
      </c>
      <c r="B99" s="16" t="s">
        <v>203</v>
      </c>
      <c r="C99" s="18" t="s">
        <v>182</v>
      </c>
      <c r="D99" s="16" t="s">
        <v>206</v>
      </c>
      <c r="E99" s="20"/>
      <c r="F99" s="14">
        <v>6</v>
      </c>
      <c r="G99" s="14">
        <v>295.36</v>
      </c>
      <c r="H99" s="14">
        <f>G99*F99/1000</f>
        <v>1.7721600000000002</v>
      </c>
      <c r="I99" s="38">
        <f>G99*6</f>
        <v>1772.16</v>
      </c>
    </row>
    <row r="100" spans="1:9" ht="17.25" customHeight="1">
      <c r="A100" s="31">
        <v>21</v>
      </c>
      <c r="B100" s="128" t="s">
        <v>204</v>
      </c>
      <c r="C100" s="129" t="s">
        <v>195</v>
      </c>
      <c r="D100" s="16" t="s">
        <v>208</v>
      </c>
      <c r="E100" s="20"/>
      <c r="F100" s="14">
        <v>1</v>
      </c>
      <c r="G100" s="14">
        <v>231.54</v>
      </c>
      <c r="H100" s="97">
        <f>G100*F100/1000</f>
        <v>0.23154</v>
      </c>
      <c r="I100" s="123">
        <f>G100*1</f>
        <v>231.54</v>
      </c>
    </row>
    <row r="101" spans="1:9" ht="33.75" customHeight="1">
      <c r="A101" s="31">
        <v>22</v>
      </c>
      <c r="B101" s="128" t="s">
        <v>193</v>
      </c>
      <c r="C101" s="129" t="s">
        <v>87</v>
      </c>
      <c r="D101" s="16" t="s">
        <v>207</v>
      </c>
      <c r="E101" s="20"/>
      <c r="F101" s="14">
        <v>1</v>
      </c>
      <c r="G101" s="14">
        <v>949.97</v>
      </c>
      <c r="H101" s="97">
        <f>G101*F101/1000</f>
        <v>0.94996999999999998</v>
      </c>
      <c r="I101" s="123">
        <f>G101*1</f>
        <v>949.97</v>
      </c>
    </row>
    <row r="102" spans="1:9" ht="17.25" customHeight="1">
      <c r="A102" s="31">
        <v>23</v>
      </c>
      <c r="B102" s="128" t="s">
        <v>205</v>
      </c>
      <c r="C102" s="129" t="s">
        <v>191</v>
      </c>
      <c r="D102" s="16"/>
      <c r="E102" s="20"/>
      <c r="F102" s="14">
        <v>0.5</v>
      </c>
      <c r="G102" s="14">
        <v>672.88</v>
      </c>
      <c r="H102" s="97">
        <f>G102*F102/1000</f>
        <v>0.33644000000000002</v>
      </c>
      <c r="I102" s="123">
        <f>G102*0.5</f>
        <v>336.44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SUM(I97:I102)</f>
        <v>3383.7110485600001</v>
      </c>
    </row>
    <row r="104" spans="1:9" ht="15.75" customHeight="1">
      <c r="A104" s="31"/>
      <c r="B104" s="53" t="s">
        <v>78</v>
      </c>
      <c r="C104" s="17"/>
      <c r="D104" s="17"/>
      <c r="E104" s="17"/>
      <c r="F104" s="44"/>
      <c r="G104" s="45"/>
      <c r="H104" s="45"/>
      <c r="I104" s="19">
        <v>0</v>
      </c>
    </row>
    <row r="105" spans="1:9" ht="15.75" customHeight="1">
      <c r="A105" s="56"/>
      <c r="B105" s="48" t="s">
        <v>148</v>
      </c>
      <c r="C105" s="36"/>
      <c r="D105" s="36"/>
      <c r="E105" s="36"/>
      <c r="F105" s="36"/>
      <c r="G105" s="36"/>
      <c r="H105" s="36"/>
      <c r="I105" s="46">
        <f>I95+I103</f>
        <v>41757.562271893337</v>
      </c>
    </row>
    <row r="106" spans="1:9" ht="15.75">
      <c r="A106" s="159" t="s">
        <v>253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15.75">
      <c r="A107" s="62"/>
      <c r="B107" s="160" t="s">
        <v>254</v>
      </c>
      <c r="C107" s="160"/>
      <c r="D107" s="160"/>
      <c r="E107" s="160"/>
      <c r="F107" s="160"/>
      <c r="G107" s="160"/>
      <c r="H107" s="79"/>
      <c r="I107" s="3"/>
    </row>
    <row r="108" spans="1:9">
      <c r="A108" s="57"/>
      <c r="B108" s="158" t="s">
        <v>6</v>
      </c>
      <c r="C108" s="158"/>
      <c r="D108" s="158"/>
      <c r="E108" s="158"/>
      <c r="F108" s="158"/>
      <c r="G108" s="158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1" t="s">
        <v>7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1" t="s">
        <v>8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55" t="s">
        <v>61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.75">
      <c r="A113" s="11"/>
    </row>
    <row r="114" spans="1:9" ht="15.75">
      <c r="A114" s="156" t="s">
        <v>9</v>
      </c>
      <c r="B114" s="156"/>
      <c r="C114" s="156"/>
      <c r="D114" s="156"/>
      <c r="E114" s="156"/>
      <c r="F114" s="156"/>
      <c r="G114" s="156"/>
      <c r="H114" s="156"/>
      <c r="I114" s="156"/>
    </row>
    <row r="115" spans="1:9" ht="15.75">
      <c r="A115" s="4"/>
    </row>
    <row r="116" spans="1:9" ht="15.75">
      <c r="B116" s="58" t="s">
        <v>10</v>
      </c>
      <c r="C116" s="157" t="s">
        <v>196</v>
      </c>
      <c r="D116" s="157"/>
      <c r="E116" s="157"/>
      <c r="F116" s="157"/>
      <c r="I116" s="60"/>
    </row>
    <row r="117" spans="1:9">
      <c r="A117" s="57"/>
      <c r="C117" s="158" t="s">
        <v>11</v>
      </c>
      <c r="D117" s="158"/>
      <c r="E117" s="158"/>
      <c r="F117" s="158"/>
      <c r="I117" s="59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58" t="s">
        <v>13</v>
      </c>
      <c r="C119" s="152"/>
      <c r="D119" s="152"/>
      <c r="E119" s="152"/>
      <c r="F119" s="152"/>
      <c r="I119" s="60"/>
    </row>
    <row r="120" spans="1:9">
      <c r="A120" s="57"/>
      <c r="C120" s="153" t="s">
        <v>11</v>
      </c>
      <c r="D120" s="153"/>
      <c r="E120" s="153"/>
      <c r="F120" s="153"/>
      <c r="I120" s="59" t="s">
        <v>12</v>
      </c>
    </row>
    <row r="121" spans="1:9" ht="15.75">
      <c r="A121" s="4" t="s">
        <v>14</v>
      </c>
    </row>
    <row r="122" spans="1:9">
      <c r="A122" s="154" t="s">
        <v>15</v>
      </c>
      <c r="B122" s="154"/>
      <c r="C122" s="154"/>
      <c r="D122" s="154"/>
      <c r="E122" s="154"/>
      <c r="F122" s="154"/>
      <c r="G122" s="154"/>
      <c r="H122" s="154"/>
      <c r="I122" s="154"/>
    </row>
    <row r="123" spans="1:9" ht="45" customHeight="1">
      <c r="A123" s="151" t="s">
        <v>16</v>
      </c>
      <c r="B123" s="151"/>
      <c r="C123" s="151"/>
      <c r="D123" s="151"/>
      <c r="E123" s="151"/>
      <c r="F123" s="151"/>
      <c r="G123" s="151"/>
      <c r="H123" s="151"/>
      <c r="I123" s="151"/>
    </row>
    <row r="124" spans="1:9" ht="30" customHeight="1">
      <c r="A124" s="151" t="s">
        <v>17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30" customHeight="1">
      <c r="A125" s="151" t="s">
        <v>21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15" customHeight="1">
      <c r="A126" s="151" t="s">
        <v>20</v>
      </c>
      <c r="B126" s="151"/>
      <c r="C126" s="151"/>
      <c r="D126" s="151"/>
      <c r="E126" s="151"/>
      <c r="F126" s="151"/>
      <c r="G126" s="151"/>
      <c r="H126" s="151"/>
      <c r="I126" s="151"/>
    </row>
  </sheetData>
  <autoFilter ref="I12:I64"/>
  <mergeCells count="29">
    <mergeCell ref="A92:I92"/>
    <mergeCell ref="A96:I96"/>
    <mergeCell ref="A14:I14"/>
    <mergeCell ref="A15:I15"/>
    <mergeCell ref="A28:I28"/>
    <mergeCell ref="A44:I44"/>
    <mergeCell ref="R69:U69"/>
    <mergeCell ref="A56:I56"/>
    <mergeCell ref="A3:I3"/>
    <mergeCell ref="A4:I4"/>
    <mergeCell ref="A8:I8"/>
    <mergeCell ref="A10:I10"/>
    <mergeCell ref="A5:I5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A125:I125"/>
    <mergeCell ref="A126:I126"/>
    <mergeCell ref="C119:F119"/>
    <mergeCell ref="C120:F120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2"/>
  <sheetViews>
    <sheetView topLeftCell="A89" workbookViewId="0">
      <selection activeCell="A103" sqref="A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162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272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44500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194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95</v>
      </c>
      <c r="C20" s="82" t="s">
        <v>53</v>
      </c>
      <c r="D20" s="81" t="s">
        <v>94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4</v>
      </c>
      <c r="B21" s="81" t="s">
        <v>96</v>
      </c>
      <c r="C21" s="82" t="s">
        <v>92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5</v>
      </c>
      <c r="B22" s="81" t="s">
        <v>97</v>
      </c>
      <c r="C22" s="82" t="s">
        <v>92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98</v>
      </c>
      <c r="C23" s="82" t="s">
        <v>53</v>
      </c>
      <c r="D23" s="81" t="s">
        <v>94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99</v>
      </c>
      <c r="C24" s="82" t="s">
        <v>53</v>
      </c>
      <c r="D24" s="81" t="s">
        <v>94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100</v>
      </c>
      <c r="C25" s="82" t="s">
        <v>53</v>
      </c>
      <c r="D25" s="81" t="s">
        <v>94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140</v>
      </c>
      <c r="C26" s="82" t="s">
        <v>53</v>
      </c>
      <c r="D26" s="81" t="s">
        <v>94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hidden="1" customHeight="1">
      <c r="A27" s="31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77" t="s">
        <v>82</v>
      </c>
      <c r="B28" s="177"/>
      <c r="C28" s="177"/>
      <c r="D28" s="177"/>
      <c r="E28" s="177"/>
      <c r="F28" s="177"/>
      <c r="G28" s="177"/>
      <c r="H28" s="177"/>
      <c r="I28" s="177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4</v>
      </c>
      <c r="B30" s="81" t="s">
        <v>101</v>
      </c>
      <c r="C30" s="82" t="s">
        <v>102</v>
      </c>
      <c r="D30" s="81" t="s">
        <v>180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3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5</v>
      </c>
      <c r="B31" s="81" t="s">
        <v>104</v>
      </c>
      <c r="C31" s="82" t="s">
        <v>102</v>
      </c>
      <c r="D31" s="81" t="s">
        <v>172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102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6</v>
      </c>
      <c r="B33" s="81" t="s">
        <v>106</v>
      </c>
      <c r="C33" s="82" t="s">
        <v>40</v>
      </c>
      <c r="D33" s="81" t="s">
        <v>176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ref="H34:H35" si="3">SUM(F34*G34/1000)</f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3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4">SUM(F37*G37/1000)</f>
        <v>3.8007399999999998</v>
      </c>
      <c r="I37" s="14">
        <f t="shared" ref="I37:I42" si="5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108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4"/>
        <v>2.6845187400000001</v>
      </c>
      <c r="I38" s="14">
        <f t="shared" si="5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109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4"/>
        <v>2.3136214500000003</v>
      </c>
      <c r="I39" s="14">
        <f t="shared" si="5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102</v>
      </c>
      <c r="D40" s="81" t="s">
        <v>110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4"/>
        <v>8.6437883699999993</v>
      </c>
      <c r="I40" s="14">
        <f t="shared" si="5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111</v>
      </c>
      <c r="C41" s="82" t="s">
        <v>102</v>
      </c>
      <c r="D41" s="81" t="s">
        <v>112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4"/>
        <v>0.36487980000000003</v>
      </c>
      <c r="I41" s="14">
        <f t="shared" si="5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4"/>
        <v>0.49648500000000001</v>
      </c>
      <c r="I42" s="14">
        <f t="shared" si="5"/>
        <v>82.747500000000002</v>
      </c>
      <c r="J42" s="25"/>
      <c r="L42" s="21"/>
      <c r="M42" s="22"/>
      <c r="N42" s="23"/>
    </row>
    <row r="43" spans="1:14" ht="15.75" hidden="1" customHeight="1">
      <c r="A43" s="162" t="s">
        <v>145</v>
      </c>
      <c r="B43" s="163"/>
      <c r="C43" s="163"/>
      <c r="D43" s="163"/>
      <c r="E43" s="163"/>
      <c r="F43" s="163"/>
      <c r="G43" s="163"/>
      <c r="H43" s="163"/>
      <c r="I43" s="164"/>
      <c r="J43" s="25"/>
      <c r="L43" s="21"/>
      <c r="M43" s="22"/>
      <c r="N43" s="23"/>
    </row>
    <row r="44" spans="1:14" ht="15.75" hidden="1" customHeight="1">
      <c r="A44" s="42">
        <v>12</v>
      </c>
      <c r="B44" s="81" t="s">
        <v>113</v>
      </c>
      <c r="C44" s="82" t="s">
        <v>102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6">SUM(F44*G44/1000)</f>
        <v>2.6521417440000006</v>
      </c>
      <c r="I44" s="14">
        <f t="shared" ref="I44:I47" si="7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13</v>
      </c>
      <c r="B45" s="81" t="s">
        <v>35</v>
      </c>
      <c r="C45" s="82" t="s">
        <v>102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6"/>
        <v>2.8553184000000002E-2</v>
      </c>
      <c r="I45" s="14">
        <f t="shared" si="7"/>
        <v>14.276592000000001</v>
      </c>
      <c r="J45" s="25"/>
      <c r="L45" s="21"/>
      <c r="M45" s="22"/>
      <c r="N45" s="23"/>
    </row>
    <row r="46" spans="1:14" ht="15.75" hidden="1" customHeight="1">
      <c r="A46" s="42">
        <v>14</v>
      </c>
      <c r="B46" s="81" t="s">
        <v>36</v>
      </c>
      <c r="C46" s="82" t="s">
        <v>102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6"/>
        <v>2.2617645503999997</v>
      </c>
      <c r="I46" s="14">
        <f t="shared" si="7"/>
        <v>1130.8822751999999</v>
      </c>
      <c r="J46" s="25"/>
      <c r="L46" s="21"/>
      <c r="M46" s="22"/>
      <c r="N46" s="23"/>
    </row>
    <row r="47" spans="1:14" ht="15.75" hidden="1" customHeight="1">
      <c r="A47" s="42">
        <v>15</v>
      </c>
      <c r="B47" s="81" t="s">
        <v>37</v>
      </c>
      <c r="C47" s="82" t="s">
        <v>102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6"/>
        <v>2.7280312466000001</v>
      </c>
      <c r="I47" s="14">
        <f t="shared" si="7"/>
        <v>1364.0156233</v>
      </c>
      <c r="J47" s="25"/>
      <c r="L47" s="21"/>
      <c r="M47" s="22"/>
      <c r="N47" s="23"/>
    </row>
    <row r="48" spans="1:14" ht="15.75" hidden="1" customHeight="1">
      <c r="A48" s="42">
        <v>16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6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17</v>
      </c>
      <c r="B49" s="81" t="s">
        <v>56</v>
      </c>
      <c r="C49" s="82" t="s">
        <v>102</v>
      </c>
      <c r="D49" s="81" t="s">
        <v>142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6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10</v>
      </c>
      <c r="B50" s="81" t="s">
        <v>114</v>
      </c>
      <c r="C50" s="82" t="s">
        <v>102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6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11</v>
      </c>
      <c r="B51" s="81" t="s">
        <v>115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6"/>
        <v>0.69307200000000002</v>
      </c>
      <c r="I51" s="14">
        <f t="shared" ref="I51:I52" si="8">F51/2*G51</f>
        <v>346.536</v>
      </c>
      <c r="J51" s="25"/>
      <c r="L51" s="21"/>
      <c r="M51" s="22"/>
      <c r="N51" s="23"/>
    </row>
    <row r="52" spans="1:14" ht="15.75" hidden="1" customHeight="1">
      <c r="A52" s="42">
        <v>12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6"/>
        <v>0.1406626</v>
      </c>
      <c r="I52" s="14">
        <f t="shared" si="8"/>
        <v>70.331299999999999</v>
      </c>
      <c r="J52" s="25"/>
      <c r="L52" s="21"/>
      <c r="M52" s="22"/>
      <c r="N52" s="23"/>
    </row>
    <row r="53" spans="1:14" ht="15.75" hidden="1" customHeight="1">
      <c r="A53" s="42">
        <v>13</v>
      </c>
      <c r="B53" s="81" t="s">
        <v>141</v>
      </c>
      <c r="C53" s="82" t="s">
        <v>29</v>
      </c>
      <c r="D53" s="81" t="s">
        <v>70</v>
      </c>
      <c r="E53" s="83">
        <v>36</v>
      </c>
      <c r="F53" s="84">
        <f>E53*3</f>
        <v>108</v>
      </c>
      <c r="G53" s="14">
        <v>175.6</v>
      </c>
      <c r="H53" s="85">
        <f t="shared" si="6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4.25" hidden="1" customHeight="1">
      <c r="A54" s="42">
        <v>14</v>
      </c>
      <c r="B54" s="81" t="s">
        <v>41</v>
      </c>
      <c r="C54" s="82" t="s">
        <v>29</v>
      </c>
      <c r="D54" s="81" t="s">
        <v>70</v>
      </c>
      <c r="E54" s="83">
        <v>36</v>
      </c>
      <c r="F54" s="84">
        <f>SUM(E54)*3</f>
        <v>108</v>
      </c>
      <c r="G54" s="14">
        <v>81.73</v>
      </c>
      <c r="H54" s="85">
        <f t="shared" si="6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9.5" customHeight="1">
      <c r="A55" s="162" t="s">
        <v>154</v>
      </c>
      <c r="B55" s="163"/>
      <c r="C55" s="163"/>
      <c r="D55" s="163"/>
      <c r="E55" s="163"/>
      <c r="F55" s="163"/>
      <c r="G55" s="163"/>
      <c r="H55" s="163"/>
      <c r="I55" s="164"/>
      <c r="J55" s="25"/>
      <c r="L55" s="21"/>
      <c r="M55" s="22"/>
      <c r="N55" s="23"/>
    </row>
    <row r="56" spans="1:14" ht="16.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6.5" hidden="1" customHeight="1">
      <c r="A57" s="42">
        <v>12</v>
      </c>
      <c r="B57" s="81" t="s">
        <v>149</v>
      </c>
      <c r="C57" s="82" t="s">
        <v>92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21" hidden="1" customHeight="1">
      <c r="A58" s="42">
        <v>13</v>
      </c>
      <c r="B58" s="81" t="s">
        <v>85</v>
      </c>
      <c r="C58" s="82" t="s">
        <v>150</v>
      </c>
      <c r="D58" s="81" t="s">
        <v>66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23.2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21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8.75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8" hidden="1" customHeight="1">
      <c r="A62" s="42">
        <v>15</v>
      </c>
      <c r="B62" s="16" t="s">
        <v>47</v>
      </c>
      <c r="C62" s="18" t="s">
        <v>116</v>
      </c>
      <c r="D62" s="16" t="s">
        <v>66</v>
      </c>
      <c r="E62" s="20">
        <v>10</v>
      </c>
      <c r="F62" s="84">
        <v>10</v>
      </c>
      <c r="G62" s="14">
        <v>276.74</v>
      </c>
      <c r="H62" s="97">
        <f t="shared" ref="H62:H69" si="9">SUM(F62*G62/1000)</f>
        <v>2.7674000000000003</v>
      </c>
      <c r="I62" s="14">
        <f>G62</f>
        <v>276.74</v>
      </c>
    </row>
    <row r="63" spans="1:14" ht="21" customHeight="1">
      <c r="A63" s="31">
        <v>7</v>
      </c>
      <c r="B63" s="16" t="s">
        <v>48</v>
      </c>
      <c r="C63" s="18" t="s">
        <v>116</v>
      </c>
      <c r="D63" s="16" t="s">
        <v>179</v>
      </c>
      <c r="E63" s="20">
        <v>3</v>
      </c>
      <c r="F63" s="84">
        <v>3</v>
      </c>
      <c r="G63" s="14">
        <v>94.89</v>
      </c>
      <c r="H63" s="97">
        <f t="shared" si="9"/>
        <v>0.28467000000000003</v>
      </c>
      <c r="I63" s="14">
        <f>G63*1</f>
        <v>94.89</v>
      </c>
    </row>
    <row r="64" spans="1:14" ht="15" hidden="1" customHeight="1">
      <c r="A64" s="31">
        <v>28</v>
      </c>
      <c r="B64" s="16" t="s">
        <v>49</v>
      </c>
      <c r="C64" s="18" t="s">
        <v>117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9"/>
        <v>19.820369200000002</v>
      </c>
      <c r="I64" s="14">
        <f>F64*G64</f>
        <v>19820.369200000001</v>
      </c>
    </row>
    <row r="65" spans="1:22" ht="17.25" hidden="1" customHeight="1">
      <c r="A65" s="31">
        <v>29</v>
      </c>
      <c r="B65" s="16" t="s">
        <v>50</v>
      </c>
      <c r="C65" s="18" t="s">
        <v>118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9"/>
        <v>1.54341956</v>
      </c>
      <c r="I65" s="14">
        <f t="shared" ref="I65:I68" si="10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9.5" hidden="1" customHeight="1">
      <c r="A66" s="31">
        <v>30</v>
      </c>
      <c r="B66" s="16" t="s">
        <v>51</v>
      </c>
      <c r="C66" s="18" t="s">
        <v>76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9"/>
        <v>28.138677000000005</v>
      </c>
      <c r="I66" s="14">
        <f t="shared" si="10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" hidden="1" customHeight="1">
      <c r="A67" s="31">
        <v>31</v>
      </c>
      <c r="B67" s="98" t="s">
        <v>119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9"/>
        <v>0.35113000000000005</v>
      </c>
      <c r="I67" s="14">
        <f t="shared" si="10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7.25" hidden="1" customHeight="1">
      <c r="A68" s="31">
        <v>32</v>
      </c>
      <c r="B68" s="98" t="s">
        <v>151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9"/>
        <v>0.327598</v>
      </c>
      <c r="I68" s="14">
        <f t="shared" si="10"/>
        <v>327.59800000000001</v>
      </c>
      <c r="J68" s="5"/>
      <c r="K68" s="5"/>
      <c r="L68" s="5"/>
      <c r="M68" s="5"/>
      <c r="N68" s="5"/>
      <c r="O68" s="5"/>
      <c r="P68" s="5"/>
      <c r="Q68" s="5"/>
      <c r="R68" s="153"/>
      <c r="S68" s="153"/>
      <c r="T68" s="153"/>
      <c r="U68" s="153"/>
    </row>
    <row r="69" spans="1:22" ht="18" hidden="1" customHeight="1">
      <c r="A69" s="31">
        <v>18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9"/>
        <v>0.18621000000000001</v>
      </c>
      <c r="I69" s="14">
        <f>G69*3</f>
        <v>186.21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8.75" hidden="1" customHeight="1">
      <c r="A70" s="31"/>
      <c r="B70" s="50" t="s">
        <v>72</v>
      </c>
      <c r="C70" s="50"/>
      <c r="D70" s="50"/>
      <c r="E70" s="50"/>
      <c r="F70" s="20"/>
      <c r="G70" s="31"/>
      <c r="H70" s="31"/>
      <c r="I70" s="20"/>
    </row>
    <row r="71" spans="1:22" ht="20.25" hidden="1" customHeight="1">
      <c r="A71" s="31"/>
      <c r="B71" s="16" t="s">
        <v>122</v>
      </c>
      <c r="C71" s="18" t="s">
        <v>123</v>
      </c>
      <c r="D71" s="39" t="s">
        <v>66</v>
      </c>
      <c r="E71" s="20">
        <v>3</v>
      </c>
      <c r="F71" s="14">
        <v>3</v>
      </c>
      <c r="G71" s="14">
        <v>976.4</v>
      </c>
      <c r="H71" s="97">
        <f t="shared" ref="H71:H75" si="11">SUM(F71*G71/1000)</f>
        <v>2.9291999999999998</v>
      </c>
      <c r="I71" s="14">
        <v>0</v>
      </c>
    </row>
    <row r="72" spans="1:22" ht="21.75" hidden="1" customHeight="1">
      <c r="A72" s="31"/>
      <c r="B72" s="16" t="s">
        <v>124</v>
      </c>
      <c r="C72" s="18" t="s">
        <v>125</v>
      </c>
      <c r="D72" s="16"/>
      <c r="E72" s="20">
        <v>1</v>
      </c>
      <c r="F72" s="14">
        <v>1</v>
      </c>
      <c r="G72" s="14">
        <v>750</v>
      </c>
      <c r="H72" s="97">
        <f t="shared" si="11"/>
        <v>0.75</v>
      </c>
      <c r="I72" s="14">
        <v>0</v>
      </c>
    </row>
    <row r="73" spans="1:22" ht="21.75" hidden="1" customHeight="1">
      <c r="A73" s="31"/>
      <c r="B73" s="16" t="s">
        <v>73</v>
      </c>
      <c r="C73" s="18" t="s">
        <v>30</v>
      </c>
      <c r="D73" s="39" t="s">
        <v>66</v>
      </c>
      <c r="E73" s="20">
        <v>3</v>
      </c>
      <c r="F73" s="14">
        <f>E73/10</f>
        <v>0.3</v>
      </c>
      <c r="G73" s="14">
        <v>624.16999999999996</v>
      </c>
      <c r="H73" s="97">
        <f t="shared" si="11"/>
        <v>0.18725099999999997</v>
      </c>
      <c r="I73" s="14">
        <v>0</v>
      </c>
    </row>
    <row r="74" spans="1:22" ht="20.25" hidden="1" customHeight="1">
      <c r="A74" s="31"/>
      <c r="B74" s="16" t="s">
        <v>74</v>
      </c>
      <c r="C74" s="18" t="s">
        <v>29</v>
      </c>
      <c r="D74" s="39" t="s">
        <v>66</v>
      </c>
      <c r="E74" s="20">
        <v>1</v>
      </c>
      <c r="F74" s="14">
        <v>1</v>
      </c>
      <c r="G74" s="14">
        <v>1061.4100000000001</v>
      </c>
      <c r="H74" s="97">
        <f t="shared" si="11"/>
        <v>1.0614100000000002</v>
      </c>
      <c r="I74" s="14">
        <v>0</v>
      </c>
    </row>
    <row r="75" spans="1:22" ht="24" hidden="1" customHeight="1">
      <c r="A75" s="31">
        <v>17</v>
      </c>
      <c r="B75" s="16" t="s">
        <v>86</v>
      </c>
      <c r="C75" s="18" t="s">
        <v>29</v>
      </c>
      <c r="D75" s="39" t="s">
        <v>66</v>
      </c>
      <c r="E75" s="20">
        <v>1</v>
      </c>
      <c r="F75" s="84">
        <f>SUM(E75)</f>
        <v>1</v>
      </c>
      <c r="G75" s="14">
        <v>446.12</v>
      </c>
      <c r="H75" s="97">
        <f t="shared" si="11"/>
        <v>0.44612000000000002</v>
      </c>
      <c r="I75" s="14">
        <v>0</v>
      </c>
    </row>
    <row r="76" spans="1:22" ht="24" hidden="1" customHeight="1">
      <c r="A76" s="31"/>
      <c r="B76" s="51" t="s">
        <v>75</v>
      </c>
      <c r="C76" s="40"/>
      <c r="D76" s="31"/>
      <c r="E76" s="31"/>
      <c r="F76" s="20"/>
      <c r="G76" s="38"/>
      <c r="H76" s="38"/>
      <c r="I76" s="20"/>
    </row>
    <row r="77" spans="1:22" ht="25.5" hidden="1" customHeight="1">
      <c r="A77" s="31">
        <v>39</v>
      </c>
      <c r="B77" s="53" t="s">
        <v>126</v>
      </c>
      <c r="C77" s="18" t="s">
        <v>76</v>
      </c>
      <c r="D77" s="16"/>
      <c r="E77" s="20"/>
      <c r="F77" s="14">
        <v>1.35</v>
      </c>
      <c r="G77" s="14">
        <v>3433.68</v>
      </c>
      <c r="H77" s="97">
        <f t="shared" ref="H77" si="12">SUM(F77*G77/1000)</f>
        <v>4.6354679999999995</v>
      </c>
      <c r="I77" s="14">
        <v>0</v>
      </c>
    </row>
    <row r="78" spans="1:22" ht="17.25" hidden="1" customHeight="1">
      <c r="A78" s="31"/>
      <c r="B78" s="70" t="s">
        <v>88</v>
      </c>
      <c r="C78" s="64"/>
      <c r="D78" s="33"/>
      <c r="E78" s="33"/>
      <c r="F78" s="13"/>
      <c r="G78" s="38"/>
      <c r="H78" s="38"/>
      <c r="I78" s="20"/>
    </row>
    <row r="79" spans="1:22" ht="19.5" hidden="1" customHeight="1">
      <c r="A79" s="31"/>
      <c r="B79" s="16" t="s">
        <v>127</v>
      </c>
      <c r="C79" s="18" t="s">
        <v>87</v>
      </c>
      <c r="D79" s="16" t="s">
        <v>66</v>
      </c>
      <c r="E79" s="20">
        <v>6</v>
      </c>
      <c r="F79" s="14">
        <f>E79</f>
        <v>6</v>
      </c>
      <c r="G79" s="14">
        <v>297.44</v>
      </c>
      <c r="H79" s="97">
        <f t="shared" ref="H79:H88" si="13">SUM(F79*G79/1000)</f>
        <v>1.7846399999999998</v>
      </c>
      <c r="I79" s="14">
        <v>0</v>
      </c>
    </row>
    <row r="80" spans="1:22" ht="19.5" hidden="1" customHeight="1">
      <c r="A80" s="31">
        <v>8</v>
      </c>
      <c r="B80" s="16" t="s">
        <v>128</v>
      </c>
      <c r="C80" s="18" t="s">
        <v>80</v>
      </c>
      <c r="D80" s="16" t="s">
        <v>130</v>
      </c>
      <c r="E80" s="20">
        <v>12</v>
      </c>
      <c r="F80" s="14">
        <f>E80</f>
        <v>12</v>
      </c>
      <c r="G80" s="14">
        <v>122.35</v>
      </c>
      <c r="H80" s="97">
        <f t="shared" si="13"/>
        <v>1.4681999999999997</v>
      </c>
      <c r="I80" s="14">
        <f>G80*3</f>
        <v>367.04999999999995</v>
      </c>
    </row>
    <row r="81" spans="1:9" ht="24.75" hidden="1" customHeight="1">
      <c r="A81" s="31">
        <v>15</v>
      </c>
      <c r="B81" s="16" t="s">
        <v>129</v>
      </c>
      <c r="C81" s="18" t="s">
        <v>130</v>
      </c>
      <c r="D81" s="16" t="s">
        <v>66</v>
      </c>
      <c r="E81" s="20">
        <v>9</v>
      </c>
      <c r="F81" s="14">
        <f>E81/3</f>
        <v>3</v>
      </c>
      <c r="G81" s="14">
        <v>1063.47</v>
      </c>
      <c r="H81" s="97">
        <f t="shared" si="13"/>
        <v>3.19041</v>
      </c>
      <c r="I81" s="14">
        <f>G81*(10/3)</f>
        <v>3544.9</v>
      </c>
    </row>
    <row r="82" spans="1:9" ht="32.25" hidden="1" customHeight="1">
      <c r="A82" s="31"/>
      <c r="B82" s="16" t="s">
        <v>131</v>
      </c>
      <c r="C82" s="18" t="s">
        <v>80</v>
      </c>
      <c r="D82" s="16" t="s">
        <v>66</v>
      </c>
      <c r="E82" s="20">
        <v>6</v>
      </c>
      <c r="F82" s="14">
        <f>E82</f>
        <v>6</v>
      </c>
      <c r="G82" s="14">
        <v>1564.44</v>
      </c>
      <c r="H82" s="97">
        <f t="shared" si="13"/>
        <v>9.3866399999999999</v>
      </c>
      <c r="I82" s="14">
        <v>0</v>
      </c>
    </row>
    <row r="83" spans="1:9" ht="30.75" hidden="1" customHeight="1">
      <c r="A83" s="31"/>
      <c r="B83" s="16" t="s">
        <v>132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1906.89</v>
      </c>
      <c r="H83" s="97">
        <f t="shared" si="13"/>
        <v>11.44134</v>
      </c>
      <c r="I83" s="14">
        <v>0</v>
      </c>
    </row>
    <row r="84" spans="1:9" ht="29.25" hidden="1" customHeight="1">
      <c r="A84" s="31"/>
      <c r="B84" s="16" t="s">
        <v>133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664.35</v>
      </c>
      <c r="H84" s="97">
        <f t="shared" si="13"/>
        <v>3.9861000000000004</v>
      </c>
      <c r="I84" s="14">
        <v>0</v>
      </c>
    </row>
    <row r="85" spans="1:9" ht="24" hidden="1" customHeight="1">
      <c r="A85" s="31"/>
      <c r="B85" s="16" t="s">
        <v>134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778.85</v>
      </c>
      <c r="H85" s="97">
        <f t="shared" si="13"/>
        <v>4.6731000000000007</v>
      </c>
      <c r="I85" s="14">
        <v>0</v>
      </c>
    </row>
    <row r="86" spans="1:9" ht="19.5" hidden="1" customHeight="1">
      <c r="A86" s="31"/>
      <c r="B86" s="16" t="s">
        <v>135</v>
      </c>
      <c r="C86" s="18" t="s">
        <v>123</v>
      </c>
      <c r="D86" s="16" t="s">
        <v>66</v>
      </c>
      <c r="E86" s="20">
        <v>3</v>
      </c>
      <c r="F86" s="14">
        <v>3</v>
      </c>
      <c r="G86" s="14">
        <v>498.11</v>
      </c>
      <c r="H86" s="97">
        <f t="shared" si="13"/>
        <v>1.4943299999999999</v>
      </c>
      <c r="I86" s="14">
        <v>0</v>
      </c>
    </row>
    <row r="87" spans="1:9" ht="18.75" hidden="1" customHeight="1">
      <c r="A87" s="31"/>
      <c r="B87" s="16" t="s">
        <v>136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1264.3399999999999</v>
      </c>
      <c r="H87" s="97">
        <f t="shared" si="13"/>
        <v>7.5860399999999988</v>
      </c>
      <c r="I87" s="14">
        <v>0</v>
      </c>
    </row>
    <row r="88" spans="1:9" ht="21.75" hidden="1" customHeight="1">
      <c r="A88" s="31">
        <v>33</v>
      </c>
      <c r="B88" s="16" t="s">
        <v>137</v>
      </c>
      <c r="C88" s="18" t="s">
        <v>28</v>
      </c>
      <c r="D88" s="16" t="s">
        <v>42</v>
      </c>
      <c r="E88" s="20">
        <v>823</v>
      </c>
      <c r="F88" s="14">
        <f>E88*2/1000</f>
        <v>1.6459999999999999</v>
      </c>
      <c r="G88" s="14">
        <v>1707.71</v>
      </c>
      <c r="H88" s="97">
        <f t="shared" si="13"/>
        <v>2.8108906600000001</v>
      </c>
      <c r="I88" s="14">
        <f t="shared" ref="I88" si="14">F88/2*G88</f>
        <v>1405.44533</v>
      </c>
    </row>
    <row r="89" spans="1:9" ht="15.75" customHeight="1">
      <c r="A89" s="54"/>
      <c r="B89" s="70" t="s">
        <v>120</v>
      </c>
      <c r="C89" s="70"/>
      <c r="D89" s="70"/>
      <c r="E89" s="70"/>
      <c r="F89" s="70"/>
      <c r="G89" s="70"/>
      <c r="H89" s="70"/>
      <c r="I89" s="20"/>
    </row>
    <row r="90" spans="1:9" ht="16.5" customHeight="1">
      <c r="A90" s="31">
        <v>8</v>
      </c>
      <c r="B90" s="81" t="s">
        <v>121</v>
      </c>
      <c r="C90" s="18"/>
      <c r="D90" s="16"/>
      <c r="E90" s="20"/>
      <c r="F90" s="14">
        <v>1</v>
      </c>
      <c r="G90" s="14">
        <v>463.5</v>
      </c>
      <c r="H90" s="97">
        <f>G90*F90/1000</f>
        <v>0.46350000000000002</v>
      </c>
      <c r="I90" s="14">
        <f>G90</f>
        <v>463.5</v>
      </c>
    </row>
    <row r="91" spans="1:9" ht="15.75" customHeight="1">
      <c r="A91" s="170" t="s">
        <v>155</v>
      </c>
      <c r="B91" s="171"/>
      <c r="C91" s="171"/>
      <c r="D91" s="171"/>
      <c r="E91" s="171"/>
      <c r="F91" s="171"/>
      <c r="G91" s="171"/>
      <c r="H91" s="171"/>
      <c r="I91" s="172"/>
    </row>
    <row r="92" spans="1:9" ht="15.75" customHeight="1">
      <c r="A92" s="31">
        <v>9</v>
      </c>
      <c r="B92" s="81" t="s">
        <v>138</v>
      </c>
      <c r="C92" s="18" t="s">
        <v>55</v>
      </c>
      <c r="D92" s="99"/>
      <c r="E92" s="14">
        <v>1810.5</v>
      </c>
      <c r="F92" s="14">
        <f>SUM(E92*12)</f>
        <v>21726</v>
      </c>
      <c r="G92" s="14">
        <v>2.95</v>
      </c>
      <c r="H92" s="97">
        <f>SUM(F92*G92/1000)</f>
        <v>64.091700000000003</v>
      </c>
      <c r="I92" s="14">
        <f>F92/12*G92</f>
        <v>5340.9750000000004</v>
      </c>
    </row>
    <row r="93" spans="1:9" ht="31.5" customHeight="1">
      <c r="A93" s="31">
        <v>10</v>
      </c>
      <c r="B93" s="16" t="s">
        <v>77</v>
      </c>
      <c r="C93" s="18" t="s">
        <v>55</v>
      </c>
      <c r="D93" s="99"/>
      <c r="E93" s="83">
        <v>1810.5</v>
      </c>
      <c r="F93" s="14">
        <f>E93*12</f>
        <v>21726</v>
      </c>
      <c r="G93" s="14">
        <v>3.05</v>
      </c>
      <c r="H93" s="97">
        <f>F93*G93/1000</f>
        <v>66.264300000000006</v>
      </c>
      <c r="I93" s="14">
        <f>F93/12*G93</f>
        <v>5522.0249999999996</v>
      </c>
    </row>
    <row r="94" spans="1:9" ht="15.75" customHeight="1">
      <c r="A94" s="54"/>
      <c r="B94" s="41" t="s">
        <v>79</v>
      </c>
      <c r="C94" s="42"/>
      <c r="D94" s="17"/>
      <c r="E94" s="17"/>
      <c r="F94" s="17"/>
      <c r="G94" s="20"/>
      <c r="H94" s="20"/>
      <c r="I94" s="34">
        <f>I93+I92+I90+I63+I33++I31+I30+I18+I17+I16</f>
        <v>18937.926290266667</v>
      </c>
    </row>
    <row r="95" spans="1:9" ht="15.75" customHeight="1">
      <c r="A95" s="173" t="s">
        <v>60</v>
      </c>
      <c r="B95" s="174"/>
      <c r="C95" s="174"/>
      <c r="D95" s="174"/>
      <c r="E95" s="174"/>
      <c r="F95" s="174"/>
      <c r="G95" s="174"/>
      <c r="H95" s="174"/>
      <c r="I95" s="175"/>
    </row>
    <row r="96" spans="1:9" ht="15.75" customHeight="1">
      <c r="A96" s="101">
        <v>11</v>
      </c>
      <c r="B96" s="39" t="s">
        <v>165</v>
      </c>
      <c r="C96" s="130" t="s">
        <v>166</v>
      </c>
      <c r="D96" s="65"/>
      <c r="E96" s="38"/>
      <c r="F96" s="38">
        <v>1</v>
      </c>
      <c r="G96" s="38">
        <v>1.4</v>
      </c>
      <c r="H96" s="38">
        <f t="shared" ref="H96" si="15">G96*F96/1000</f>
        <v>1.4E-3</v>
      </c>
      <c r="I96" s="127">
        <f>G96*12</f>
        <v>16.799999999999997</v>
      </c>
    </row>
    <row r="97" spans="1:9" ht="15.75" customHeight="1">
      <c r="A97" s="101">
        <v>12</v>
      </c>
      <c r="B97" s="128" t="s">
        <v>230</v>
      </c>
      <c r="C97" s="129" t="s">
        <v>28</v>
      </c>
      <c r="D97" s="16"/>
      <c r="E97" s="20"/>
      <c r="F97" s="14">
        <f>0.502+1.004+0.502+0.502</f>
        <v>2.5099999999999998</v>
      </c>
      <c r="G97" s="14">
        <v>241.69</v>
      </c>
      <c r="H97" s="38"/>
      <c r="I97" s="127">
        <f>G97*1.004</f>
        <v>242.65675999999999</v>
      </c>
    </row>
    <row r="98" spans="1:9" ht="15.75" customHeight="1">
      <c r="A98" s="101">
        <v>13</v>
      </c>
      <c r="B98" s="128" t="s">
        <v>39</v>
      </c>
      <c r="C98" s="129" t="s">
        <v>273</v>
      </c>
      <c r="D98" s="16" t="s">
        <v>173</v>
      </c>
      <c r="E98" s="20"/>
      <c r="F98" s="14">
        <v>0.02</v>
      </c>
      <c r="G98" s="14">
        <v>8763.7900000000009</v>
      </c>
      <c r="H98" s="38"/>
      <c r="I98" s="127">
        <v>0</v>
      </c>
    </row>
    <row r="99" spans="1:9" ht="15.75" customHeight="1">
      <c r="A99" s="31"/>
      <c r="B99" s="47" t="s">
        <v>52</v>
      </c>
      <c r="C99" s="43"/>
      <c r="D99" s="55"/>
      <c r="E99" s="55"/>
      <c r="F99" s="43">
        <v>1</v>
      </c>
      <c r="G99" s="43"/>
      <c r="H99" s="43"/>
      <c r="I99" s="34">
        <f>SUM(I96:I98)</f>
        <v>259.45675999999997</v>
      </c>
    </row>
    <row r="100" spans="1:9" ht="15.75" customHeight="1">
      <c r="A100" s="31"/>
      <c r="B100" s="53" t="s">
        <v>78</v>
      </c>
      <c r="C100" s="17"/>
      <c r="D100" s="17"/>
      <c r="E100" s="17"/>
      <c r="F100" s="44"/>
      <c r="G100" s="45"/>
      <c r="H100" s="45"/>
      <c r="I100" s="19">
        <v>0</v>
      </c>
    </row>
    <row r="101" spans="1:9" ht="15.75" customHeight="1">
      <c r="A101" s="56"/>
      <c r="B101" s="48" t="s">
        <v>148</v>
      </c>
      <c r="C101" s="36"/>
      <c r="D101" s="36"/>
      <c r="E101" s="36"/>
      <c r="F101" s="36"/>
      <c r="G101" s="36"/>
      <c r="H101" s="36"/>
      <c r="I101" s="46">
        <f>I94+I99</f>
        <v>19197.383050266668</v>
      </c>
    </row>
    <row r="102" spans="1:9" ht="15.75">
      <c r="A102" s="159" t="s">
        <v>274</v>
      </c>
      <c r="B102" s="159"/>
      <c r="C102" s="159"/>
      <c r="D102" s="159"/>
      <c r="E102" s="159"/>
      <c r="F102" s="159"/>
      <c r="G102" s="159"/>
      <c r="H102" s="159"/>
      <c r="I102" s="159"/>
    </row>
    <row r="103" spans="1:9" ht="15.75">
      <c r="A103" s="72"/>
      <c r="B103" s="160" t="s">
        <v>275</v>
      </c>
      <c r="C103" s="160"/>
      <c r="D103" s="160"/>
      <c r="E103" s="160"/>
      <c r="F103" s="160"/>
      <c r="G103" s="160"/>
      <c r="H103" s="79"/>
      <c r="I103" s="3"/>
    </row>
    <row r="104" spans="1:9">
      <c r="A104" s="68"/>
      <c r="B104" s="158" t="s">
        <v>6</v>
      </c>
      <c r="C104" s="158"/>
      <c r="D104" s="158"/>
      <c r="E104" s="158"/>
      <c r="F104" s="158"/>
      <c r="G104" s="158"/>
      <c r="H104" s="26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61" t="s">
        <v>7</v>
      </c>
      <c r="B106" s="161"/>
      <c r="C106" s="161"/>
      <c r="D106" s="161"/>
      <c r="E106" s="161"/>
      <c r="F106" s="161"/>
      <c r="G106" s="161"/>
      <c r="H106" s="161"/>
      <c r="I106" s="161"/>
    </row>
    <row r="107" spans="1:9" ht="15.75">
      <c r="A107" s="161" t="s">
        <v>8</v>
      </c>
      <c r="B107" s="161"/>
      <c r="C107" s="161"/>
      <c r="D107" s="161"/>
      <c r="E107" s="161"/>
      <c r="F107" s="161"/>
      <c r="G107" s="161"/>
      <c r="H107" s="161"/>
      <c r="I107" s="161"/>
    </row>
    <row r="108" spans="1:9" ht="15.75">
      <c r="A108" s="155" t="s">
        <v>61</v>
      </c>
      <c r="B108" s="155"/>
      <c r="C108" s="155"/>
      <c r="D108" s="155"/>
      <c r="E108" s="155"/>
      <c r="F108" s="155"/>
      <c r="G108" s="155"/>
      <c r="H108" s="155"/>
      <c r="I108" s="155"/>
    </row>
    <row r="109" spans="1:9" ht="15.75">
      <c r="A109" s="11"/>
    </row>
    <row r="110" spans="1:9" ht="15.75">
      <c r="A110" s="156" t="s">
        <v>9</v>
      </c>
      <c r="B110" s="156"/>
      <c r="C110" s="156"/>
      <c r="D110" s="156"/>
      <c r="E110" s="156"/>
      <c r="F110" s="156"/>
      <c r="G110" s="156"/>
      <c r="H110" s="156"/>
      <c r="I110" s="156"/>
    </row>
    <row r="111" spans="1:9" ht="15.75">
      <c r="A111" s="4"/>
    </row>
    <row r="112" spans="1:9" ht="15.75">
      <c r="B112" s="69" t="s">
        <v>10</v>
      </c>
      <c r="C112" s="157" t="s">
        <v>196</v>
      </c>
      <c r="D112" s="157"/>
      <c r="E112" s="157"/>
      <c r="F112" s="157"/>
      <c r="I112" s="67"/>
    </row>
    <row r="113" spans="1:9">
      <c r="A113" s="68"/>
      <c r="C113" s="158" t="s">
        <v>11</v>
      </c>
      <c r="D113" s="158"/>
      <c r="E113" s="158"/>
      <c r="F113" s="158"/>
      <c r="I113" s="66" t="s">
        <v>12</v>
      </c>
    </row>
    <row r="114" spans="1:9" ht="15.75">
      <c r="A114" s="27"/>
      <c r="C114" s="12"/>
      <c r="D114" s="12"/>
      <c r="E114" s="12"/>
      <c r="G114" s="12"/>
      <c r="H114" s="12"/>
    </row>
    <row r="115" spans="1:9" ht="15.75">
      <c r="B115" s="69" t="s">
        <v>13</v>
      </c>
      <c r="C115" s="152"/>
      <c r="D115" s="152"/>
      <c r="E115" s="152"/>
      <c r="F115" s="152"/>
      <c r="I115" s="67"/>
    </row>
    <row r="116" spans="1:9">
      <c r="A116" s="68"/>
      <c r="C116" s="153" t="s">
        <v>11</v>
      </c>
      <c r="D116" s="153"/>
      <c r="E116" s="153"/>
      <c r="F116" s="153"/>
      <c r="I116" s="66" t="s">
        <v>12</v>
      </c>
    </row>
    <row r="117" spans="1:9" ht="15.75">
      <c r="A117" s="4" t="s">
        <v>14</v>
      </c>
    </row>
    <row r="118" spans="1:9">
      <c r="A118" s="154" t="s">
        <v>15</v>
      </c>
      <c r="B118" s="154"/>
      <c r="C118" s="154"/>
      <c r="D118" s="154"/>
      <c r="E118" s="154"/>
      <c r="F118" s="154"/>
      <c r="G118" s="154"/>
      <c r="H118" s="154"/>
      <c r="I118" s="154"/>
    </row>
    <row r="119" spans="1:9" ht="45" customHeight="1">
      <c r="A119" s="151" t="s">
        <v>16</v>
      </c>
      <c r="B119" s="151"/>
      <c r="C119" s="151"/>
      <c r="D119" s="151"/>
      <c r="E119" s="151"/>
      <c r="F119" s="151"/>
      <c r="G119" s="151"/>
      <c r="H119" s="151"/>
      <c r="I119" s="151"/>
    </row>
    <row r="120" spans="1:9" ht="30" customHeight="1">
      <c r="A120" s="151" t="s">
        <v>17</v>
      </c>
      <c r="B120" s="151"/>
      <c r="C120" s="151"/>
      <c r="D120" s="151"/>
      <c r="E120" s="151"/>
      <c r="F120" s="151"/>
      <c r="G120" s="151"/>
      <c r="H120" s="151"/>
      <c r="I120" s="151"/>
    </row>
    <row r="121" spans="1:9" ht="30" customHeight="1">
      <c r="A121" s="151" t="s">
        <v>21</v>
      </c>
      <c r="B121" s="151"/>
      <c r="C121" s="151"/>
      <c r="D121" s="151"/>
      <c r="E121" s="151"/>
      <c r="F121" s="151"/>
      <c r="G121" s="151"/>
      <c r="H121" s="151"/>
      <c r="I121" s="151"/>
    </row>
    <row r="122" spans="1:9" ht="15" customHeight="1">
      <c r="A122" s="151" t="s">
        <v>20</v>
      </c>
      <c r="B122" s="151"/>
      <c r="C122" s="151"/>
      <c r="D122" s="151"/>
      <c r="E122" s="151"/>
      <c r="F122" s="151"/>
      <c r="G122" s="151"/>
      <c r="H122" s="151"/>
      <c r="I122" s="151"/>
    </row>
  </sheetData>
  <autoFilter ref="I12:I63"/>
  <mergeCells count="29">
    <mergeCell ref="A118:I118"/>
    <mergeCell ref="A119:I119"/>
    <mergeCell ref="A120:I120"/>
    <mergeCell ref="A121:I121"/>
    <mergeCell ref="A122:I122"/>
    <mergeCell ref="R68:U68"/>
    <mergeCell ref="C116:F116"/>
    <mergeCell ref="A95:I95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91:I9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6"/>
  <sheetViews>
    <sheetView topLeftCell="A55" workbookViewId="0">
      <selection activeCell="G99" sqref="G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163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276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2">
        <v>44530</v>
      </c>
      <c r="J6" s="2"/>
      <c r="K6" s="2"/>
      <c r="L6" s="2"/>
      <c r="M6" s="2"/>
    </row>
    <row r="7" spans="1:13" ht="15.75" customHeight="1">
      <c r="B7" s="73"/>
      <c r="C7" s="73"/>
      <c r="D7" s="73"/>
      <c r="E7" s="73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197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89.25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95</v>
      </c>
      <c r="C20" s="82" t="s">
        <v>53</v>
      </c>
      <c r="D20" s="81" t="s">
        <v>94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4</v>
      </c>
      <c r="B21" s="81" t="s">
        <v>96</v>
      </c>
      <c r="C21" s="82" t="s">
        <v>92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5</v>
      </c>
      <c r="B22" s="81" t="s">
        <v>97</v>
      </c>
      <c r="C22" s="82" t="s">
        <v>92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98</v>
      </c>
      <c r="C23" s="82" t="s">
        <v>53</v>
      </c>
      <c r="D23" s="81" t="s">
        <v>94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99</v>
      </c>
      <c r="C24" s="82" t="s">
        <v>53</v>
      </c>
      <c r="D24" s="81" t="s">
        <v>94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100</v>
      </c>
      <c r="C25" s="82" t="s">
        <v>53</v>
      </c>
      <c r="D25" s="81" t="s">
        <v>94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140</v>
      </c>
      <c r="C26" s="82" t="s">
        <v>53</v>
      </c>
      <c r="D26" s="81" t="s">
        <v>94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hidden="1" customHeight="1">
      <c r="A27" s="31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hidden="1" customHeight="1">
      <c r="A28" s="31">
        <v>5</v>
      </c>
      <c r="B28" s="88" t="s">
        <v>23</v>
      </c>
      <c r="C28" s="82" t="s">
        <v>24</v>
      </c>
      <c r="D28" s="81" t="s">
        <v>83</v>
      </c>
      <c r="E28" s="83">
        <v>1810.5</v>
      </c>
      <c r="F28" s="84">
        <f>SUM(E28*12)</f>
        <v>21726</v>
      </c>
      <c r="G28" s="84">
        <v>5.25</v>
      </c>
      <c r="H28" s="85">
        <f t="shared" ref="H28" si="1">SUM(F28*G28/1000)</f>
        <v>114.0615</v>
      </c>
      <c r="I28" s="14">
        <f>F28/12*G28</f>
        <v>9505.125</v>
      </c>
      <c r="J28" s="24"/>
      <c r="K28" s="8"/>
      <c r="L28" s="8"/>
      <c r="M28" s="8"/>
    </row>
    <row r="29" spans="1:13" ht="15.75" customHeight="1">
      <c r="A29" s="177" t="s">
        <v>82</v>
      </c>
      <c r="B29" s="177"/>
      <c r="C29" s="177"/>
      <c r="D29" s="177"/>
      <c r="E29" s="177"/>
      <c r="F29" s="177"/>
      <c r="G29" s="177"/>
      <c r="H29" s="177"/>
      <c r="I29" s="177"/>
      <c r="J29" s="24"/>
      <c r="K29" s="8"/>
      <c r="L29" s="8"/>
      <c r="M29" s="8"/>
    </row>
    <row r="30" spans="1:13" ht="15.75" hidden="1" customHeight="1">
      <c r="A30" s="42"/>
      <c r="B30" s="52" t="s">
        <v>27</v>
      </c>
      <c r="C30" s="52"/>
      <c r="D30" s="52"/>
      <c r="E30" s="52"/>
      <c r="F30" s="52"/>
      <c r="G30" s="52"/>
      <c r="H30" s="52"/>
      <c r="I30" s="20"/>
      <c r="J30" s="24"/>
      <c r="K30" s="8"/>
      <c r="L30" s="8"/>
      <c r="M30" s="8"/>
    </row>
    <row r="31" spans="1:13" ht="15.75" hidden="1" customHeight="1">
      <c r="A31" s="42">
        <v>6</v>
      </c>
      <c r="B31" s="81" t="s">
        <v>101</v>
      </c>
      <c r="C31" s="82" t="s">
        <v>102</v>
      </c>
      <c r="D31" s="81" t="s">
        <v>103</v>
      </c>
      <c r="E31" s="84">
        <v>288.33999999999997</v>
      </c>
      <c r="F31" s="84">
        <f>SUM(E31*52/1000)</f>
        <v>14.993679999999998</v>
      </c>
      <c r="G31" s="84">
        <v>193.97</v>
      </c>
      <c r="H31" s="85">
        <f t="shared" ref="H31:H37" si="2">SUM(F31*G31/1000)</f>
        <v>2.9083241095999997</v>
      </c>
      <c r="I31" s="14">
        <f>F31/6*G31</f>
        <v>484.7206849333333</v>
      </c>
      <c r="J31" s="24"/>
      <c r="K31" s="8"/>
      <c r="L31" s="8"/>
      <c r="M31" s="8"/>
    </row>
    <row r="32" spans="1:13" ht="31.5" hidden="1" customHeight="1">
      <c r="A32" s="42">
        <v>7</v>
      </c>
      <c r="B32" s="81" t="s">
        <v>104</v>
      </c>
      <c r="C32" s="82" t="s">
        <v>102</v>
      </c>
      <c r="D32" s="81" t="s">
        <v>105</v>
      </c>
      <c r="E32" s="84">
        <v>34.200000000000003</v>
      </c>
      <c r="F32" s="84">
        <f>SUM(E32*78/1000)</f>
        <v>2.6676000000000002</v>
      </c>
      <c r="G32" s="84">
        <v>321.82</v>
      </c>
      <c r="H32" s="85">
        <f t="shared" si="2"/>
        <v>0.85848703199999998</v>
      </c>
      <c r="I32" s="14">
        <f t="shared" ref="I32:I35" si="3">F32/6*G32</f>
        <v>143.08117200000001</v>
      </c>
      <c r="J32" s="24"/>
      <c r="K32" s="8"/>
      <c r="L32" s="8"/>
      <c r="M32" s="8"/>
    </row>
    <row r="33" spans="1:14" ht="15.75" hidden="1" customHeight="1">
      <c r="A33" s="42">
        <v>16</v>
      </c>
      <c r="B33" s="81" t="s">
        <v>26</v>
      </c>
      <c r="C33" s="82" t="s">
        <v>102</v>
      </c>
      <c r="D33" s="81" t="s">
        <v>54</v>
      </c>
      <c r="E33" s="84">
        <f>E31</f>
        <v>288.33999999999997</v>
      </c>
      <c r="F33" s="84">
        <f>SUM(E33/1000)</f>
        <v>0.28833999999999999</v>
      </c>
      <c r="G33" s="84">
        <v>3758.28</v>
      </c>
      <c r="H33" s="85">
        <f t="shared" si="2"/>
        <v>1.0836624552</v>
      </c>
      <c r="I33" s="14">
        <f>F33*G33</f>
        <v>1083.6624552000001</v>
      </c>
      <c r="J33" s="24"/>
      <c r="K33" s="8"/>
      <c r="L33" s="8"/>
      <c r="M33" s="8"/>
    </row>
    <row r="34" spans="1:14" ht="15.75" hidden="1" customHeight="1">
      <c r="A34" s="42">
        <v>8</v>
      </c>
      <c r="B34" s="81" t="s">
        <v>106</v>
      </c>
      <c r="C34" s="82" t="s">
        <v>40</v>
      </c>
      <c r="D34" s="81" t="s">
        <v>63</v>
      </c>
      <c r="E34" s="84">
        <v>3</v>
      </c>
      <c r="F34" s="84">
        <f>E34*155/100</f>
        <v>4.6500000000000004</v>
      </c>
      <c r="G34" s="84">
        <v>1620.15</v>
      </c>
      <c r="H34" s="85">
        <f t="shared" si="2"/>
        <v>7.5336975000000015</v>
      </c>
      <c r="I34" s="14">
        <f t="shared" si="3"/>
        <v>1255.61625</v>
      </c>
      <c r="J34" s="24"/>
      <c r="K34" s="8"/>
    </row>
    <row r="35" spans="1:14" ht="15.75" hidden="1" customHeight="1">
      <c r="A35" s="42">
        <v>9</v>
      </c>
      <c r="B35" s="81" t="s">
        <v>107</v>
      </c>
      <c r="C35" s="82" t="s">
        <v>29</v>
      </c>
      <c r="D35" s="81" t="s">
        <v>63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 t="shared" si="2"/>
        <v>3.6445666666666665</v>
      </c>
      <c r="I35" s="14">
        <f t="shared" si="3"/>
        <v>607.42777777777781</v>
      </c>
      <c r="J35" s="25"/>
    </row>
    <row r="36" spans="1:14" ht="15.75" hidden="1" customHeight="1">
      <c r="A36" s="42">
        <v>4</v>
      </c>
      <c r="B36" s="81" t="s">
        <v>64</v>
      </c>
      <c r="C36" s="82" t="s">
        <v>32</v>
      </c>
      <c r="D36" s="81" t="s">
        <v>66</v>
      </c>
      <c r="E36" s="83"/>
      <c r="F36" s="84">
        <v>2</v>
      </c>
      <c r="G36" s="84">
        <v>238.07</v>
      </c>
      <c r="H36" s="85">
        <f t="shared" si="2"/>
        <v>0.47614000000000001</v>
      </c>
      <c r="I36" s="14">
        <v>0</v>
      </c>
      <c r="J36" s="25"/>
    </row>
    <row r="37" spans="1:14" ht="15.75" hidden="1" customHeight="1">
      <c r="A37" s="31">
        <v>8</v>
      </c>
      <c r="B37" s="81" t="s">
        <v>65</v>
      </c>
      <c r="C37" s="82" t="s">
        <v>31</v>
      </c>
      <c r="D37" s="81" t="s">
        <v>66</v>
      </c>
      <c r="E37" s="83"/>
      <c r="F37" s="84">
        <v>2</v>
      </c>
      <c r="G37" s="84">
        <v>1413.96</v>
      </c>
      <c r="H37" s="85">
        <f t="shared" si="2"/>
        <v>2.8279200000000002</v>
      </c>
      <c r="I37" s="14">
        <v>0</v>
      </c>
      <c r="J37" s="25"/>
    </row>
    <row r="38" spans="1:14" ht="15.75" customHeight="1">
      <c r="A38" s="42"/>
      <c r="B38" s="50" t="s">
        <v>5</v>
      </c>
      <c r="C38" s="50"/>
      <c r="D38" s="50"/>
      <c r="E38" s="50"/>
      <c r="F38" s="14"/>
      <c r="G38" s="15"/>
      <c r="H38" s="15"/>
      <c r="I38" s="20"/>
      <c r="J38" s="25"/>
    </row>
    <row r="39" spans="1:14" ht="18.75" customHeight="1">
      <c r="A39" s="35">
        <v>4</v>
      </c>
      <c r="B39" s="81" t="s">
        <v>25</v>
      </c>
      <c r="C39" s="82" t="s">
        <v>31</v>
      </c>
      <c r="D39" s="81" t="s">
        <v>277</v>
      </c>
      <c r="E39" s="83"/>
      <c r="F39" s="84">
        <v>2</v>
      </c>
      <c r="G39" s="84">
        <v>1900.37</v>
      </c>
      <c r="H39" s="85">
        <f t="shared" ref="H39:H44" si="4">SUM(F39*G39/1000)</f>
        <v>3.8007399999999998</v>
      </c>
      <c r="I39" s="14">
        <f>G39*1</f>
        <v>1900.37</v>
      </c>
      <c r="J39" s="25"/>
    </row>
    <row r="40" spans="1:14" ht="15.75" customHeight="1">
      <c r="A40" s="35">
        <v>5</v>
      </c>
      <c r="B40" s="81" t="s">
        <v>67</v>
      </c>
      <c r="C40" s="82" t="s">
        <v>28</v>
      </c>
      <c r="D40" s="81" t="s">
        <v>175</v>
      </c>
      <c r="E40" s="84">
        <v>34.200000000000003</v>
      </c>
      <c r="F40" s="84">
        <f>SUM(E40*30/1000)</f>
        <v>1.026</v>
      </c>
      <c r="G40" s="84">
        <v>2616.4899999999998</v>
      </c>
      <c r="H40" s="85">
        <f t="shared" si="4"/>
        <v>2.6845187400000001</v>
      </c>
      <c r="I40" s="14">
        <f t="shared" ref="I40:I42" si="5">F40/6*G40</f>
        <v>447.41978999999998</v>
      </c>
      <c r="J40" s="25"/>
    </row>
    <row r="41" spans="1:14" ht="15.75" customHeight="1">
      <c r="A41" s="35">
        <v>6</v>
      </c>
      <c r="B41" s="81" t="s">
        <v>68</v>
      </c>
      <c r="C41" s="82" t="s">
        <v>28</v>
      </c>
      <c r="D41" s="81" t="s">
        <v>176</v>
      </c>
      <c r="E41" s="84">
        <f>E40</f>
        <v>34.200000000000003</v>
      </c>
      <c r="F41" s="84">
        <f>SUM(E41*155/1000)</f>
        <v>5.3010000000000002</v>
      </c>
      <c r="G41" s="84">
        <v>436.45</v>
      </c>
      <c r="H41" s="85">
        <f t="shared" si="4"/>
        <v>2.3136214500000003</v>
      </c>
      <c r="I41" s="14">
        <f t="shared" si="5"/>
        <v>385.60357500000003</v>
      </c>
      <c r="J41" s="25"/>
    </row>
    <row r="42" spans="1:14" ht="47.25" customHeight="1">
      <c r="A42" s="35">
        <v>7</v>
      </c>
      <c r="B42" s="81" t="s">
        <v>81</v>
      </c>
      <c r="C42" s="82" t="s">
        <v>102</v>
      </c>
      <c r="D42" s="81" t="s">
        <v>177</v>
      </c>
      <c r="E42" s="84">
        <f>E41</f>
        <v>34.200000000000003</v>
      </c>
      <c r="F42" s="84">
        <f>SUM(E42*35/1000)</f>
        <v>1.1970000000000001</v>
      </c>
      <c r="G42" s="84">
        <v>7221.21</v>
      </c>
      <c r="H42" s="85">
        <f t="shared" si="4"/>
        <v>8.6437883699999993</v>
      </c>
      <c r="I42" s="14">
        <f t="shared" si="5"/>
        <v>1440.6313950000001</v>
      </c>
      <c r="J42" s="25"/>
      <c r="L42" s="21"/>
      <c r="M42" s="22"/>
      <c r="N42" s="23"/>
    </row>
    <row r="43" spans="1:14" ht="15.75" hidden="1" customHeight="1">
      <c r="A43" s="35">
        <v>8</v>
      </c>
      <c r="B43" s="81" t="s">
        <v>111</v>
      </c>
      <c r="C43" s="82" t="s">
        <v>102</v>
      </c>
      <c r="D43" s="81" t="s">
        <v>173</v>
      </c>
      <c r="E43" s="84">
        <f>E42</f>
        <v>34.200000000000003</v>
      </c>
      <c r="F43" s="84">
        <f>SUM(E43*20/1000)</f>
        <v>0.68400000000000005</v>
      </c>
      <c r="G43" s="84">
        <v>533.45000000000005</v>
      </c>
      <c r="H43" s="85">
        <f t="shared" si="4"/>
        <v>0.36487980000000003</v>
      </c>
      <c r="I43" s="14">
        <f>G43*F43/20*2</f>
        <v>36.487980000000007</v>
      </c>
      <c r="J43" s="25"/>
      <c r="L43" s="21"/>
      <c r="M43" s="22"/>
      <c r="N43" s="23"/>
    </row>
    <row r="44" spans="1:14" ht="15" hidden="1" customHeight="1">
      <c r="A44" s="35">
        <v>9</v>
      </c>
      <c r="B44" s="81" t="s">
        <v>69</v>
      </c>
      <c r="C44" s="82" t="s">
        <v>32</v>
      </c>
      <c r="D44" s="81"/>
      <c r="E44" s="83"/>
      <c r="F44" s="84">
        <v>0.5</v>
      </c>
      <c r="G44" s="84">
        <v>992.97</v>
      </c>
      <c r="H44" s="85">
        <f t="shared" si="4"/>
        <v>0.49648500000000001</v>
      </c>
      <c r="I44" s="14">
        <f>G44*F44/20*2</f>
        <v>49.648499999999999</v>
      </c>
      <c r="J44" s="25"/>
      <c r="L44" s="21"/>
      <c r="M44" s="22"/>
      <c r="N44" s="23"/>
    </row>
    <row r="45" spans="1:14" ht="15.75" customHeight="1">
      <c r="A45" s="162" t="s">
        <v>145</v>
      </c>
      <c r="B45" s="163"/>
      <c r="C45" s="163"/>
      <c r="D45" s="163"/>
      <c r="E45" s="163"/>
      <c r="F45" s="163"/>
      <c r="G45" s="163"/>
      <c r="H45" s="163"/>
      <c r="I45" s="164"/>
      <c r="J45" s="25"/>
      <c r="L45" s="21"/>
      <c r="M45" s="22"/>
      <c r="N45" s="23"/>
    </row>
    <row r="46" spans="1:14" ht="15.75" hidden="1" customHeight="1">
      <c r="A46" s="42">
        <v>12</v>
      </c>
      <c r="B46" s="81" t="s">
        <v>113</v>
      </c>
      <c r="C46" s="82" t="s">
        <v>102</v>
      </c>
      <c r="D46" s="81" t="s">
        <v>42</v>
      </c>
      <c r="E46" s="83">
        <v>1033.2</v>
      </c>
      <c r="F46" s="84">
        <f>SUM(E46*2/1000)</f>
        <v>2.0664000000000002</v>
      </c>
      <c r="G46" s="14">
        <v>1283.46</v>
      </c>
      <c r="H46" s="85">
        <f t="shared" ref="H46:H56" si="6">SUM(F46*G46/1000)</f>
        <v>2.6521417440000006</v>
      </c>
      <c r="I46" s="14">
        <f t="shared" ref="I46:I49" si="7">F46/2*G46</f>
        <v>1326.0708720000002</v>
      </c>
      <c r="J46" s="25"/>
      <c r="L46" s="21"/>
      <c r="M46" s="22"/>
      <c r="N46" s="23"/>
    </row>
    <row r="47" spans="1:14" ht="15.75" hidden="1" customHeight="1">
      <c r="A47" s="42">
        <v>13</v>
      </c>
      <c r="B47" s="81" t="s">
        <v>35</v>
      </c>
      <c r="C47" s="82" t="s">
        <v>102</v>
      </c>
      <c r="D47" s="81" t="s">
        <v>42</v>
      </c>
      <c r="E47" s="83">
        <v>19.8</v>
      </c>
      <c r="F47" s="84">
        <f>SUM(E47*2/1000)</f>
        <v>3.9600000000000003E-2</v>
      </c>
      <c r="G47" s="14">
        <v>721.04</v>
      </c>
      <c r="H47" s="85">
        <f t="shared" si="6"/>
        <v>2.8553184000000002E-2</v>
      </c>
      <c r="I47" s="14">
        <f t="shared" si="7"/>
        <v>14.276592000000001</v>
      </c>
      <c r="J47" s="25"/>
      <c r="L47" s="21"/>
      <c r="M47" s="22"/>
      <c r="N47" s="23"/>
    </row>
    <row r="48" spans="1:14" ht="15.75" hidden="1" customHeight="1">
      <c r="A48" s="42">
        <v>14</v>
      </c>
      <c r="B48" s="81" t="s">
        <v>36</v>
      </c>
      <c r="C48" s="82" t="s">
        <v>102</v>
      </c>
      <c r="D48" s="81" t="s">
        <v>42</v>
      </c>
      <c r="E48" s="83">
        <v>660.84</v>
      </c>
      <c r="F48" s="84">
        <f>SUM(E48*2/1000)</f>
        <v>1.32168</v>
      </c>
      <c r="G48" s="14">
        <v>1711.28</v>
      </c>
      <c r="H48" s="85">
        <f t="shared" si="6"/>
        <v>2.2617645503999997</v>
      </c>
      <c r="I48" s="14">
        <f t="shared" si="7"/>
        <v>1130.8822751999999</v>
      </c>
      <c r="J48" s="25"/>
      <c r="L48" s="21"/>
      <c r="M48" s="22"/>
      <c r="N48" s="23"/>
    </row>
    <row r="49" spans="1:14" ht="15.75" hidden="1" customHeight="1">
      <c r="A49" s="42">
        <v>15</v>
      </c>
      <c r="B49" s="81" t="s">
        <v>37</v>
      </c>
      <c r="C49" s="82" t="s">
        <v>102</v>
      </c>
      <c r="D49" s="81" t="s">
        <v>42</v>
      </c>
      <c r="E49" s="83">
        <v>1156.21</v>
      </c>
      <c r="F49" s="84">
        <f>SUM(E49*2/1000)</f>
        <v>2.3124199999999999</v>
      </c>
      <c r="G49" s="14">
        <v>1179.73</v>
      </c>
      <c r="H49" s="85">
        <f t="shared" si="6"/>
        <v>2.7280312466000001</v>
      </c>
      <c r="I49" s="14">
        <f t="shared" si="7"/>
        <v>1364.0156233</v>
      </c>
      <c r="J49" s="25"/>
      <c r="L49" s="21"/>
      <c r="M49" s="22"/>
      <c r="N49" s="23"/>
    </row>
    <row r="50" spans="1:14" ht="15.75" hidden="1" customHeight="1">
      <c r="A50" s="42">
        <v>16</v>
      </c>
      <c r="B50" s="81" t="s">
        <v>33</v>
      </c>
      <c r="C50" s="82" t="s">
        <v>34</v>
      </c>
      <c r="D50" s="81" t="s">
        <v>42</v>
      </c>
      <c r="E50" s="83">
        <v>17.14</v>
      </c>
      <c r="F50" s="84">
        <f>SUM(E50*2/100)</f>
        <v>0.34279999999999999</v>
      </c>
      <c r="G50" s="14">
        <v>90.61</v>
      </c>
      <c r="H50" s="85">
        <f t="shared" si="6"/>
        <v>3.1061108E-2</v>
      </c>
      <c r="I50" s="14">
        <f>F50/2*G50</f>
        <v>15.530554</v>
      </c>
      <c r="J50" s="25"/>
      <c r="L50" s="21"/>
      <c r="M50" s="22"/>
      <c r="N50" s="23"/>
    </row>
    <row r="51" spans="1:14" ht="15.75" hidden="1" customHeight="1">
      <c r="A51" s="42">
        <v>17</v>
      </c>
      <c r="B51" s="81" t="s">
        <v>56</v>
      </c>
      <c r="C51" s="82" t="s">
        <v>102</v>
      </c>
      <c r="D51" s="81" t="s">
        <v>142</v>
      </c>
      <c r="E51" s="83">
        <v>823</v>
      </c>
      <c r="F51" s="84">
        <f>SUM(E51*5/1000)</f>
        <v>4.1150000000000002</v>
      </c>
      <c r="G51" s="14">
        <v>1711.28</v>
      </c>
      <c r="H51" s="85">
        <f t="shared" si="6"/>
        <v>7.0419171999999994</v>
      </c>
      <c r="I51" s="14">
        <f>F51/5*G51</f>
        <v>1408.3834400000001</v>
      </c>
      <c r="J51" s="25"/>
      <c r="L51" s="21"/>
      <c r="M51" s="22"/>
      <c r="N51" s="23"/>
    </row>
    <row r="52" spans="1:14" ht="31.5" hidden="1" customHeight="1">
      <c r="A52" s="42">
        <v>10</v>
      </c>
      <c r="B52" s="81" t="s">
        <v>114</v>
      </c>
      <c r="C52" s="82" t="s">
        <v>102</v>
      </c>
      <c r="D52" s="81" t="s">
        <v>42</v>
      </c>
      <c r="E52" s="83">
        <v>823</v>
      </c>
      <c r="F52" s="84">
        <f>SUM(E52*2/1000)</f>
        <v>1.6459999999999999</v>
      </c>
      <c r="G52" s="14">
        <v>1510.06</v>
      </c>
      <c r="H52" s="85">
        <f t="shared" si="6"/>
        <v>2.48555876</v>
      </c>
      <c r="I52" s="14">
        <f>F52/2*G52</f>
        <v>1242.7793799999999</v>
      </c>
      <c r="J52" s="25"/>
      <c r="L52" s="21"/>
      <c r="M52" s="22"/>
      <c r="N52" s="23"/>
    </row>
    <row r="53" spans="1:14" ht="31.5" hidden="1" customHeight="1">
      <c r="A53" s="42">
        <v>11</v>
      </c>
      <c r="B53" s="81" t="s">
        <v>115</v>
      </c>
      <c r="C53" s="82" t="s">
        <v>38</v>
      </c>
      <c r="D53" s="81" t="s">
        <v>42</v>
      </c>
      <c r="E53" s="83">
        <v>9</v>
      </c>
      <c r="F53" s="84">
        <f>SUM(E53*2/100)</f>
        <v>0.18</v>
      </c>
      <c r="G53" s="14">
        <v>3850.4</v>
      </c>
      <c r="H53" s="85">
        <f t="shared" si="6"/>
        <v>0.69307200000000002</v>
      </c>
      <c r="I53" s="14">
        <f t="shared" ref="I53:I54" si="8">F53/2*G53</f>
        <v>346.536</v>
      </c>
      <c r="J53" s="25"/>
      <c r="L53" s="21"/>
      <c r="M53" s="22"/>
      <c r="N53" s="23"/>
    </row>
    <row r="54" spans="1:14" ht="15.75" hidden="1" customHeight="1">
      <c r="A54" s="42">
        <v>12</v>
      </c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4">
        <v>7033.13</v>
      </c>
      <c r="H54" s="85">
        <f t="shared" si="6"/>
        <v>0.1406626</v>
      </c>
      <c r="I54" s="14">
        <f t="shared" si="8"/>
        <v>70.331299999999999</v>
      </c>
      <c r="J54" s="25"/>
      <c r="L54" s="21"/>
      <c r="M54" s="22"/>
      <c r="N54" s="23"/>
    </row>
    <row r="55" spans="1:14" ht="15.75" customHeight="1">
      <c r="A55" s="42">
        <v>8</v>
      </c>
      <c r="B55" s="81" t="s">
        <v>141</v>
      </c>
      <c r="C55" s="82" t="s">
        <v>29</v>
      </c>
      <c r="D55" s="136">
        <v>44512</v>
      </c>
      <c r="E55" s="83">
        <v>36</v>
      </c>
      <c r="F55" s="84">
        <f>E55*3</f>
        <v>108</v>
      </c>
      <c r="G55" s="14">
        <v>175.6</v>
      </c>
      <c r="H55" s="85">
        <f t="shared" si="6"/>
        <v>18.9648</v>
      </c>
      <c r="I55" s="14">
        <f>E55*G55</f>
        <v>6321.5999999999995</v>
      </c>
      <c r="J55" s="25"/>
      <c r="L55" s="21"/>
      <c r="M55" s="22"/>
      <c r="N55" s="23"/>
    </row>
    <row r="56" spans="1:14" ht="15.75" customHeight="1">
      <c r="A56" s="42">
        <v>9</v>
      </c>
      <c r="B56" s="81" t="s">
        <v>41</v>
      </c>
      <c r="C56" s="82" t="s">
        <v>29</v>
      </c>
      <c r="D56" s="136">
        <v>44512</v>
      </c>
      <c r="E56" s="83">
        <v>36</v>
      </c>
      <c r="F56" s="84">
        <f>SUM(E56)*3</f>
        <v>108</v>
      </c>
      <c r="G56" s="14">
        <v>81.73</v>
      </c>
      <c r="H56" s="85">
        <f t="shared" si="6"/>
        <v>8.8268400000000007</v>
      </c>
      <c r="I56" s="14">
        <f>E56*G56</f>
        <v>2942.28</v>
      </c>
      <c r="J56" s="25"/>
      <c r="L56" s="21"/>
      <c r="M56" s="22"/>
      <c r="N56" s="23"/>
    </row>
    <row r="57" spans="1:14" ht="15.75" hidden="1" customHeight="1">
      <c r="A57" s="162" t="s">
        <v>154</v>
      </c>
      <c r="B57" s="163"/>
      <c r="C57" s="163"/>
      <c r="D57" s="163"/>
      <c r="E57" s="163"/>
      <c r="F57" s="163"/>
      <c r="G57" s="163"/>
      <c r="H57" s="163"/>
      <c r="I57" s="164"/>
      <c r="J57" s="25"/>
      <c r="L57" s="21"/>
      <c r="M57" s="22"/>
      <c r="N57" s="23"/>
    </row>
    <row r="58" spans="1:14" ht="15.75" hidden="1" customHeight="1">
      <c r="A58" s="80"/>
      <c r="B58" s="49" t="s">
        <v>43</v>
      </c>
      <c r="C58" s="18"/>
      <c r="D58" s="17"/>
      <c r="E58" s="17"/>
      <c r="F58" s="17"/>
      <c r="G58" s="31"/>
      <c r="H58" s="31"/>
      <c r="I58" s="20"/>
      <c r="J58" s="25"/>
      <c r="L58" s="21"/>
      <c r="M58" s="22"/>
      <c r="N58" s="23"/>
    </row>
    <row r="59" spans="1:14" ht="31.5" hidden="1" customHeight="1">
      <c r="A59" s="42">
        <v>12</v>
      </c>
      <c r="B59" s="81" t="s">
        <v>149</v>
      </c>
      <c r="C59" s="82" t="s">
        <v>92</v>
      </c>
      <c r="D59" s="81" t="s">
        <v>71</v>
      </c>
      <c r="E59" s="20">
        <v>69.66</v>
      </c>
      <c r="F59" s="14">
        <f>E59*6/100</f>
        <v>4.1795999999999998</v>
      </c>
      <c r="G59" s="84">
        <v>2306.62</v>
      </c>
      <c r="H59" s="85">
        <f>SUM(F59*G59/1000)</f>
        <v>9.6407489519999974</v>
      </c>
      <c r="I59" s="14">
        <f>F59/6*G59</f>
        <v>1606.7914919999998</v>
      </c>
      <c r="J59" s="25"/>
      <c r="L59" s="21"/>
      <c r="M59" s="22"/>
      <c r="N59" s="23"/>
    </row>
    <row r="60" spans="1:14" ht="15.75" hidden="1" customHeight="1">
      <c r="A60" s="42">
        <v>13</v>
      </c>
      <c r="B60" s="81" t="s">
        <v>85</v>
      </c>
      <c r="C60" s="82" t="s">
        <v>150</v>
      </c>
      <c r="D60" s="81" t="s">
        <v>66</v>
      </c>
      <c r="E60" s="83"/>
      <c r="F60" s="84">
        <v>2</v>
      </c>
      <c r="G60" s="90">
        <v>1501</v>
      </c>
      <c r="H60" s="85">
        <f>F60*G60/1000</f>
        <v>3.0019999999999998</v>
      </c>
      <c r="I60" s="14">
        <f>G60</f>
        <v>1501</v>
      </c>
      <c r="J60" s="25"/>
      <c r="L60" s="21"/>
      <c r="M60" s="22"/>
      <c r="N60" s="23"/>
    </row>
    <row r="61" spans="1:14" ht="15.75" hidden="1" customHeight="1">
      <c r="A61" s="42"/>
      <c r="B61" s="78" t="s">
        <v>44</v>
      </c>
      <c r="C61" s="78"/>
      <c r="D61" s="78"/>
      <c r="E61" s="78"/>
      <c r="F61" s="78"/>
      <c r="G61" s="78"/>
      <c r="H61" s="78"/>
      <c r="I61" s="37"/>
      <c r="J61" s="25"/>
      <c r="L61" s="21"/>
      <c r="M61" s="22"/>
      <c r="N61" s="23"/>
    </row>
    <row r="62" spans="1:14" ht="15.75" hidden="1" customHeight="1">
      <c r="A62" s="42">
        <v>27</v>
      </c>
      <c r="B62" s="91" t="s">
        <v>45</v>
      </c>
      <c r="C62" s="92" t="s">
        <v>53</v>
      </c>
      <c r="D62" s="91" t="s">
        <v>54</v>
      </c>
      <c r="E62" s="93">
        <v>408</v>
      </c>
      <c r="F62" s="94">
        <f>E62/100</f>
        <v>4.08</v>
      </c>
      <c r="G62" s="95">
        <v>987.51</v>
      </c>
      <c r="H62" s="96">
        <f>G62*F62/1000</f>
        <v>4.0290408000000006</v>
      </c>
      <c r="I62" s="14">
        <v>0</v>
      </c>
      <c r="J62" s="25"/>
      <c r="L62" s="21"/>
      <c r="M62" s="22"/>
      <c r="N62" s="23"/>
    </row>
    <row r="63" spans="1:14" ht="17.25" hidden="1" customHeight="1">
      <c r="A63" s="42"/>
      <c r="B63" s="78" t="s">
        <v>46</v>
      </c>
      <c r="C63" s="18"/>
      <c r="D63" s="39"/>
      <c r="E63" s="39"/>
      <c r="F63" s="17"/>
      <c r="G63" s="31"/>
      <c r="H63" s="31"/>
      <c r="I63" s="20"/>
      <c r="J63" s="25"/>
      <c r="L63" s="21"/>
    </row>
    <row r="64" spans="1:14" ht="21.75" hidden="1" customHeight="1">
      <c r="A64" s="42">
        <v>11</v>
      </c>
      <c r="B64" s="16" t="s">
        <v>47</v>
      </c>
      <c r="C64" s="18" t="s">
        <v>116</v>
      </c>
      <c r="D64" s="16" t="s">
        <v>66</v>
      </c>
      <c r="E64" s="20">
        <v>10</v>
      </c>
      <c r="F64" s="84">
        <v>10</v>
      </c>
      <c r="G64" s="14">
        <v>276.74</v>
      </c>
      <c r="H64" s="97">
        <f t="shared" ref="H64:H71" si="9">SUM(F64*G64/1000)</f>
        <v>2.7674000000000003</v>
      </c>
      <c r="I64" s="14">
        <f>G64</f>
        <v>276.74</v>
      </c>
    </row>
    <row r="65" spans="1:22" ht="24" hidden="1" customHeight="1">
      <c r="A65" s="31">
        <v>29</v>
      </c>
      <c r="B65" s="16" t="s">
        <v>48</v>
      </c>
      <c r="C65" s="18" t="s">
        <v>116</v>
      </c>
      <c r="D65" s="16" t="s">
        <v>66</v>
      </c>
      <c r="E65" s="20">
        <v>3</v>
      </c>
      <c r="F65" s="84">
        <v>3</v>
      </c>
      <c r="G65" s="14">
        <v>94.89</v>
      </c>
      <c r="H65" s="97">
        <f t="shared" si="9"/>
        <v>0.28467000000000003</v>
      </c>
      <c r="I65" s="14">
        <v>0</v>
      </c>
    </row>
    <row r="66" spans="1:22" ht="21.75" hidden="1" customHeight="1">
      <c r="A66" s="31">
        <v>28</v>
      </c>
      <c r="B66" s="16" t="s">
        <v>49</v>
      </c>
      <c r="C66" s="18" t="s">
        <v>117</v>
      </c>
      <c r="D66" s="16" t="s">
        <v>54</v>
      </c>
      <c r="E66" s="83">
        <v>7508</v>
      </c>
      <c r="F66" s="14">
        <f>SUM(E66/100)</f>
        <v>75.08</v>
      </c>
      <c r="G66" s="14">
        <v>263.99</v>
      </c>
      <c r="H66" s="97">
        <f t="shared" si="9"/>
        <v>19.820369200000002</v>
      </c>
      <c r="I66" s="14">
        <f>F66*G66</f>
        <v>19820.369200000001</v>
      </c>
    </row>
    <row r="67" spans="1:22" ht="24" hidden="1" customHeight="1">
      <c r="A67" s="31">
        <v>29</v>
      </c>
      <c r="B67" s="16" t="s">
        <v>50</v>
      </c>
      <c r="C67" s="18" t="s">
        <v>118</v>
      </c>
      <c r="D67" s="16" t="s">
        <v>54</v>
      </c>
      <c r="E67" s="83">
        <v>7508</v>
      </c>
      <c r="F67" s="14">
        <f>SUM(E67/1000)</f>
        <v>7.508</v>
      </c>
      <c r="G67" s="14">
        <v>205.57</v>
      </c>
      <c r="H67" s="97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28.5" hidden="1" customHeight="1">
      <c r="A68" s="31">
        <v>30</v>
      </c>
      <c r="B68" s="16" t="s">
        <v>51</v>
      </c>
      <c r="C68" s="18" t="s">
        <v>76</v>
      </c>
      <c r="D68" s="16" t="s">
        <v>54</v>
      </c>
      <c r="E68" s="83">
        <v>1090</v>
      </c>
      <c r="F68" s="14">
        <f>SUM(E68/100)</f>
        <v>10.9</v>
      </c>
      <c r="G68" s="14">
        <v>2581.5300000000002</v>
      </c>
      <c r="H68" s="97">
        <f t="shared" si="9"/>
        <v>28.138677000000005</v>
      </c>
      <c r="I68" s="14">
        <f t="shared" si="10"/>
        <v>28138.677000000003</v>
      </c>
      <c r="J68" s="27"/>
      <c r="K68" s="27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25.5" hidden="1" customHeight="1">
      <c r="A69" s="31">
        <v>31</v>
      </c>
      <c r="B69" s="98" t="s">
        <v>119</v>
      </c>
      <c r="C69" s="18" t="s">
        <v>32</v>
      </c>
      <c r="D69" s="16"/>
      <c r="E69" s="83">
        <v>7.4</v>
      </c>
      <c r="F69" s="14">
        <f>SUM(E69)</f>
        <v>7.4</v>
      </c>
      <c r="G69" s="14">
        <v>47.45</v>
      </c>
      <c r="H69" s="97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24.75" hidden="1" customHeight="1">
      <c r="A70" s="31">
        <v>32</v>
      </c>
      <c r="B70" s="98" t="s">
        <v>151</v>
      </c>
      <c r="C70" s="18" t="s">
        <v>32</v>
      </c>
      <c r="D70" s="16"/>
      <c r="E70" s="83">
        <v>7.4</v>
      </c>
      <c r="F70" s="14">
        <f>SUM(E70)</f>
        <v>7.4</v>
      </c>
      <c r="G70" s="14">
        <v>44.27</v>
      </c>
      <c r="H70" s="97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53"/>
      <c r="S70" s="153"/>
      <c r="T70" s="153"/>
      <c r="U70" s="153"/>
    </row>
    <row r="71" spans="1:22" ht="20.25" hidden="1" customHeight="1">
      <c r="A71" s="31">
        <v>18</v>
      </c>
      <c r="B71" s="16" t="s">
        <v>57</v>
      </c>
      <c r="C71" s="18" t="s">
        <v>58</v>
      </c>
      <c r="D71" s="16" t="s">
        <v>54</v>
      </c>
      <c r="E71" s="20">
        <v>3</v>
      </c>
      <c r="F71" s="84">
        <f>SUM(E71)</f>
        <v>3</v>
      </c>
      <c r="G71" s="14">
        <v>62.07</v>
      </c>
      <c r="H71" s="97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22.5" hidden="1" customHeight="1">
      <c r="A72" s="31"/>
      <c r="B72" s="50" t="s">
        <v>72</v>
      </c>
      <c r="C72" s="50"/>
      <c r="D72" s="50"/>
      <c r="E72" s="50"/>
      <c r="F72" s="20"/>
      <c r="G72" s="31"/>
      <c r="H72" s="31"/>
      <c r="I72" s="20"/>
    </row>
    <row r="73" spans="1:22" ht="19.5" hidden="1" customHeight="1">
      <c r="A73" s="31"/>
      <c r="B73" s="16" t="s">
        <v>122</v>
      </c>
      <c r="C73" s="18" t="s">
        <v>123</v>
      </c>
      <c r="D73" s="39" t="s">
        <v>66</v>
      </c>
      <c r="E73" s="20">
        <v>3</v>
      </c>
      <c r="F73" s="14">
        <v>3</v>
      </c>
      <c r="G73" s="14">
        <v>976.4</v>
      </c>
      <c r="H73" s="97">
        <f t="shared" ref="H73:H77" si="11">SUM(F73*G73/1000)</f>
        <v>2.9291999999999998</v>
      </c>
      <c r="I73" s="14">
        <v>0</v>
      </c>
    </row>
    <row r="74" spans="1:22" ht="18" hidden="1" customHeight="1">
      <c r="A74" s="31"/>
      <c r="B74" s="16" t="s">
        <v>124</v>
      </c>
      <c r="C74" s="18" t="s">
        <v>125</v>
      </c>
      <c r="D74" s="16"/>
      <c r="E74" s="20">
        <v>1</v>
      </c>
      <c r="F74" s="14">
        <v>1</v>
      </c>
      <c r="G74" s="14">
        <v>750</v>
      </c>
      <c r="H74" s="97">
        <f t="shared" si="11"/>
        <v>0.75</v>
      </c>
      <c r="I74" s="14">
        <v>0</v>
      </c>
    </row>
    <row r="75" spans="1:22" ht="18" hidden="1" customHeight="1">
      <c r="A75" s="31"/>
      <c r="B75" s="16" t="s">
        <v>73</v>
      </c>
      <c r="C75" s="18" t="s">
        <v>30</v>
      </c>
      <c r="D75" s="39" t="s">
        <v>66</v>
      </c>
      <c r="E75" s="20">
        <v>3</v>
      </c>
      <c r="F75" s="14">
        <f>E75/10</f>
        <v>0.3</v>
      </c>
      <c r="G75" s="14">
        <v>624.16999999999996</v>
      </c>
      <c r="H75" s="97">
        <f t="shared" si="11"/>
        <v>0.18725099999999997</v>
      </c>
      <c r="I75" s="14">
        <v>0</v>
      </c>
    </row>
    <row r="76" spans="1:22" ht="19.5" hidden="1" customHeight="1">
      <c r="A76" s="31"/>
      <c r="B76" s="16" t="s">
        <v>74</v>
      </c>
      <c r="C76" s="18" t="s">
        <v>29</v>
      </c>
      <c r="D76" s="39" t="s">
        <v>66</v>
      </c>
      <c r="E76" s="20">
        <v>1</v>
      </c>
      <c r="F76" s="14">
        <v>1</v>
      </c>
      <c r="G76" s="14">
        <v>1061.4100000000001</v>
      </c>
      <c r="H76" s="97">
        <f t="shared" si="11"/>
        <v>1.0614100000000002</v>
      </c>
      <c r="I76" s="14">
        <v>0</v>
      </c>
    </row>
    <row r="77" spans="1:22" ht="20.25" hidden="1" customHeight="1">
      <c r="A77" s="31">
        <v>17</v>
      </c>
      <c r="B77" s="16" t="s">
        <v>86</v>
      </c>
      <c r="C77" s="18" t="s">
        <v>29</v>
      </c>
      <c r="D77" s="39" t="s">
        <v>66</v>
      </c>
      <c r="E77" s="20">
        <v>1</v>
      </c>
      <c r="F77" s="84">
        <f>SUM(E77)</f>
        <v>1</v>
      </c>
      <c r="G77" s="14">
        <v>446.12</v>
      </c>
      <c r="H77" s="97">
        <f t="shared" si="11"/>
        <v>0.44612000000000002</v>
      </c>
      <c r="I77" s="14">
        <v>0</v>
      </c>
    </row>
    <row r="78" spans="1:22" ht="22.5" hidden="1" customHeight="1">
      <c r="A78" s="31"/>
      <c r="B78" s="51" t="s">
        <v>75</v>
      </c>
      <c r="C78" s="40"/>
      <c r="D78" s="31"/>
      <c r="E78" s="31"/>
      <c r="F78" s="20"/>
      <c r="G78" s="38"/>
      <c r="H78" s="38"/>
      <c r="I78" s="20"/>
    </row>
    <row r="79" spans="1:22" ht="21.75" hidden="1" customHeight="1">
      <c r="A79" s="31">
        <v>39</v>
      </c>
      <c r="B79" s="53" t="s">
        <v>126</v>
      </c>
      <c r="C79" s="18" t="s">
        <v>76</v>
      </c>
      <c r="D79" s="16"/>
      <c r="E79" s="20"/>
      <c r="F79" s="14">
        <v>1.35</v>
      </c>
      <c r="G79" s="14">
        <v>3433.68</v>
      </c>
      <c r="H79" s="97">
        <f t="shared" ref="H79" si="12">SUM(F79*G79/1000)</f>
        <v>4.6354679999999995</v>
      </c>
      <c r="I79" s="14">
        <v>0</v>
      </c>
    </row>
    <row r="80" spans="1:22" ht="14.25" hidden="1" customHeight="1">
      <c r="A80" s="31"/>
      <c r="B80" s="78" t="s">
        <v>88</v>
      </c>
      <c r="C80" s="64"/>
      <c r="D80" s="33"/>
      <c r="E80" s="33"/>
      <c r="F80" s="13"/>
      <c r="G80" s="38"/>
      <c r="H80" s="38"/>
      <c r="I80" s="20"/>
    </row>
    <row r="81" spans="1:9" ht="21.75" hidden="1" customHeight="1">
      <c r="A81" s="31"/>
      <c r="B81" s="16" t="s">
        <v>127</v>
      </c>
      <c r="C81" s="18" t="s">
        <v>87</v>
      </c>
      <c r="D81" s="16" t="s">
        <v>66</v>
      </c>
      <c r="E81" s="20">
        <v>6</v>
      </c>
      <c r="F81" s="14">
        <f>E81</f>
        <v>6</v>
      </c>
      <c r="G81" s="14">
        <v>297.44</v>
      </c>
      <c r="H81" s="97">
        <f t="shared" ref="H81:H90" si="13">SUM(F81*G81/1000)</f>
        <v>1.7846399999999998</v>
      </c>
      <c r="I81" s="14">
        <v>0</v>
      </c>
    </row>
    <row r="82" spans="1:9" ht="27.75" hidden="1" customHeight="1">
      <c r="A82" s="31"/>
      <c r="B82" s="16" t="s">
        <v>128</v>
      </c>
      <c r="C82" s="18" t="s">
        <v>80</v>
      </c>
      <c r="D82" s="16" t="s">
        <v>66</v>
      </c>
      <c r="E82" s="20">
        <v>12</v>
      </c>
      <c r="F82" s="14">
        <f>E82</f>
        <v>12</v>
      </c>
      <c r="G82" s="14">
        <v>122.35</v>
      </c>
      <c r="H82" s="97">
        <f t="shared" si="13"/>
        <v>1.4681999999999997</v>
      </c>
      <c r="I82" s="14">
        <v>0</v>
      </c>
    </row>
    <row r="83" spans="1:9" ht="24" hidden="1" customHeight="1">
      <c r="A83" s="31">
        <v>15</v>
      </c>
      <c r="B83" s="16" t="s">
        <v>129</v>
      </c>
      <c r="C83" s="18" t="s">
        <v>130</v>
      </c>
      <c r="D83" s="16" t="s">
        <v>66</v>
      </c>
      <c r="E83" s="20">
        <v>9</v>
      </c>
      <c r="F83" s="14">
        <f>E83/3</f>
        <v>3</v>
      </c>
      <c r="G83" s="14">
        <v>1063.47</v>
      </c>
      <c r="H83" s="97">
        <f t="shared" si="13"/>
        <v>3.19041</v>
      </c>
      <c r="I83" s="14">
        <f>G83*(10/3)</f>
        <v>3544.9</v>
      </c>
    </row>
    <row r="84" spans="1:9" ht="31.5" hidden="1" customHeight="1">
      <c r="A84" s="31"/>
      <c r="B84" s="16" t="s">
        <v>131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1564.44</v>
      </c>
      <c r="H84" s="97">
        <f t="shared" si="13"/>
        <v>9.3866399999999999</v>
      </c>
      <c r="I84" s="14">
        <v>0</v>
      </c>
    </row>
    <row r="85" spans="1:9" ht="33" hidden="1" customHeight="1">
      <c r="A85" s="31"/>
      <c r="B85" s="16" t="s">
        <v>132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1906.89</v>
      </c>
      <c r="H85" s="97">
        <f t="shared" si="13"/>
        <v>11.44134</v>
      </c>
      <c r="I85" s="14">
        <v>0</v>
      </c>
    </row>
    <row r="86" spans="1:9" ht="29.25" hidden="1" customHeight="1">
      <c r="A86" s="31"/>
      <c r="B86" s="16" t="s">
        <v>133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664.35</v>
      </c>
      <c r="H86" s="97">
        <f t="shared" si="13"/>
        <v>3.9861000000000004</v>
      </c>
      <c r="I86" s="14">
        <v>0</v>
      </c>
    </row>
    <row r="87" spans="1:9" ht="24" hidden="1" customHeight="1">
      <c r="A87" s="31"/>
      <c r="B87" s="16" t="s">
        <v>134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778.85</v>
      </c>
      <c r="H87" s="97">
        <f t="shared" si="13"/>
        <v>4.6731000000000007</v>
      </c>
      <c r="I87" s="14">
        <v>0</v>
      </c>
    </row>
    <row r="88" spans="1:9" ht="19.5" hidden="1" customHeight="1">
      <c r="A88" s="31"/>
      <c r="B88" s="16" t="s">
        <v>135</v>
      </c>
      <c r="C88" s="18" t="s">
        <v>123</v>
      </c>
      <c r="D88" s="16" t="s">
        <v>66</v>
      </c>
      <c r="E88" s="20">
        <v>3</v>
      </c>
      <c r="F88" s="14">
        <v>3</v>
      </c>
      <c r="G88" s="14">
        <v>498.11</v>
      </c>
      <c r="H88" s="97">
        <f t="shared" si="13"/>
        <v>1.4943299999999999</v>
      </c>
      <c r="I88" s="14">
        <v>0</v>
      </c>
    </row>
    <row r="89" spans="1:9" ht="21" hidden="1" customHeight="1">
      <c r="A89" s="31"/>
      <c r="B89" s="16" t="s">
        <v>136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1264.3399999999999</v>
      </c>
      <c r="H89" s="97">
        <f t="shared" si="13"/>
        <v>7.5860399999999988</v>
      </c>
      <c r="I89" s="14">
        <v>0</v>
      </c>
    </row>
    <row r="90" spans="1:9" ht="19.5" hidden="1" customHeight="1">
      <c r="A90" s="31">
        <v>33</v>
      </c>
      <c r="B90" s="16" t="s">
        <v>137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13"/>
        <v>2.8108906600000001</v>
      </c>
      <c r="I90" s="14">
        <f t="shared" ref="I90" si="14">F90/2*G90</f>
        <v>1405.44533</v>
      </c>
    </row>
    <row r="91" spans="1:9" ht="18" hidden="1" customHeight="1">
      <c r="A91" s="80"/>
      <c r="B91" s="78" t="s">
        <v>120</v>
      </c>
      <c r="C91" s="78"/>
      <c r="D91" s="78"/>
      <c r="E91" s="78"/>
      <c r="F91" s="78"/>
      <c r="G91" s="78"/>
      <c r="H91" s="78"/>
      <c r="I91" s="20"/>
    </row>
    <row r="92" spans="1:9" ht="21.75" hidden="1" customHeight="1">
      <c r="A92" s="31">
        <v>15</v>
      </c>
      <c r="B92" s="81" t="s">
        <v>121</v>
      </c>
      <c r="C92" s="18"/>
      <c r="D92" s="16"/>
      <c r="E92" s="20"/>
      <c r="F92" s="14">
        <v>1</v>
      </c>
      <c r="G92" s="14">
        <v>14087.8</v>
      </c>
      <c r="H92" s="97">
        <f>G92*F92/1000</f>
        <v>14.0878</v>
      </c>
      <c r="I92" s="14">
        <f>G92</f>
        <v>14087.8</v>
      </c>
    </row>
    <row r="93" spans="1:9" ht="15.75" customHeight="1">
      <c r="A93" s="170" t="s">
        <v>155</v>
      </c>
      <c r="B93" s="171"/>
      <c r="C93" s="171"/>
      <c r="D93" s="171"/>
      <c r="E93" s="171"/>
      <c r="F93" s="171"/>
      <c r="G93" s="171"/>
      <c r="H93" s="171"/>
      <c r="I93" s="172"/>
    </row>
    <row r="94" spans="1:9" ht="15.75" customHeight="1">
      <c r="A94" s="31">
        <v>10</v>
      </c>
      <c r="B94" s="81" t="s">
        <v>138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11</v>
      </c>
      <c r="B95" s="16" t="s">
        <v>77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80"/>
      <c r="B96" s="41" t="s">
        <v>79</v>
      </c>
      <c r="C96" s="42"/>
      <c r="D96" s="17"/>
      <c r="E96" s="17"/>
      <c r="F96" s="17"/>
      <c r="G96" s="20"/>
      <c r="H96" s="20"/>
      <c r="I96" s="34">
        <f>I95+I94+I56+I55+I42+I41+I40+I39+I18+I17+I16</f>
        <v>29934.022943333337</v>
      </c>
    </row>
    <row r="97" spans="1:9" ht="15.75" customHeight="1">
      <c r="A97" s="173" t="s">
        <v>60</v>
      </c>
      <c r="B97" s="174"/>
      <c r="C97" s="174"/>
      <c r="D97" s="174"/>
      <c r="E97" s="174"/>
      <c r="F97" s="174"/>
      <c r="G97" s="174"/>
      <c r="H97" s="174"/>
      <c r="I97" s="175"/>
    </row>
    <row r="98" spans="1:9" ht="15.75" customHeight="1">
      <c r="A98" s="101">
        <v>12</v>
      </c>
      <c r="B98" s="39" t="s">
        <v>165</v>
      </c>
      <c r="C98" s="130" t="s">
        <v>166</v>
      </c>
      <c r="D98" s="65"/>
      <c r="E98" s="38"/>
      <c r="F98" s="38">
        <v>1</v>
      </c>
      <c r="G98" s="38">
        <v>1.4</v>
      </c>
      <c r="H98" s="38">
        <f t="shared" ref="H98" si="15">G98*F98/1000</f>
        <v>1.4E-3</v>
      </c>
      <c r="I98" s="127">
        <f>G98*12</f>
        <v>16.799999999999997</v>
      </c>
    </row>
    <row r="99" spans="1:9" ht="32.25" customHeight="1">
      <c r="A99" s="101">
        <v>13</v>
      </c>
      <c r="B99" s="128" t="s">
        <v>170</v>
      </c>
      <c r="C99" s="129" t="s">
        <v>28</v>
      </c>
      <c r="D99" s="53"/>
      <c r="E99" s="38"/>
      <c r="F99" s="38">
        <v>1</v>
      </c>
      <c r="G99" s="106">
        <v>21369.24</v>
      </c>
      <c r="H99" s="100">
        <f t="shared" ref="H99" si="16">G99*F99/1000</f>
        <v>21.369240000000001</v>
      </c>
      <c r="I99" s="102">
        <f>G99*0.599*6/1000</f>
        <v>76.801048559999998</v>
      </c>
    </row>
    <row r="100" spans="1:9" ht="16.5" customHeight="1">
      <c r="A100" s="101">
        <v>14</v>
      </c>
      <c r="B100" s="131" t="s">
        <v>278</v>
      </c>
      <c r="C100" s="42" t="s">
        <v>89</v>
      </c>
      <c r="D100" s="16"/>
      <c r="E100" s="20"/>
      <c r="F100" s="14">
        <v>0.12</v>
      </c>
      <c r="G100" s="14">
        <v>3880.23</v>
      </c>
      <c r="H100" s="100"/>
      <c r="I100" s="102">
        <f>G100*0.12</f>
        <v>465.62759999999997</v>
      </c>
    </row>
    <row r="101" spans="1:9" ht="16.5" customHeight="1">
      <c r="A101" s="101">
        <v>15</v>
      </c>
      <c r="B101" s="128" t="s">
        <v>219</v>
      </c>
      <c r="C101" s="129" t="s">
        <v>40</v>
      </c>
      <c r="D101" s="16" t="s">
        <v>179</v>
      </c>
      <c r="E101" s="20"/>
      <c r="F101" s="14">
        <v>0.04</v>
      </c>
      <c r="G101" s="14">
        <v>28224.75</v>
      </c>
      <c r="H101" s="100"/>
      <c r="I101" s="102">
        <v>0</v>
      </c>
    </row>
    <row r="102" spans="1:9" ht="16.5" customHeight="1">
      <c r="A102" s="101">
        <v>16</v>
      </c>
      <c r="B102" s="128" t="s">
        <v>230</v>
      </c>
      <c r="C102" s="129" t="s">
        <v>28</v>
      </c>
      <c r="D102" s="16"/>
      <c r="E102" s="20"/>
      <c r="F102" s="14">
        <f>0.502+1.004+0.502+0.502*2</f>
        <v>3.012</v>
      </c>
      <c r="G102" s="14">
        <v>241.69</v>
      </c>
      <c r="H102" s="100"/>
      <c r="I102" s="102">
        <f>G102*0.502</f>
        <v>121.32838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SUM(I98:I102)</f>
        <v>680.55702856000005</v>
      </c>
    </row>
    <row r="104" spans="1:9" ht="15.75" customHeight="1">
      <c r="A104" s="31"/>
      <c r="B104" s="53" t="s">
        <v>78</v>
      </c>
      <c r="C104" s="17"/>
      <c r="D104" s="17"/>
      <c r="E104" s="17"/>
      <c r="F104" s="44"/>
      <c r="G104" s="45"/>
      <c r="H104" s="45"/>
      <c r="I104" s="19">
        <v>0</v>
      </c>
    </row>
    <row r="105" spans="1:9" ht="15.75" customHeight="1">
      <c r="A105" s="56"/>
      <c r="B105" s="48" t="s">
        <v>148</v>
      </c>
      <c r="C105" s="36"/>
      <c r="D105" s="36"/>
      <c r="E105" s="36"/>
      <c r="F105" s="36"/>
      <c r="G105" s="36"/>
      <c r="H105" s="36"/>
      <c r="I105" s="46">
        <f>I96+I103</f>
        <v>30614.579971893338</v>
      </c>
    </row>
    <row r="106" spans="1:9" ht="15.75">
      <c r="A106" s="159" t="s">
        <v>279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15.75">
      <c r="A107" s="72"/>
      <c r="B107" s="160" t="s">
        <v>280</v>
      </c>
      <c r="C107" s="160"/>
      <c r="D107" s="160"/>
      <c r="E107" s="160"/>
      <c r="F107" s="160"/>
      <c r="G107" s="160"/>
      <c r="H107" s="79"/>
      <c r="I107" s="3"/>
    </row>
    <row r="108" spans="1:9">
      <c r="A108" s="74"/>
      <c r="B108" s="158" t="s">
        <v>6</v>
      </c>
      <c r="C108" s="158"/>
      <c r="D108" s="158"/>
      <c r="E108" s="158"/>
      <c r="F108" s="158"/>
      <c r="G108" s="158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1" t="s">
        <v>7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1" t="s">
        <v>8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55" t="s">
        <v>61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.75">
      <c r="A113" s="11"/>
    </row>
    <row r="114" spans="1:9" ht="15.75">
      <c r="A114" s="156" t="s">
        <v>9</v>
      </c>
      <c r="B114" s="156"/>
      <c r="C114" s="156"/>
      <c r="D114" s="156"/>
      <c r="E114" s="156"/>
      <c r="F114" s="156"/>
      <c r="G114" s="156"/>
      <c r="H114" s="156"/>
      <c r="I114" s="156"/>
    </row>
    <row r="115" spans="1:9" ht="15.75">
      <c r="A115" s="4"/>
    </row>
    <row r="116" spans="1:9" ht="15.75">
      <c r="B116" s="73" t="s">
        <v>10</v>
      </c>
      <c r="C116" s="157" t="s">
        <v>196</v>
      </c>
      <c r="D116" s="157"/>
      <c r="E116" s="157"/>
      <c r="F116" s="157"/>
      <c r="I116" s="76"/>
    </row>
    <row r="117" spans="1:9">
      <c r="A117" s="74"/>
      <c r="C117" s="158" t="s">
        <v>11</v>
      </c>
      <c r="D117" s="158"/>
      <c r="E117" s="158"/>
      <c r="F117" s="158"/>
      <c r="I117" s="75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73" t="s">
        <v>13</v>
      </c>
      <c r="C119" s="152"/>
      <c r="D119" s="152"/>
      <c r="E119" s="152"/>
      <c r="F119" s="152"/>
      <c r="I119" s="76"/>
    </row>
    <row r="120" spans="1:9">
      <c r="A120" s="74"/>
      <c r="C120" s="153" t="s">
        <v>11</v>
      </c>
      <c r="D120" s="153"/>
      <c r="E120" s="153"/>
      <c r="F120" s="153"/>
      <c r="I120" s="75" t="s">
        <v>12</v>
      </c>
    </row>
    <row r="121" spans="1:9" ht="15.75">
      <c r="A121" s="4" t="s">
        <v>14</v>
      </c>
    </row>
    <row r="122" spans="1:9">
      <c r="A122" s="154" t="s">
        <v>15</v>
      </c>
      <c r="B122" s="154"/>
      <c r="C122" s="154"/>
      <c r="D122" s="154"/>
      <c r="E122" s="154"/>
      <c r="F122" s="154"/>
      <c r="G122" s="154"/>
      <c r="H122" s="154"/>
      <c r="I122" s="154"/>
    </row>
    <row r="123" spans="1:9" ht="45" customHeight="1">
      <c r="A123" s="151" t="s">
        <v>16</v>
      </c>
      <c r="B123" s="151"/>
      <c r="C123" s="151"/>
      <c r="D123" s="151"/>
      <c r="E123" s="151"/>
      <c r="F123" s="151"/>
      <c r="G123" s="151"/>
      <c r="H123" s="151"/>
      <c r="I123" s="151"/>
    </row>
    <row r="124" spans="1:9" ht="30" customHeight="1">
      <c r="A124" s="151" t="s">
        <v>17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30" customHeight="1">
      <c r="A125" s="151" t="s">
        <v>21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15" customHeight="1">
      <c r="A126" s="151" t="s">
        <v>20</v>
      </c>
      <c r="B126" s="151"/>
      <c r="C126" s="151"/>
      <c r="D126" s="151"/>
      <c r="E126" s="151"/>
      <c r="F126" s="151"/>
      <c r="G126" s="151"/>
      <c r="H126" s="151"/>
      <c r="I126" s="151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20:F120"/>
    <mergeCell ref="A97:I97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3:I93"/>
    <mergeCell ref="A122:I122"/>
    <mergeCell ref="A123:I123"/>
    <mergeCell ref="A124:I124"/>
    <mergeCell ref="A125:I125"/>
    <mergeCell ref="A126:I12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5"/>
  <sheetViews>
    <sheetView tabSelected="1" topLeftCell="A29" workbookViewId="0">
      <selection activeCell="J109" sqref="J10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164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281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2">
        <v>44561</v>
      </c>
      <c r="J6" s="2"/>
      <c r="K6" s="2"/>
      <c r="L6" s="2"/>
      <c r="M6" s="2"/>
    </row>
    <row r="7" spans="1:13" ht="15.75" customHeight="1">
      <c r="B7" s="73"/>
      <c r="C7" s="73"/>
      <c r="D7" s="73"/>
      <c r="E7" s="73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198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95</v>
      </c>
      <c r="C20" s="82" t="s">
        <v>53</v>
      </c>
      <c r="D20" s="81" t="s">
        <v>94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4</v>
      </c>
      <c r="B21" s="81" t="s">
        <v>96</v>
      </c>
      <c r="C21" s="82" t="s">
        <v>92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5</v>
      </c>
      <c r="B22" s="81" t="s">
        <v>97</v>
      </c>
      <c r="C22" s="82" t="s">
        <v>92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98</v>
      </c>
      <c r="C23" s="82" t="s">
        <v>53</v>
      </c>
      <c r="D23" s="81" t="s">
        <v>94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99</v>
      </c>
      <c r="C24" s="82" t="s">
        <v>53</v>
      </c>
      <c r="D24" s="81" t="s">
        <v>94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100</v>
      </c>
      <c r="C25" s="82" t="s">
        <v>53</v>
      </c>
      <c r="D25" s="81" t="s">
        <v>94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140</v>
      </c>
      <c r="C26" s="82" t="s">
        <v>53</v>
      </c>
      <c r="D26" s="81" t="s">
        <v>94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hidden="1" customHeight="1">
      <c r="A27" s="31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hidden="1" customHeight="1">
      <c r="A28" s="31">
        <v>5</v>
      </c>
      <c r="B28" s="88" t="s">
        <v>23</v>
      </c>
      <c r="C28" s="82" t="s">
        <v>24</v>
      </c>
      <c r="D28" s="81" t="s">
        <v>83</v>
      </c>
      <c r="E28" s="83">
        <v>1810.5</v>
      </c>
      <c r="F28" s="84">
        <f>SUM(E28*12)</f>
        <v>21726</v>
      </c>
      <c r="G28" s="84">
        <v>5.25</v>
      </c>
      <c r="H28" s="85">
        <f t="shared" ref="H28" si="1">SUM(F28*G28/1000)</f>
        <v>114.0615</v>
      </c>
      <c r="I28" s="14">
        <f>F28/12*G28</f>
        <v>9505.125</v>
      </c>
      <c r="J28" s="24"/>
      <c r="K28" s="8"/>
      <c r="L28" s="8"/>
      <c r="M28" s="8"/>
    </row>
    <row r="29" spans="1:13" ht="15.75" customHeight="1">
      <c r="A29" s="177" t="s">
        <v>82</v>
      </c>
      <c r="B29" s="177"/>
      <c r="C29" s="177"/>
      <c r="D29" s="177"/>
      <c r="E29" s="177"/>
      <c r="F29" s="177"/>
      <c r="G29" s="177"/>
      <c r="H29" s="177"/>
      <c r="I29" s="177"/>
      <c r="J29" s="24"/>
      <c r="K29" s="8"/>
      <c r="L29" s="8"/>
      <c r="M29" s="8"/>
    </row>
    <row r="30" spans="1:13" ht="15.75" hidden="1" customHeight="1">
      <c r="A30" s="42"/>
      <c r="B30" s="52" t="s">
        <v>27</v>
      </c>
      <c r="C30" s="52"/>
      <c r="D30" s="52"/>
      <c r="E30" s="52"/>
      <c r="F30" s="52"/>
      <c r="G30" s="52"/>
      <c r="H30" s="52"/>
      <c r="I30" s="20"/>
      <c r="J30" s="24"/>
      <c r="K30" s="8"/>
      <c r="L30" s="8"/>
      <c r="M30" s="8"/>
    </row>
    <row r="31" spans="1:13" ht="15.75" hidden="1" customHeight="1">
      <c r="A31" s="42">
        <v>6</v>
      </c>
      <c r="B31" s="81" t="s">
        <v>101</v>
      </c>
      <c r="C31" s="82" t="s">
        <v>102</v>
      </c>
      <c r="D31" s="81" t="s">
        <v>103</v>
      </c>
      <c r="E31" s="84">
        <v>288.33999999999997</v>
      </c>
      <c r="F31" s="84">
        <f>SUM(E31*52/1000)</f>
        <v>14.993679999999998</v>
      </c>
      <c r="G31" s="84">
        <v>193.97</v>
      </c>
      <c r="H31" s="85">
        <f t="shared" ref="H31:H37" si="2">SUM(F31*G31/1000)</f>
        <v>2.9083241095999997</v>
      </c>
      <c r="I31" s="14">
        <f>F31/6*G31</f>
        <v>484.7206849333333</v>
      </c>
      <c r="J31" s="24"/>
      <c r="K31" s="8"/>
      <c r="L31" s="8"/>
      <c r="M31" s="8"/>
    </row>
    <row r="32" spans="1:13" ht="31.5" hidden="1" customHeight="1">
      <c r="A32" s="42">
        <v>7</v>
      </c>
      <c r="B32" s="81" t="s">
        <v>104</v>
      </c>
      <c r="C32" s="82" t="s">
        <v>102</v>
      </c>
      <c r="D32" s="81" t="s">
        <v>105</v>
      </c>
      <c r="E32" s="84">
        <v>34.200000000000003</v>
      </c>
      <c r="F32" s="84">
        <f>SUM(E32*78/1000)</f>
        <v>2.6676000000000002</v>
      </c>
      <c r="G32" s="84">
        <v>321.82</v>
      </c>
      <c r="H32" s="85">
        <f t="shared" si="2"/>
        <v>0.85848703199999998</v>
      </c>
      <c r="I32" s="14">
        <f t="shared" ref="I32:I35" si="3">F32/6*G32</f>
        <v>143.08117200000001</v>
      </c>
      <c r="J32" s="24"/>
      <c r="K32" s="8"/>
      <c r="L32" s="8"/>
      <c r="M32" s="8"/>
    </row>
    <row r="33" spans="1:14" ht="15.75" hidden="1" customHeight="1">
      <c r="A33" s="42">
        <v>16</v>
      </c>
      <c r="B33" s="81" t="s">
        <v>26</v>
      </c>
      <c r="C33" s="82" t="s">
        <v>102</v>
      </c>
      <c r="D33" s="81" t="s">
        <v>54</v>
      </c>
      <c r="E33" s="84">
        <f>E31</f>
        <v>288.33999999999997</v>
      </c>
      <c r="F33" s="84">
        <f>SUM(E33/1000)</f>
        <v>0.28833999999999999</v>
      </c>
      <c r="G33" s="84">
        <v>3758.28</v>
      </c>
      <c r="H33" s="85">
        <f t="shared" si="2"/>
        <v>1.0836624552</v>
      </c>
      <c r="I33" s="14">
        <f>F33*G33</f>
        <v>1083.6624552000001</v>
      </c>
      <c r="J33" s="24"/>
      <c r="K33" s="8"/>
      <c r="L33" s="8"/>
      <c r="M33" s="8"/>
    </row>
    <row r="34" spans="1:14" ht="15.75" hidden="1" customHeight="1">
      <c r="A34" s="42">
        <v>8</v>
      </c>
      <c r="B34" s="81" t="s">
        <v>106</v>
      </c>
      <c r="C34" s="82" t="s">
        <v>40</v>
      </c>
      <c r="D34" s="81" t="s">
        <v>63</v>
      </c>
      <c r="E34" s="84">
        <v>3</v>
      </c>
      <c r="F34" s="84">
        <f>E34*155/100</f>
        <v>4.6500000000000004</v>
      </c>
      <c r="G34" s="84">
        <v>1620.15</v>
      </c>
      <c r="H34" s="85">
        <f t="shared" si="2"/>
        <v>7.5336975000000015</v>
      </c>
      <c r="I34" s="14">
        <f t="shared" si="3"/>
        <v>1255.61625</v>
      </c>
      <c r="J34" s="24"/>
      <c r="K34" s="8"/>
    </row>
    <row r="35" spans="1:14" ht="15.75" hidden="1" customHeight="1">
      <c r="A35" s="42">
        <v>9</v>
      </c>
      <c r="B35" s="81" t="s">
        <v>107</v>
      </c>
      <c r="C35" s="82" t="s">
        <v>29</v>
      </c>
      <c r="D35" s="81" t="s">
        <v>63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 t="shared" si="2"/>
        <v>3.6445666666666665</v>
      </c>
      <c r="I35" s="14">
        <f t="shared" si="3"/>
        <v>607.42777777777781</v>
      </c>
      <c r="J35" s="25"/>
    </row>
    <row r="36" spans="1:14" ht="15.75" hidden="1" customHeight="1">
      <c r="A36" s="42">
        <v>4</v>
      </c>
      <c r="B36" s="81" t="s">
        <v>64</v>
      </c>
      <c r="C36" s="82" t="s">
        <v>32</v>
      </c>
      <c r="D36" s="81" t="s">
        <v>66</v>
      </c>
      <c r="E36" s="83"/>
      <c r="F36" s="84">
        <v>2</v>
      </c>
      <c r="G36" s="84">
        <v>238.07</v>
      </c>
      <c r="H36" s="85">
        <f t="shared" si="2"/>
        <v>0.47614000000000001</v>
      </c>
      <c r="I36" s="14">
        <v>0</v>
      </c>
      <c r="J36" s="25"/>
    </row>
    <row r="37" spans="1:14" ht="15.75" hidden="1" customHeight="1">
      <c r="A37" s="31">
        <v>8</v>
      </c>
      <c r="B37" s="81" t="s">
        <v>65</v>
      </c>
      <c r="C37" s="82" t="s">
        <v>31</v>
      </c>
      <c r="D37" s="81" t="s">
        <v>66</v>
      </c>
      <c r="E37" s="83"/>
      <c r="F37" s="84">
        <v>2</v>
      </c>
      <c r="G37" s="84">
        <v>1413.96</v>
      </c>
      <c r="H37" s="85">
        <f t="shared" si="2"/>
        <v>2.8279200000000002</v>
      </c>
      <c r="I37" s="14">
        <v>0</v>
      </c>
      <c r="J37" s="25"/>
    </row>
    <row r="38" spans="1:14" ht="15.75" customHeight="1">
      <c r="A38" s="42"/>
      <c r="B38" s="50" t="s">
        <v>5</v>
      </c>
      <c r="C38" s="50"/>
      <c r="D38" s="50"/>
      <c r="E38" s="50"/>
      <c r="F38" s="14"/>
      <c r="G38" s="15"/>
      <c r="H38" s="15"/>
      <c r="I38" s="20"/>
      <c r="J38" s="25"/>
    </row>
    <row r="39" spans="1:14" ht="15.75" customHeight="1">
      <c r="A39" s="35">
        <v>4</v>
      </c>
      <c r="B39" s="81" t="s">
        <v>25</v>
      </c>
      <c r="C39" s="82" t="s">
        <v>31</v>
      </c>
      <c r="D39" s="81" t="s">
        <v>282</v>
      </c>
      <c r="E39" s="83"/>
      <c r="F39" s="84">
        <v>2</v>
      </c>
      <c r="G39" s="84">
        <v>1900.37</v>
      </c>
      <c r="H39" s="85">
        <f t="shared" ref="H39:H44" si="4">SUM(F39*G39/1000)</f>
        <v>3.8007399999999998</v>
      </c>
      <c r="I39" s="14">
        <f>G39*1.5</f>
        <v>2850.5549999999998</v>
      </c>
      <c r="J39" s="25"/>
    </row>
    <row r="40" spans="1:14" ht="15.75" customHeight="1">
      <c r="A40" s="35">
        <v>5</v>
      </c>
      <c r="B40" s="81" t="s">
        <v>67</v>
      </c>
      <c r="C40" s="82" t="s">
        <v>28</v>
      </c>
      <c r="D40" s="81" t="s">
        <v>175</v>
      </c>
      <c r="E40" s="84">
        <v>34.200000000000003</v>
      </c>
      <c r="F40" s="84">
        <f>SUM(E40*30/1000)</f>
        <v>1.026</v>
      </c>
      <c r="G40" s="84">
        <v>2616.4899999999998</v>
      </c>
      <c r="H40" s="85">
        <f t="shared" si="4"/>
        <v>2.6845187400000001</v>
      </c>
      <c r="I40" s="14">
        <f t="shared" ref="I40:I42" si="5">F40/6*G40</f>
        <v>447.41978999999998</v>
      </c>
      <c r="J40" s="25"/>
    </row>
    <row r="41" spans="1:14" ht="15.75" customHeight="1">
      <c r="A41" s="35">
        <v>6</v>
      </c>
      <c r="B41" s="81" t="s">
        <v>68</v>
      </c>
      <c r="C41" s="82" t="s">
        <v>28</v>
      </c>
      <c r="D41" s="81" t="s">
        <v>176</v>
      </c>
      <c r="E41" s="84">
        <f>E40</f>
        <v>34.200000000000003</v>
      </c>
      <c r="F41" s="84">
        <f>SUM(E41*155/1000)</f>
        <v>5.3010000000000002</v>
      </c>
      <c r="G41" s="84">
        <v>436.45</v>
      </c>
      <c r="H41" s="85">
        <f t="shared" si="4"/>
        <v>2.3136214500000003</v>
      </c>
      <c r="I41" s="14">
        <f t="shared" si="5"/>
        <v>385.60357500000003</v>
      </c>
      <c r="J41" s="25"/>
    </row>
    <row r="42" spans="1:14" ht="47.25" customHeight="1">
      <c r="A42" s="35">
        <v>7</v>
      </c>
      <c r="B42" s="81" t="s">
        <v>81</v>
      </c>
      <c r="C42" s="82" t="s">
        <v>102</v>
      </c>
      <c r="D42" s="81" t="s">
        <v>177</v>
      </c>
      <c r="E42" s="84">
        <f>E41</f>
        <v>34.200000000000003</v>
      </c>
      <c r="F42" s="84">
        <f>SUM(E42*35/1000)</f>
        <v>1.1970000000000001</v>
      </c>
      <c r="G42" s="84">
        <v>7221.21</v>
      </c>
      <c r="H42" s="85">
        <f t="shared" si="4"/>
        <v>8.6437883699999993</v>
      </c>
      <c r="I42" s="14">
        <f t="shared" si="5"/>
        <v>1440.6313950000001</v>
      </c>
      <c r="J42" s="25"/>
      <c r="L42" s="21"/>
      <c r="M42" s="22"/>
      <c r="N42" s="23"/>
    </row>
    <row r="43" spans="1:14" ht="15.75" hidden="1" customHeight="1">
      <c r="A43" s="35">
        <v>9</v>
      </c>
      <c r="B43" s="81" t="s">
        <v>111</v>
      </c>
      <c r="C43" s="82" t="s">
        <v>102</v>
      </c>
      <c r="D43" s="81" t="s">
        <v>178</v>
      </c>
      <c r="E43" s="84">
        <f>E42</f>
        <v>34.200000000000003</v>
      </c>
      <c r="F43" s="84">
        <f>SUM(E43*20/1000)</f>
        <v>0.68400000000000005</v>
      </c>
      <c r="G43" s="84">
        <v>533.45000000000005</v>
      </c>
      <c r="H43" s="85">
        <f t="shared" si="4"/>
        <v>0.36487980000000003</v>
      </c>
      <c r="I43" s="14">
        <f>F43/7.5*G43</f>
        <v>48.650640000000003</v>
      </c>
      <c r="J43" s="25"/>
      <c r="L43" s="21"/>
      <c r="M43" s="22"/>
      <c r="N43" s="23"/>
    </row>
    <row r="44" spans="1:14" ht="15.75" hidden="1" customHeight="1">
      <c r="A44" s="35">
        <v>10</v>
      </c>
      <c r="B44" s="81" t="s">
        <v>69</v>
      </c>
      <c r="C44" s="82" t="s">
        <v>32</v>
      </c>
      <c r="D44" s="81"/>
      <c r="E44" s="83"/>
      <c r="F44" s="84">
        <v>0.5</v>
      </c>
      <c r="G44" s="84">
        <v>992.97</v>
      </c>
      <c r="H44" s="85">
        <f t="shared" si="4"/>
        <v>0.49648500000000001</v>
      </c>
      <c r="I44" s="14">
        <f>F44/7.5*G44</f>
        <v>66.198000000000008</v>
      </c>
      <c r="J44" s="25"/>
      <c r="L44" s="21"/>
      <c r="M44" s="22"/>
      <c r="N44" s="23"/>
    </row>
    <row r="45" spans="1:14" ht="15.75" customHeight="1">
      <c r="A45" s="162" t="s">
        <v>145</v>
      </c>
      <c r="B45" s="163"/>
      <c r="C45" s="163"/>
      <c r="D45" s="163"/>
      <c r="E45" s="163"/>
      <c r="F45" s="163"/>
      <c r="G45" s="163"/>
      <c r="H45" s="163"/>
      <c r="I45" s="164"/>
      <c r="J45" s="25"/>
      <c r="L45" s="21"/>
      <c r="M45" s="22"/>
      <c r="N45" s="23"/>
    </row>
    <row r="46" spans="1:14" ht="15.75" hidden="1" customHeight="1">
      <c r="A46" s="42">
        <v>12</v>
      </c>
      <c r="B46" s="81" t="s">
        <v>113</v>
      </c>
      <c r="C46" s="82" t="s">
        <v>102</v>
      </c>
      <c r="D46" s="81" t="s">
        <v>42</v>
      </c>
      <c r="E46" s="83">
        <v>1033.2</v>
      </c>
      <c r="F46" s="84">
        <f>SUM(E46*2/1000)</f>
        <v>2.0664000000000002</v>
      </c>
      <c r="G46" s="14">
        <v>1283.46</v>
      </c>
      <c r="H46" s="85">
        <f t="shared" ref="H46:H56" si="6">SUM(F46*G46/1000)</f>
        <v>2.6521417440000006</v>
      </c>
      <c r="I46" s="14">
        <f t="shared" ref="I46:I49" si="7">F46/2*G46</f>
        <v>1326.0708720000002</v>
      </c>
      <c r="J46" s="25"/>
      <c r="L46" s="21"/>
      <c r="M46" s="22"/>
      <c r="N46" s="23"/>
    </row>
    <row r="47" spans="1:14" ht="15.75" hidden="1" customHeight="1">
      <c r="A47" s="42">
        <v>13</v>
      </c>
      <c r="B47" s="81" t="s">
        <v>35</v>
      </c>
      <c r="C47" s="82" t="s">
        <v>102</v>
      </c>
      <c r="D47" s="81" t="s">
        <v>42</v>
      </c>
      <c r="E47" s="83">
        <v>19.8</v>
      </c>
      <c r="F47" s="84">
        <f>SUM(E47*2/1000)</f>
        <v>3.9600000000000003E-2</v>
      </c>
      <c r="G47" s="14">
        <v>721.04</v>
      </c>
      <c r="H47" s="85">
        <f t="shared" si="6"/>
        <v>2.8553184000000002E-2</v>
      </c>
      <c r="I47" s="14">
        <f t="shared" si="7"/>
        <v>14.276592000000001</v>
      </c>
      <c r="J47" s="25"/>
      <c r="L47" s="21"/>
      <c r="M47" s="22"/>
      <c r="N47" s="23"/>
    </row>
    <row r="48" spans="1:14" ht="15.75" hidden="1" customHeight="1">
      <c r="A48" s="42">
        <v>14</v>
      </c>
      <c r="B48" s="81" t="s">
        <v>36</v>
      </c>
      <c r="C48" s="82" t="s">
        <v>102</v>
      </c>
      <c r="D48" s="81" t="s">
        <v>42</v>
      </c>
      <c r="E48" s="83">
        <v>660.84</v>
      </c>
      <c r="F48" s="84">
        <f>SUM(E48*2/1000)</f>
        <v>1.32168</v>
      </c>
      <c r="G48" s="14">
        <v>1711.28</v>
      </c>
      <c r="H48" s="85">
        <f t="shared" si="6"/>
        <v>2.2617645503999997</v>
      </c>
      <c r="I48" s="14">
        <f t="shared" si="7"/>
        <v>1130.8822751999999</v>
      </c>
      <c r="J48" s="25"/>
      <c r="L48" s="21"/>
      <c r="M48" s="22"/>
      <c r="N48" s="23"/>
    </row>
    <row r="49" spans="1:14" ht="15.75" hidden="1" customHeight="1">
      <c r="A49" s="42">
        <v>15</v>
      </c>
      <c r="B49" s="81" t="s">
        <v>37</v>
      </c>
      <c r="C49" s="82" t="s">
        <v>102</v>
      </c>
      <c r="D49" s="81" t="s">
        <v>42</v>
      </c>
      <c r="E49" s="83">
        <v>1156.21</v>
      </c>
      <c r="F49" s="84">
        <f>SUM(E49*2/1000)</f>
        <v>2.3124199999999999</v>
      </c>
      <c r="G49" s="14">
        <v>1179.73</v>
      </c>
      <c r="H49" s="85">
        <f t="shared" si="6"/>
        <v>2.7280312466000001</v>
      </c>
      <c r="I49" s="14">
        <f t="shared" si="7"/>
        <v>1364.0156233</v>
      </c>
      <c r="J49" s="25"/>
      <c r="L49" s="21"/>
      <c r="M49" s="22"/>
      <c r="N49" s="23"/>
    </row>
    <row r="50" spans="1:14" ht="15.75" hidden="1" customHeight="1">
      <c r="A50" s="42">
        <v>16</v>
      </c>
      <c r="B50" s="81" t="s">
        <v>33</v>
      </c>
      <c r="C50" s="82" t="s">
        <v>34</v>
      </c>
      <c r="D50" s="81" t="s">
        <v>42</v>
      </c>
      <c r="E50" s="83">
        <v>17.14</v>
      </c>
      <c r="F50" s="84">
        <f>SUM(E50*2/100)</f>
        <v>0.34279999999999999</v>
      </c>
      <c r="G50" s="14">
        <v>90.61</v>
      </c>
      <c r="H50" s="85">
        <f t="shared" si="6"/>
        <v>3.1061108E-2</v>
      </c>
      <c r="I50" s="14">
        <f>F50/2*G50</f>
        <v>15.530554</v>
      </c>
      <c r="J50" s="25"/>
      <c r="L50" s="21"/>
      <c r="M50" s="22"/>
      <c r="N50" s="23"/>
    </row>
    <row r="51" spans="1:14" ht="15.75" customHeight="1">
      <c r="A51" s="42">
        <v>8</v>
      </c>
      <c r="B51" s="81" t="s">
        <v>56</v>
      </c>
      <c r="C51" s="82" t="s">
        <v>102</v>
      </c>
      <c r="D51" s="81" t="s">
        <v>179</v>
      </c>
      <c r="E51" s="83">
        <v>823</v>
      </c>
      <c r="F51" s="84">
        <f>SUM(E51*5/1000)</f>
        <v>4.1150000000000002</v>
      </c>
      <c r="G51" s="14">
        <v>1711.28</v>
      </c>
      <c r="H51" s="85">
        <f t="shared" si="6"/>
        <v>7.0419171999999994</v>
      </c>
      <c r="I51" s="14">
        <f>F51/5*G51</f>
        <v>1408.3834400000001</v>
      </c>
      <c r="J51" s="25"/>
      <c r="L51" s="21"/>
      <c r="M51" s="22"/>
      <c r="N51" s="23"/>
    </row>
    <row r="52" spans="1:14" ht="31.5" hidden="1" customHeight="1">
      <c r="A52" s="42">
        <v>10</v>
      </c>
      <c r="B52" s="81" t="s">
        <v>114</v>
      </c>
      <c r="C52" s="82" t="s">
        <v>102</v>
      </c>
      <c r="D52" s="81" t="s">
        <v>42</v>
      </c>
      <c r="E52" s="83">
        <v>823</v>
      </c>
      <c r="F52" s="84">
        <f>SUM(E52*2/1000)</f>
        <v>1.6459999999999999</v>
      </c>
      <c r="G52" s="14">
        <v>1510.06</v>
      </c>
      <c r="H52" s="85">
        <f t="shared" si="6"/>
        <v>2.48555876</v>
      </c>
      <c r="I52" s="14">
        <f>F52/2*G52</f>
        <v>1242.7793799999999</v>
      </c>
      <c r="J52" s="25"/>
      <c r="L52" s="21"/>
      <c r="M52" s="22"/>
      <c r="N52" s="23"/>
    </row>
    <row r="53" spans="1:14" ht="31.5" hidden="1" customHeight="1">
      <c r="A53" s="42">
        <v>11</v>
      </c>
      <c r="B53" s="81" t="s">
        <v>115</v>
      </c>
      <c r="C53" s="82" t="s">
        <v>38</v>
      </c>
      <c r="D53" s="81" t="s">
        <v>42</v>
      </c>
      <c r="E53" s="83">
        <v>9</v>
      </c>
      <c r="F53" s="84">
        <f>SUM(E53*2/100)</f>
        <v>0.18</v>
      </c>
      <c r="G53" s="14">
        <v>3850.4</v>
      </c>
      <c r="H53" s="85">
        <f t="shared" si="6"/>
        <v>0.69307200000000002</v>
      </c>
      <c r="I53" s="14">
        <f t="shared" ref="I53:I54" si="8">F53/2*G53</f>
        <v>346.536</v>
      </c>
      <c r="J53" s="25"/>
      <c r="L53" s="21"/>
      <c r="M53" s="22"/>
      <c r="N53" s="23"/>
    </row>
    <row r="54" spans="1:14" ht="15.75" hidden="1" customHeight="1">
      <c r="A54" s="42">
        <v>12</v>
      </c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4">
        <v>7033.13</v>
      </c>
      <c r="H54" s="85">
        <f t="shared" si="6"/>
        <v>0.1406626</v>
      </c>
      <c r="I54" s="14">
        <f t="shared" si="8"/>
        <v>70.331299999999999</v>
      </c>
      <c r="J54" s="25"/>
      <c r="L54" s="21"/>
      <c r="M54" s="22"/>
      <c r="N54" s="23"/>
    </row>
    <row r="55" spans="1:14" ht="15.75" hidden="1" customHeight="1">
      <c r="A55" s="42">
        <v>10</v>
      </c>
      <c r="B55" s="81" t="s">
        <v>141</v>
      </c>
      <c r="C55" s="82" t="s">
        <v>29</v>
      </c>
      <c r="D55" s="136">
        <v>44190</v>
      </c>
      <c r="E55" s="83">
        <v>36</v>
      </c>
      <c r="F55" s="84">
        <f>E55*3</f>
        <v>108</v>
      </c>
      <c r="G55" s="14">
        <v>175.6</v>
      </c>
      <c r="H55" s="85">
        <f t="shared" si="6"/>
        <v>18.9648</v>
      </c>
      <c r="I55" s="14">
        <f>E55*G55</f>
        <v>6321.5999999999995</v>
      </c>
      <c r="J55" s="25"/>
      <c r="L55" s="21"/>
      <c r="M55" s="22"/>
      <c r="N55" s="23"/>
    </row>
    <row r="56" spans="1:14" ht="15.75" hidden="1" customHeight="1">
      <c r="A56" s="42">
        <v>11</v>
      </c>
      <c r="B56" s="81" t="s">
        <v>41</v>
      </c>
      <c r="C56" s="82" t="s">
        <v>29</v>
      </c>
      <c r="D56" s="136">
        <v>44190</v>
      </c>
      <c r="E56" s="83">
        <v>36</v>
      </c>
      <c r="F56" s="84">
        <f>SUM(E56)*3</f>
        <v>108</v>
      </c>
      <c r="G56" s="14">
        <v>81.73</v>
      </c>
      <c r="H56" s="85">
        <f t="shared" si="6"/>
        <v>8.8268400000000007</v>
      </c>
      <c r="I56" s="14">
        <f>E56*G56</f>
        <v>2942.28</v>
      </c>
      <c r="J56" s="25"/>
      <c r="L56" s="21"/>
      <c r="M56" s="22"/>
      <c r="N56" s="23"/>
    </row>
    <row r="57" spans="1:14" ht="15.75" hidden="1" customHeight="1">
      <c r="A57" s="162" t="s">
        <v>146</v>
      </c>
      <c r="B57" s="163"/>
      <c r="C57" s="163"/>
      <c r="D57" s="163"/>
      <c r="E57" s="163"/>
      <c r="F57" s="163"/>
      <c r="G57" s="163"/>
      <c r="H57" s="163"/>
      <c r="I57" s="164"/>
      <c r="J57" s="25"/>
      <c r="L57" s="21"/>
      <c r="M57" s="22"/>
      <c r="N57" s="23"/>
    </row>
    <row r="58" spans="1:14" ht="15.75" hidden="1" customHeight="1">
      <c r="A58" s="80"/>
      <c r="B58" s="49" t="s">
        <v>43</v>
      </c>
      <c r="C58" s="18"/>
      <c r="D58" s="17"/>
      <c r="E58" s="17"/>
      <c r="F58" s="17"/>
      <c r="G58" s="31"/>
      <c r="H58" s="31"/>
      <c r="I58" s="20"/>
      <c r="J58" s="25"/>
      <c r="L58" s="21"/>
      <c r="M58" s="22"/>
      <c r="N58" s="23"/>
    </row>
    <row r="59" spans="1:14" ht="31.5" hidden="1" customHeight="1">
      <c r="A59" s="42">
        <v>13</v>
      </c>
      <c r="B59" s="81" t="s">
        <v>149</v>
      </c>
      <c r="C59" s="82" t="s">
        <v>92</v>
      </c>
      <c r="D59" s="81" t="s">
        <v>71</v>
      </c>
      <c r="E59" s="20">
        <v>69.66</v>
      </c>
      <c r="F59" s="14">
        <f>E59*6/100</f>
        <v>4.1795999999999998</v>
      </c>
      <c r="G59" s="84">
        <v>2306.62</v>
      </c>
      <c r="H59" s="85">
        <f>SUM(F59*G59/1000)</f>
        <v>9.6407489519999974</v>
      </c>
      <c r="I59" s="14">
        <f>F59/6*G59</f>
        <v>1606.7914919999998</v>
      </c>
      <c r="J59" s="25"/>
      <c r="L59" s="21"/>
      <c r="M59" s="22"/>
      <c r="N59" s="23"/>
    </row>
    <row r="60" spans="1:14" ht="15.75" hidden="1" customHeight="1">
      <c r="A60" s="42">
        <v>13</v>
      </c>
      <c r="B60" s="81" t="s">
        <v>85</v>
      </c>
      <c r="C60" s="82" t="s">
        <v>150</v>
      </c>
      <c r="D60" s="81" t="s">
        <v>66</v>
      </c>
      <c r="E60" s="83"/>
      <c r="F60" s="84">
        <v>2</v>
      </c>
      <c r="G60" s="90">
        <v>1501</v>
      </c>
      <c r="H60" s="85">
        <f>F60*G60/1000</f>
        <v>3.0019999999999998</v>
      </c>
      <c r="I60" s="14">
        <f>G60</f>
        <v>1501</v>
      </c>
      <c r="J60" s="25"/>
      <c r="L60" s="21"/>
      <c r="M60" s="22"/>
      <c r="N60" s="23"/>
    </row>
    <row r="61" spans="1:14" ht="15.75" hidden="1" customHeight="1">
      <c r="A61" s="42"/>
      <c r="B61" s="78" t="s">
        <v>44</v>
      </c>
      <c r="C61" s="78"/>
      <c r="D61" s="78"/>
      <c r="E61" s="78"/>
      <c r="F61" s="78"/>
      <c r="G61" s="78"/>
      <c r="H61" s="78"/>
      <c r="I61" s="37"/>
      <c r="J61" s="25"/>
      <c r="L61" s="21"/>
      <c r="M61" s="22"/>
      <c r="N61" s="23"/>
    </row>
    <row r="62" spans="1:14" ht="15.75" hidden="1" customHeight="1">
      <c r="A62" s="42">
        <v>27</v>
      </c>
      <c r="B62" s="91" t="s">
        <v>45</v>
      </c>
      <c r="C62" s="92" t="s">
        <v>53</v>
      </c>
      <c r="D62" s="91" t="s">
        <v>54</v>
      </c>
      <c r="E62" s="93">
        <v>408</v>
      </c>
      <c r="F62" s="94">
        <f>E62/100</f>
        <v>4.08</v>
      </c>
      <c r="G62" s="95">
        <v>987.51</v>
      </c>
      <c r="H62" s="96">
        <f>G62*F62/1000</f>
        <v>4.0290408000000006</v>
      </c>
      <c r="I62" s="14">
        <v>0</v>
      </c>
      <c r="J62" s="25"/>
      <c r="L62" s="21"/>
      <c r="M62" s="22"/>
      <c r="N62" s="23"/>
    </row>
    <row r="63" spans="1:14" ht="15.75" hidden="1" customHeight="1">
      <c r="A63" s="42"/>
      <c r="B63" s="78" t="s">
        <v>46</v>
      </c>
      <c r="C63" s="18"/>
      <c r="D63" s="39"/>
      <c r="E63" s="39"/>
      <c r="F63" s="17"/>
      <c r="G63" s="31"/>
      <c r="H63" s="31"/>
      <c r="I63" s="20"/>
      <c r="J63" s="25"/>
      <c r="L63" s="21"/>
    </row>
    <row r="64" spans="1:14" ht="15.75" hidden="1" customHeight="1">
      <c r="A64" s="42">
        <v>12</v>
      </c>
      <c r="B64" s="16" t="s">
        <v>47</v>
      </c>
      <c r="C64" s="18" t="s">
        <v>116</v>
      </c>
      <c r="D64" s="16" t="s">
        <v>66</v>
      </c>
      <c r="E64" s="20">
        <v>10</v>
      </c>
      <c r="F64" s="84">
        <v>10</v>
      </c>
      <c r="G64" s="14">
        <v>276.74</v>
      </c>
      <c r="H64" s="97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1">
        <v>29</v>
      </c>
      <c r="B65" s="16" t="s">
        <v>48</v>
      </c>
      <c r="C65" s="18" t="s">
        <v>116</v>
      </c>
      <c r="D65" s="16" t="s">
        <v>66</v>
      </c>
      <c r="E65" s="20">
        <v>3</v>
      </c>
      <c r="F65" s="84">
        <v>3</v>
      </c>
      <c r="G65" s="14">
        <v>94.89</v>
      </c>
      <c r="H65" s="97">
        <f t="shared" si="9"/>
        <v>0.28467000000000003</v>
      </c>
      <c r="I65" s="14">
        <v>0</v>
      </c>
    </row>
    <row r="66" spans="1:22" ht="15.75" hidden="1" customHeight="1">
      <c r="A66" s="31">
        <v>28</v>
      </c>
      <c r="B66" s="16" t="s">
        <v>49</v>
      </c>
      <c r="C66" s="18" t="s">
        <v>117</v>
      </c>
      <c r="D66" s="16" t="s">
        <v>54</v>
      </c>
      <c r="E66" s="83">
        <v>7508</v>
      </c>
      <c r="F66" s="14">
        <f>SUM(E66/100)</f>
        <v>75.08</v>
      </c>
      <c r="G66" s="14">
        <v>263.99</v>
      </c>
      <c r="H66" s="97">
        <f t="shared" si="9"/>
        <v>19.820369200000002</v>
      </c>
      <c r="I66" s="14">
        <f>F66*G66</f>
        <v>19820.369200000001</v>
      </c>
    </row>
    <row r="67" spans="1:22" ht="15.75" hidden="1" customHeight="1">
      <c r="A67" s="31">
        <v>29</v>
      </c>
      <c r="B67" s="16" t="s">
        <v>50</v>
      </c>
      <c r="C67" s="18" t="s">
        <v>118</v>
      </c>
      <c r="D67" s="16" t="s">
        <v>54</v>
      </c>
      <c r="E67" s="83">
        <v>7508</v>
      </c>
      <c r="F67" s="14">
        <f>SUM(E67/1000)</f>
        <v>7.508</v>
      </c>
      <c r="G67" s="14">
        <v>205.57</v>
      </c>
      <c r="H67" s="97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1">
        <v>30</v>
      </c>
      <c r="B68" s="16" t="s">
        <v>51</v>
      </c>
      <c r="C68" s="18" t="s">
        <v>76</v>
      </c>
      <c r="D68" s="16" t="s">
        <v>54</v>
      </c>
      <c r="E68" s="83">
        <v>1090</v>
      </c>
      <c r="F68" s="14">
        <f>SUM(E68/100)</f>
        <v>10.9</v>
      </c>
      <c r="G68" s="14">
        <v>2581.5300000000002</v>
      </c>
      <c r="H68" s="97">
        <f t="shared" si="9"/>
        <v>28.138677000000005</v>
      </c>
      <c r="I68" s="14">
        <f t="shared" si="10"/>
        <v>28138.677000000003</v>
      </c>
      <c r="J68" s="27"/>
      <c r="K68" s="27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1">
        <v>31</v>
      </c>
      <c r="B69" s="98" t="s">
        <v>119</v>
      </c>
      <c r="C69" s="18" t="s">
        <v>32</v>
      </c>
      <c r="D69" s="16"/>
      <c r="E69" s="83">
        <v>7.4</v>
      </c>
      <c r="F69" s="14">
        <f>SUM(E69)</f>
        <v>7.4</v>
      </c>
      <c r="G69" s="14">
        <v>47.45</v>
      </c>
      <c r="H69" s="97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1">
        <v>32</v>
      </c>
      <c r="B70" s="98" t="s">
        <v>151</v>
      </c>
      <c r="C70" s="18" t="s">
        <v>32</v>
      </c>
      <c r="D70" s="16"/>
      <c r="E70" s="83">
        <v>7.4</v>
      </c>
      <c r="F70" s="14">
        <f>SUM(E70)</f>
        <v>7.4</v>
      </c>
      <c r="G70" s="14">
        <v>44.27</v>
      </c>
      <c r="H70" s="97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53"/>
      <c r="S70" s="153"/>
      <c r="T70" s="153"/>
      <c r="U70" s="153"/>
    </row>
    <row r="71" spans="1:22" ht="15.75" hidden="1" customHeight="1">
      <c r="A71" s="31">
        <v>18</v>
      </c>
      <c r="B71" s="16" t="s">
        <v>57</v>
      </c>
      <c r="C71" s="18" t="s">
        <v>58</v>
      </c>
      <c r="D71" s="16" t="s">
        <v>54</v>
      </c>
      <c r="E71" s="20">
        <v>3</v>
      </c>
      <c r="F71" s="84">
        <f>SUM(E71)</f>
        <v>3</v>
      </c>
      <c r="G71" s="14">
        <v>62.07</v>
      </c>
      <c r="H71" s="97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1"/>
      <c r="B72" s="143" t="s">
        <v>88</v>
      </c>
      <c r="C72" s="144"/>
      <c r="D72" s="145"/>
      <c r="E72" s="146"/>
      <c r="F72" s="147"/>
      <c r="G72" s="148"/>
      <c r="H72" s="141"/>
      <c r="I72" s="142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28.5" hidden="1" customHeight="1">
      <c r="A73" s="31">
        <v>12</v>
      </c>
      <c r="B73" s="145" t="s">
        <v>199</v>
      </c>
      <c r="C73" s="144" t="s">
        <v>200</v>
      </c>
      <c r="D73" s="145"/>
      <c r="E73" s="146">
        <v>1810.5</v>
      </c>
      <c r="F73" s="148">
        <f>E73*12</f>
        <v>21726</v>
      </c>
      <c r="G73" s="148">
        <v>2.4900000000000002</v>
      </c>
      <c r="H73" s="141"/>
      <c r="I73" s="142">
        <f>G73*F73/12</f>
        <v>4508.1450000000004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31"/>
      <c r="B74" s="50" t="s">
        <v>72</v>
      </c>
      <c r="C74" s="50"/>
      <c r="D74" s="50"/>
      <c r="E74" s="50"/>
      <c r="F74" s="20"/>
      <c r="G74" s="31"/>
      <c r="H74" s="31"/>
      <c r="I74" s="20"/>
    </row>
    <row r="75" spans="1:22" ht="15.75" hidden="1" customHeight="1">
      <c r="A75" s="31"/>
      <c r="B75" s="16" t="s">
        <v>122</v>
      </c>
      <c r="C75" s="18" t="s">
        <v>123</v>
      </c>
      <c r="D75" s="39" t="s">
        <v>66</v>
      </c>
      <c r="E75" s="20">
        <v>3</v>
      </c>
      <c r="F75" s="14">
        <v>3</v>
      </c>
      <c r="G75" s="14">
        <v>976.4</v>
      </c>
      <c r="H75" s="97">
        <f t="shared" ref="H75:H79" si="11">SUM(F75*G75/1000)</f>
        <v>2.9291999999999998</v>
      </c>
      <c r="I75" s="14">
        <v>0</v>
      </c>
    </row>
    <row r="76" spans="1:22" ht="15.75" hidden="1" customHeight="1">
      <c r="A76" s="31"/>
      <c r="B76" s="16" t="s">
        <v>124</v>
      </c>
      <c r="C76" s="18" t="s">
        <v>125</v>
      </c>
      <c r="D76" s="16"/>
      <c r="E76" s="20">
        <v>1</v>
      </c>
      <c r="F76" s="14">
        <v>1</v>
      </c>
      <c r="G76" s="14">
        <v>750</v>
      </c>
      <c r="H76" s="97">
        <f t="shared" si="11"/>
        <v>0.75</v>
      </c>
      <c r="I76" s="14">
        <v>0</v>
      </c>
    </row>
    <row r="77" spans="1:22" ht="15.75" hidden="1" customHeight="1">
      <c r="A77" s="31"/>
      <c r="B77" s="16" t="s">
        <v>73</v>
      </c>
      <c r="C77" s="18" t="s">
        <v>30</v>
      </c>
      <c r="D77" s="39" t="s">
        <v>66</v>
      </c>
      <c r="E77" s="20">
        <v>3</v>
      </c>
      <c r="F77" s="14">
        <f>E77/10</f>
        <v>0.3</v>
      </c>
      <c r="G77" s="14">
        <v>624.16999999999996</v>
      </c>
      <c r="H77" s="97">
        <f t="shared" si="11"/>
        <v>0.18725099999999997</v>
      </c>
      <c r="I77" s="14">
        <v>0</v>
      </c>
    </row>
    <row r="78" spans="1:22" ht="15.75" hidden="1" customHeight="1">
      <c r="A78" s="31"/>
      <c r="B78" s="16" t="s">
        <v>74</v>
      </c>
      <c r="C78" s="18" t="s">
        <v>29</v>
      </c>
      <c r="D78" s="39" t="s">
        <v>66</v>
      </c>
      <c r="E78" s="20">
        <v>1</v>
      </c>
      <c r="F78" s="14">
        <v>1</v>
      </c>
      <c r="G78" s="14">
        <v>1061.4100000000001</v>
      </c>
      <c r="H78" s="97">
        <f t="shared" si="11"/>
        <v>1.0614100000000002</v>
      </c>
      <c r="I78" s="14">
        <v>0</v>
      </c>
    </row>
    <row r="79" spans="1:22" ht="15.75" hidden="1" customHeight="1">
      <c r="A79" s="31">
        <v>17</v>
      </c>
      <c r="B79" s="16" t="s">
        <v>86</v>
      </c>
      <c r="C79" s="18" t="s">
        <v>29</v>
      </c>
      <c r="D79" s="39" t="s">
        <v>66</v>
      </c>
      <c r="E79" s="20">
        <v>1</v>
      </c>
      <c r="F79" s="84">
        <f>SUM(E79)</f>
        <v>1</v>
      </c>
      <c r="G79" s="14">
        <v>446.12</v>
      </c>
      <c r="H79" s="97">
        <f t="shared" si="11"/>
        <v>0.44612000000000002</v>
      </c>
      <c r="I79" s="14">
        <v>0</v>
      </c>
    </row>
    <row r="80" spans="1:22" ht="15.75" hidden="1" customHeight="1">
      <c r="A80" s="31"/>
      <c r="B80" s="51" t="s">
        <v>75</v>
      </c>
      <c r="C80" s="40"/>
      <c r="D80" s="31"/>
      <c r="E80" s="31"/>
      <c r="F80" s="20"/>
      <c r="G80" s="38"/>
      <c r="H80" s="38"/>
      <c r="I80" s="20"/>
    </row>
    <row r="81" spans="1:9" ht="15.75" hidden="1" customHeight="1">
      <c r="A81" s="31">
        <v>39</v>
      </c>
      <c r="B81" s="53" t="s">
        <v>126</v>
      </c>
      <c r="C81" s="18" t="s">
        <v>76</v>
      </c>
      <c r="D81" s="16"/>
      <c r="E81" s="20"/>
      <c r="F81" s="14">
        <v>1.35</v>
      </c>
      <c r="G81" s="14">
        <v>3433.68</v>
      </c>
      <c r="H81" s="97">
        <f t="shared" ref="H81" si="12">SUM(F81*G81/1000)</f>
        <v>4.6354679999999995</v>
      </c>
      <c r="I81" s="14">
        <v>0</v>
      </c>
    </row>
    <row r="82" spans="1:9" ht="15.75" hidden="1" customHeight="1">
      <c r="A82" s="31"/>
      <c r="B82" s="78" t="s">
        <v>88</v>
      </c>
      <c r="C82" s="64"/>
      <c r="D82" s="33"/>
      <c r="E82" s="33"/>
      <c r="F82" s="13"/>
      <c r="G82" s="38"/>
      <c r="H82" s="38"/>
      <c r="I82" s="20"/>
    </row>
    <row r="83" spans="1:9" ht="31.5" hidden="1" customHeight="1">
      <c r="A83" s="31"/>
      <c r="B83" s="16" t="s">
        <v>127</v>
      </c>
      <c r="C83" s="18" t="s">
        <v>87</v>
      </c>
      <c r="D83" s="16" t="s">
        <v>66</v>
      </c>
      <c r="E83" s="20">
        <v>6</v>
      </c>
      <c r="F83" s="14">
        <f>E83</f>
        <v>6</v>
      </c>
      <c r="G83" s="14">
        <v>297.44</v>
      </c>
      <c r="H83" s="97">
        <f t="shared" ref="H83:H92" si="13">SUM(F83*G83/1000)</f>
        <v>1.7846399999999998</v>
      </c>
      <c r="I83" s="14">
        <v>0</v>
      </c>
    </row>
    <row r="84" spans="1:9" ht="15.75" hidden="1" customHeight="1">
      <c r="A84" s="31"/>
      <c r="B84" s="16" t="s">
        <v>128</v>
      </c>
      <c r="C84" s="18" t="s">
        <v>80</v>
      </c>
      <c r="D84" s="16" t="s">
        <v>66</v>
      </c>
      <c r="E84" s="20">
        <v>12</v>
      </c>
      <c r="F84" s="14">
        <f>E84</f>
        <v>12</v>
      </c>
      <c r="G84" s="14">
        <v>122.35</v>
      </c>
      <c r="H84" s="97">
        <f t="shared" si="13"/>
        <v>1.4681999999999997</v>
      </c>
      <c r="I84" s="14">
        <v>0</v>
      </c>
    </row>
    <row r="85" spans="1:9" ht="15.75" hidden="1" customHeight="1">
      <c r="A85" s="31">
        <v>15</v>
      </c>
      <c r="B85" s="16" t="s">
        <v>129</v>
      </c>
      <c r="C85" s="18" t="s">
        <v>130</v>
      </c>
      <c r="D85" s="16" t="s">
        <v>66</v>
      </c>
      <c r="E85" s="20">
        <v>9</v>
      </c>
      <c r="F85" s="14">
        <f>E85/3</f>
        <v>3</v>
      </c>
      <c r="G85" s="14">
        <v>1063.47</v>
      </c>
      <c r="H85" s="97">
        <f t="shared" si="13"/>
        <v>3.19041</v>
      </c>
      <c r="I85" s="14">
        <f>G85*(10/3)</f>
        <v>3544.9</v>
      </c>
    </row>
    <row r="86" spans="1:9" ht="31.5" hidden="1" customHeight="1">
      <c r="A86" s="31"/>
      <c r="B86" s="16" t="s">
        <v>131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1564.44</v>
      </c>
      <c r="H86" s="97">
        <f t="shared" si="13"/>
        <v>9.3866399999999999</v>
      </c>
      <c r="I86" s="14">
        <v>0</v>
      </c>
    </row>
    <row r="87" spans="1:9" ht="31.5" hidden="1" customHeight="1">
      <c r="A87" s="31"/>
      <c r="B87" s="16" t="s">
        <v>132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1906.89</v>
      </c>
      <c r="H87" s="97">
        <f t="shared" si="13"/>
        <v>11.44134</v>
      </c>
      <c r="I87" s="14">
        <v>0</v>
      </c>
    </row>
    <row r="88" spans="1:9" ht="31.5" hidden="1" customHeight="1">
      <c r="A88" s="31"/>
      <c r="B88" s="16" t="s">
        <v>133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664.35</v>
      </c>
      <c r="H88" s="97">
        <f t="shared" si="13"/>
        <v>3.9861000000000004</v>
      </c>
      <c r="I88" s="14">
        <v>0</v>
      </c>
    </row>
    <row r="89" spans="1:9" ht="31.5" hidden="1" customHeight="1">
      <c r="A89" s="31"/>
      <c r="B89" s="16" t="s">
        <v>134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778.85</v>
      </c>
      <c r="H89" s="97">
        <f t="shared" si="13"/>
        <v>4.6731000000000007</v>
      </c>
      <c r="I89" s="14">
        <v>0</v>
      </c>
    </row>
    <row r="90" spans="1:9" ht="15.75" hidden="1" customHeight="1">
      <c r="A90" s="31"/>
      <c r="B90" s="16" t="s">
        <v>135</v>
      </c>
      <c r="C90" s="18" t="s">
        <v>123</v>
      </c>
      <c r="D90" s="16" t="s">
        <v>66</v>
      </c>
      <c r="E90" s="20">
        <v>3</v>
      </c>
      <c r="F90" s="14">
        <v>3</v>
      </c>
      <c r="G90" s="14">
        <v>498.11</v>
      </c>
      <c r="H90" s="97">
        <f t="shared" si="13"/>
        <v>1.4943299999999999</v>
      </c>
      <c r="I90" s="14">
        <v>0</v>
      </c>
    </row>
    <row r="91" spans="1:9" ht="31.5" hidden="1" customHeight="1">
      <c r="A91" s="31"/>
      <c r="B91" s="16" t="s">
        <v>136</v>
      </c>
      <c r="C91" s="18" t="s">
        <v>80</v>
      </c>
      <c r="D91" s="16" t="s">
        <v>66</v>
      </c>
      <c r="E91" s="20">
        <v>6</v>
      </c>
      <c r="F91" s="14">
        <f>E91</f>
        <v>6</v>
      </c>
      <c r="G91" s="14">
        <v>1264.3399999999999</v>
      </c>
      <c r="H91" s="97">
        <f t="shared" si="13"/>
        <v>7.5860399999999988</v>
      </c>
      <c r="I91" s="14">
        <v>0</v>
      </c>
    </row>
    <row r="92" spans="1:9" ht="15.75" hidden="1" customHeight="1">
      <c r="A92" s="31">
        <v>33</v>
      </c>
      <c r="B92" s="16" t="s">
        <v>137</v>
      </c>
      <c r="C92" s="18" t="s">
        <v>28</v>
      </c>
      <c r="D92" s="16" t="s">
        <v>42</v>
      </c>
      <c r="E92" s="20">
        <v>823</v>
      </c>
      <c r="F92" s="14">
        <f>E92*2/1000</f>
        <v>1.6459999999999999</v>
      </c>
      <c r="G92" s="14">
        <v>1707.71</v>
      </c>
      <c r="H92" s="97">
        <f t="shared" si="13"/>
        <v>2.8108906600000001</v>
      </c>
      <c r="I92" s="14">
        <f t="shared" ref="I92" si="14">F92/2*G92</f>
        <v>1405.44533</v>
      </c>
    </row>
    <row r="93" spans="1:9" ht="15.75" hidden="1" customHeight="1">
      <c r="A93" s="80"/>
      <c r="B93" s="78" t="s">
        <v>120</v>
      </c>
      <c r="C93" s="78"/>
      <c r="D93" s="78"/>
      <c r="E93" s="78"/>
      <c r="F93" s="78"/>
      <c r="G93" s="78"/>
      <c r="H93" s="78"/>
      <c r="I93" s="20"/>
    </row>
    <row r="94" spans="1:9" ht="15.75" hidden="1" customHeight="1">
      <c r="A94" s="31">
        <v>15</v>
      </c>
      <c r="B94" s="81" t="s">
        <v>121</v>
      </c>
      <c r="C94" s="18"/>
      <c r="D94" s="16"/>
      <c r="E94" s="20"/>
      <c r="F94" s="14">
        <v>1</v>
      </c>
      <c r="G94" s="14">
        <v>14087.8</v>
      </c>
      <c r="H94" s="97">
        <f>G94*F94/1000</f>
        <v>14.0878</v>
      </c>
      <c r="I94" s="14">
        <f>G94</f>
        <v>14087.8</v>
      </c>
    </row>
    <row r="95" spans="1:9" ht="15.75" customHeight="1">
      <c r="A95" s="170" t="s">
        <v>155</v>
      </c>
      <c r="B95" s="171"/>
      <c r="C95" s="171"/>
      <c r="D95" s="171"/>
      <c r="E95" s="171"/>
      <c r="F95" s="171"/>
      <c r="G95" s="171"/>
      <c r="H95" s="171"/>
      <c r="I95" s="172"/>
    </row>
    <row r="96" spans="1:9" ht="15.75" customHeight="1">
      <c r="A96" s="31">
        <v>9</v>
      </c>
      <c r="B96" s="81" t="s">
        <v>138</v>
      </c>
      <c r="C96" s="18" t="s">
        <v>55</v>
      </c>
      <c r="D96" s="99"/>
      <c r="E96" s="14">
        <v>1810.5</v>
      </c>
      <c r="F96" s="14">
        <f>SUM(E96*12)</f>
        <v>21726</v>
      </c>
      <c r="G96" s="14">
        <v>2.95</v>
      </c>
      <c r="H96" s="97">
        <f>SUM(F96*G96/1000)</f>
        <v>64.091700000000003</v>
      </c>
      <c r="I96" s="14">
        <f>F96/12*G96</f>
        <v>5340.9750000000004</v>
      </c>
    </row>
    <row r="97" spans="1:9" ht="31.5" customHeight="1">
      <c r="A97" s="31">
        <v>10</v>
      </c>
      <c r="B97" s="16" t="s">
        <v>77</v>
      </c>
      <c r="C97" s="18" t="s">
        <v>55</v>
      </c>
      <c r="D97" s="99"/>
      <c r="E97" s="83">
        <v>1810.5</v>
      </c>
      <c r="F97" s="14">
        <f>E97*12</f>
        <v>21726</v>
      </c>
      <c r="G97" s="14">
        <v>3.05</v>
      </c>
      <c r="H97" s="97">
        <f>F97*G97/1000</f>
        <v>66.264300000000006</v>
      </c>
      <c r="I97" s="14">
        <f>F97/12*G97</f>
        <v>5522.0249999999996</v>
      </c>
    </row>
    <row r="98" spans="1:9" ht="15.75" customHeight="1">
      <c r="A98" s="80"/>
      <c r="B98" s="41" t="s">
        <v>79</v>
      </c>
      <c r="C98" s="42"/>
      <c r="D98" s="17"/>
      <c r="E98" s="17"/>
      <c r="F98" s="17"/>
      <c r="G98" s="20"/>
      <c r="H98" s="20"/>
      <c r="I98" s="34">
        <f>I97+I96+I51+I42+I41+I40+I39+I18+I17+I16</f>
        <v>23028.711383333335</v>
      </c>
    </row>
    <row r="99" spans="1:9" ht="15.75" customHeight="1">
      <c r="A99" s="173" t="s">
        <v>60</v>
      </c>
      <c r="B99" s="174"/>
      <c r="C99" s="174"/>
      <c r="D99" s="174"/>
      <c r="E99" s="174"/>
      <c r="F99" s="174"/>
      <c r="G99" s="174"/>
      <c r="H99" s="174"/>
      <c r="I99" s="175"/>
    </row>
    <row r="100" spans="1:9" ht="15.75" customHeight="1">
      <c r="A100" s="43">
        <v>11</v>
      </c>
      <c r="B100" s="39" t="s">
        <v>165</v>
      </c>
      <c r="C100" s="130" t="s">
        <v>166</v>
      </c>
      <c r="D100" s="65"/>
      <c r="E100" s="38"/>
      <c r="F100" s="38">
        <v>1</v>
      </c>
      <c r="G100" s="38">
        <v>1.4</v>
      </c>
      <c r="H100" s="38">
        <f t="shared" ref="H100:H101" si="15">G100*F100/1000</f>
        <v>1.4E-3</v>
      </c>
      <c r="I100" s="127">
        <f>G100*12</f>
        <v>16.799999999999997</v>
      </c>
    </row>
    <row r="101" spans="1:9" ht="31.5" customHeight="1">
      <c r="A101" s="31">
        <v>12</v>
      </c>
      <c r="B101" s="128" t="s">
        <v>170</v>
      </c>
      <c r="C101" s="129" t="s">
        <v>28</v>
      </c>
      <c r="D101" s="53"/>
      <c r="E101" s="38"/>
      <c r="F101" s="38">
        <v>1</v>
      </c>
      <c r="G101" s="106">
        <v>21369.24</v>
      </c>
      <c r="H101" s="100">
        <f t="shared" si="15"/>
        <v>21.369240000000001</v>
      </c>
      <c r="I101" s="102">
        <f>G101*0.599*6/1000</f>
        <v>76.801048559999998</v>
      </c>
    </row>
    <row r="102" spans="1:9" ht="15.75" customHeight="1">
      <c r="A102" s="31"/>
      <c r="B102" s="47" t="s">
        <v>52</v>
      </c>
      <c r="C102" s="43"/>
      <c r="D102" s="55"/>
      <c r="E102" s="55"/>
      <c r="F102" s="43">
        <v>1</v>
      </c>
      <c r="G102" s="43"/>
      <c r="H102" s="43"/>
      <c r="I102" s="34">
        <f>SUM(I100:I101)</f>
        <v>93.601048559999995</v>
      </c>
    </row>
    <row r="103" spans="1:9" ht="15.75" customHeight="1">
      <c r="A103" s="31"/>
      <c r="B103" s="53" t="s">
        <v>78</v>
      </c>
      <c r="C103" s="17"/>
      <c r="D103" s="17"/>
      <c r="E103" s="17"/>
      <c r="F103" s="44"/>
      <c r="G103" s="45"/>
      <c r="H103" s="45"/>
      <c r="I103" s="19">
        <v>0</v>
      </c>
    </row>
    <row r="104" spans="1:9" ht="15.75" customHeight="1">
      <c r="A104" s="56"/>
      <c r="B104" s="48" t="s">
        <v>148</v>
      </c>
      <c r="C104" s="36"/>
      <c r="D104" s="36"/>
      <c r="E104" s="36"/>
      <c r="F104" s="36"/>
      <c r="G104" s="36"/>
      <c r="H104" s="36"/>
      <c r="I104" s="46">
        <f>I98+I102</f>
        <v>23122.312431893337</v>
      </c>
    </row>
    <row r="105" spans="1:9" ht="15.75">
      <c r="A105" s="159" t="s">
        <v>283</v>
      </c>
      <c r="B105" s="159"/>
      <c r="C105" s="159"/>
      <c r="D105" s="159"/>
      <c r="E105" s="159"/>
      <c r="F105" s="159"/>
      <c r="G105" s="159"/>
      <c r="H105" s="159"/>
      <c r="I105" s="159"/>
    </row>
    <row r="106" spans="1:9" ht="15.75">
      <c r="A106" s="72"/>
      <c r="B106" s="160" t="s">
        <v>284</v>
      </c>
      <c r="C106" s="160"/>
      <c r="D106" s="160"/>
      <c r="E106" s="160"/>
      <c r="F106" s="160"/>
      <c r="G106" s="160"/>
      <c r="H106" s="79"/>
      <c r="I106" s="3"/>
    </row>
    <row r="107" spans="1:9">
      <c r="A107" s="74"/>
      <c r="B107" s="158" t="s">
        <v>6</v>
      </c>
      <c r="C107" s="158"/>
      <c r="D107" s="158"/>
      <c r="E107" s="158"/>
      <c r="F107" s="158"/>
      <c r="G107" s="158"/>
      <c r="H107" s="26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61" t="s">
        <v>7</v>
      </c>
      <c r="B109" s="161"/>
      <c r="C109" s="161"/>
      <c r="D109" s="161"/>
      <c r="E109" s="161"/>
      <c r="F109" s="161"/>
      <c r="G109" s="161"/>
      <c r="H109" s="161"/>
      <c r="I109" s="161"/>
    </row>
    <row r="110" spans="1:9" ht="15.75">
      <c r="A110" s="161" t="s">
        <v>8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55" t="s">
        <v>61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15.75">
      <c r="A112" s="11"/>
    </row>
    <row r="113" spans="1:9" ht="15.75">
      <c r="A113" s="156" t="s">
        <v>9</v>
      </c>
      <c r="B113" s="156"/>
      <c r="C113" s="156"/>
      <c r="D113" s="156"/>
      <c r="E113" s="156"/>
      <c r="F113" s="156"/>
      <c r="G113" s="156"/>
      <c r="H113" s="156"/>
      <c r="I113" s="156"/>
    </row>
    <row r="114" spans="1:9" ht="15.75">
      <c r="A114" s="4"/>
    </row>
    <row r="115" spans="1:9" ht="15.75">
      <c r="B115" s="73" t="s">
        <v>10</v>
      </c>
      <c r="C115" s="157" t="s">
        <v>196</v>
      </c>
      <c r="D115" s="157"/>
      <c r="E115" s="157"/>
      <c r="F115" s="157"/>
      <c r="I115" s="76"/>
    </row>
    <row r="116" spans="1:9">
      <c r="A116" s="74"/>
      <c r="C116" s="158" t="s">
        <v>11</v>
      </c>
      <c r="D116" s="158"/>
      <c r="E116" s="158"/>
      <c r="F116" s="158"/>
      <c r="I116" s="75" t="s">
        <v>12</v>
      </c>
    </row>
    <row r="117" spans="1:9" ht="15.75">
      <c r="A117" s="27"/>
      <c r="C117" s="12"/>
      <c r="D117" s="12"/>
      <c r="E117" s="12"/>
      <c r="G117" s="12"/>
      <c r="H117" s="12"/>
    </row>
    <row r="118" spans="1:9" ht="15.75">
      <c r="B118" s="73" t="s">
        <v>13</v>
      </c>
      <c r="C118" s="152"/>
      <c r="D118" s="152"/>
      <c r="E118" s="152"/>
      <c r="F118" s="152"/>
      <c r="I118" s="76"/>
    </row>
    <row r="119" spans="1:9">
      <c r="A119" s="74"/>
      <c r="C119" s="153" t="s">
        <v>11</v>
      </c>
      <c r="D119" s="153"/>
      <c r="E119" s="153"/>
      <c r="F119" s="153"/>
      <c r="I119" s="75" t="s">
        <v>12</v>
      </c>
    </row>
    <row r="120" spans="1:9" ht="15.75">
      <c r="A120" s="4" t="s">
        <v>14</v>
      </c>
    </row>
    <row r="121" spans="1:9">
      <c r="A121" s="154" t="s">
        <v>15</v>
      </c>
      <c r="B121" s="154"/>
      <c r="C121" s="154"/>
      <c r="D121" s="154"/>
      <c r="E121" s="154"/>
      <c r="F121" s="154"/>
      <c r="G121" s="154"/>
      <c r="H121" s="154"/>
      <c r="I121" s="154"/>
    </row>
    <row r="122" spans="1:9" ht="45" customHeight="1">
      <c r="A122" s="151" t="s">
        <v>16</v>
      </c>
      <c r="B122" s="151"/>
      <c r="C122" s="151"/>
      <c r="D122" s="151"/>
      <c r="E122" s="151"/>
      <c r="F122" s="151"/>
      <c r="G122" s="151"/>
      <c r="H122" s="151"/>
      <c r="I122" s="151"/>
    </row>
    <row r="123" spans="1:9" ht="30" customHeight="1">
      <c r="A123" s="151" t="s">
        <v>17</v>
      </c>
      <c r="B123" s="151"/>
      <c r="C123" s="151"/>
      <c r="D123" s="151"/>
      <c r="E123" s="151"/>
      <c r="F123" s="151"/>
      <c r="G123" s="151"/>
      <c r="H123" s="151"/>
      <c r="I123" s="151"/>
    </row>
    <row r="124" spans="1:9" ht="30" customHeight="1">
      <c r="A124" s="151" t="s">
        <v>21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15" customHeight="1">
      <c r="A125" s="151" t="s">
        <v>20</v>
      </c>
      <c r="B125" s="151"/>
      <c r="C125" s="151"/>
      <c r="D125" s="151"/>
      <c r="E125" s="151"/>
      <c r="F125" s="151"/>
      <c r="G125" s="151"/>
      <c r="H125" s="151"/>
      <c r="I125" s="151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9:F119"/>
    <mergeCell ref="A99:I99"/>
    <mergeCell ref="A105:I105"/>
    <mergeCell ref="B106:G106"/>
    <mergeCell ref="B107:G107"/>
    <mergeCell ref="A109:I109"/>
    <mergeCell ref="A110:I110"/>
    <mergeCell ref="A111:I111"/>
    <mergeCell ref="A113:I113"/>
    <mergeCell ref="C115:F115"/>
    <mergeCell ref="C116:F116"/>
    <mergeCell ref="C118:F118"/>
    <mergeCell ref="A95:I95"/>
    <mergeCell ref="A121:I121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6"/>
  <sheetViews>
    <sheetView topLeftCell="A94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152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209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 t="s">
        <v>210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197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63.75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95</v>
      </c>
      <c r="C20" s="82" t="s">
        <v>53</v>
      </c>
      <c r="D20" s="81" t="s">
        <v>94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96</v>
      </c>
      <c r="C21" s="82" t="s">
        <v>92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97</v>
      </c>
      <c r="C22" s="82" t="s">
        <v>92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98</v>
      </c>
      <c r="C23" s="82" t="s">
        <v>53</v>
      </c>
      <c r="D23" s="81" t="s">
        <v>94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99</v>
      </c>
      <c r="C24" s="82" t="s">
        <v>53</v>
      </c>
      <c r="D24" s="81" t="s">
        <v>94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100</v>
      </c>
      <c r="C25" s="82" t="s">
        <v>53</v>
      </c>
      <c r="D25" s="81" t="s">
        <v>94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140</v>
      </c>
      <c r="C26" s="82" t="s">
        <v>53</v>
      </c>
      <c r="D26" s="81" t="s">
        <v>94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77" t="s">
        <v>82</v>
      </c>
      <c r="B28" s="177"/>
      <c r="C28" s="177"/>
      <c r="D28" s="177"/>
      <c r="E28" s="177"/>
      <c r="F28" s="177"/>
      <c r="G28" s="177"/>
      <c r="H28" s="177"/>
      <c r="I28" s="177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101</v>
      </c>
      <c r="C30" s="82" t="s">
        <v>102</v>
      </c>
      <c r="D30" s="81" t="s">
        <v>103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104</v>
      </c>
      <c r="C31" s="82" t="s">
        <v>102</v>
      </c>
      <c r="D31" s="81" t="s">
        <v>105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102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106</v>
      </c>
      <c r="C33" s="82" t="s">
        <v>40</v>
      </c>
      <c r="D33" s="81" t="s">
        <v>63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107</v>
      </c>
      <c r="C34" s="82" t="s">
        <v>29</v>
      </c>
      <c r="D34" s="81" t="s">
        <v>63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customHeight="1">
      <c r="A38" s="35">
        <v>5</v>
      </c>
      <c r="B38" s="81" t="s">
        <v>25</v>
      </c>
      <c r="C38" s="82" t="s">
        <v>31</v>
      </c>
      <c r="D38" s="81" t="s">
        <v>211</v>
      </c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G38*1.8</f>
        <v>3420.6659999999997</v>
      </c>
      <c r="J38" s="25"/>
    </row>
    <row r="39" spans="1:14" ht="15.75" customHeight="1">
      <c r="A39" s="35">
        <v>6</v>
      </c>
      <c r="B39" s="81" t="s">
        <v>67</v>
      </c>
      <c r="C39" s="82" t="s">
        <v>28</v>
      </c>
      <c r="D39" s="81" t="s">
        <v>175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7</v>
      </c>
      <c r="B40" s="81" t="s">
        <v>68</v>
      </c>
      <c r="C40" s="82" t="s">
        <v>28</v>
      </c>
      <c r="D40" s="81" t="s">
        <v>176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8</v>
      </c>
      <c r="B41" s="81" t="s">
        <v>81</v>
      </c>
      <c r="C41" s="82" t="s">
        <v>102</v>
      </c>
      <c r="D41" s="81" t="s">
        <v>177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customHeight="1">
      <c r="A42" s="35">
        <v>9</v>
      </c>
      <c r="B42" s="81" t="s">
        <v>111</v>
      </c>
      <c r="C42" s="82" t="s">
        <v>102</v>
      </c>
      <c r="D42" s="81" t="s">
        <v>173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G42*F42/20*2</f>
        <v>36.487980000000007</v>
      </c>
      <c r="J42" s="25"/>
      <c r="L42" s="21"/>
      <c r="M42" s="22"/>
      <c r="N42" s="23"/>
    </row>
    <row r="43" spans="1:14" ht="15.75" customHeight="1">
      <c r="A43" s="35">
        <v>10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G43*F43/20*2</f>
        <v>49.648499999999999</v>
      </c>
      <c r="J43" s="25"/>
      <c r="L43" s="21"/>
      <c r="M43" s="22"/>
      <c r="N43" s="23"/>
    </row>
    <row r="44" spans="1:14" ht="15.75" customHeight="1">
      <c r="A44" s="162" t="s">
        <v>145</v>
      </c>
      <c r="B44" s="163"/>
      <c r="C44" s="163"/>
      <c r="D44" s="163"/>
      <c r="E44" s="163"/>
      <c r="F44" s="163"/>
      <c r="G44" s="163"/>
      <c r="H44" s="163"/>
      <c r="I44" s="164"/>
      <c r="J44" s="25"/>
      <c r="L44" s="21"/>
      <c r="M44" s="22"/>
      <c r="N44" s="23"/>
    </row>
    <row r="45" spans="1:14" ht="15.75" hidden="1" customHeight="1">
      <c r="A45" s="42">
        <v>15</v>
      </c>
      <c r="B45" s="81" t="s">
        <v>113</v>
      </c>
      <c r="C45" s="82" t="s">
        <v>102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15.75" hidden="1" customHeight="1">
      <c r="A46" s="42"/>
      <c r="B46" s="81" t="s">
        <v>35</v>
      </c>
      <c r="C46" s="82" t="s">
        <v>102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15.75" hidden="1" customHeight="1">
      <c r="A47" s="42">
        <v>16</v>
      </c>
      <c r="B47" s="81" t="s">
        <v>36</v>
      </c>
      <c r="C47" s="82" t="s">
        <v>102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15.75" hidden="1" customHeight="1">
      <c r="A48" s="42">
        <v>17</v>
      </c>
      <c r="B48" s="81" t="s">
        <v>37</v>
      </c>
      <c r="C48" s="82" t="s">
        <v>102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15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15.75" customHeight="1">
      <c r="A50" s="42">
        <v>9</v>
      </c>
      <c r="B50" s="81" t="s">
        <v>56</v>
      </c>
      <c r="C50" s="82" t="s">
        <v>102</v>
      </c>
      <c r="D50" s="81" t="s">
        <v>179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hidden="1" customHeight="1">
      <c r="A51" s="42">
        <v>13</v>
      </c>
      <c r="B51" s="81" t="s">
        <v>114</v>
      </c>
      <c r="C51" s="82" t="s">
        <v>102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v>0</v>
      </c>
      <c r="J51" s="25"/>
      <c r="L51" s="21"/>
      <c r="M51" s="22"/>
      <c r="N51" s="23"/>
    </row>
    <row r="52" spans="1:14" ht="31.5" hidden="1" customHeight="1">
      <c r="A52" s="42">
        <v>14</v>
      </c>
      <c r="B52" s="81" t="s">
        <v>115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v>0</v>
      </c>
      <c r="J52" s="25"/>
      <c r="L52" s="21"/>
      <c r="M52" s="22"/>
      <c r="N52" s="23"/>
    </row>
    <row r="53" spans="1:14" ht="15.75" hidden="1" customHeight="1">
      <c r="A53" s="42">
        <v>15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v>0</v>
      </c>
      <c r="J53" s="25"/>
      <c r="L53" s="21"/>
      <c r="M53" s="22"/>
      <c r="N53" s="23"/>
    </row>
    <row r="54" spans="1:14" ht="15.75" hidden="1" customHeight="1">
      <c r="A54" s="42">
        <v>13</v>
      </c>
      <c r="B54" s="81" t="s">
        <v>141</v>
      </c>
      <c r="C54" s="82" t="s">
        <v>29</v>
      </c>
      <c r="D54" s="81" t="s">
        <v>70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hidden="1" customHeight="1">
      <c r="A55" s="42">
        <v>14</v>
      </c>
      <c r="B55" s="81" t="s">
        <v>41</v>
      </c>
      <c r="C55" s="82" t="s">
        <v>29</v>
      </c>
      <c r="D55" s="81" t="s">
        <v>70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21.75" hidden="1" customHeight="1">
      <c r="A56" s="162" t="s">
        <v>146</v>
      </c>
      <c r="B56" s="163"/>
      <c r="C56" s="163"/>
      <c r="D56" s="163"/>
      <c r="E56" s="163"/>
      <c r="F56" s="163"/>
      <c r="G56" s="163"/>
      <c r="H56" s="163"/>
      <c r="I56" s="164"/>
      <c r="J56" s="25"/>
      <c r="L56" s="21"/>
      <c r="M56" s="22"/>
      <c r="N56" s="23"/>
    </row>
    <row r="57" spans="1:14" ht="17.25" hidden="1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28.5" hidden="1" customHeight="1">
      <c r="A58" s="42">
        <v>10</v>
      </c>
      <c r="B58" s="81" t="s">
        <v>149</v>
      </c>
      <c r="C58" s="82" t="s">
        <v>92</v>
      </c>
      <c r="D58" s="81"/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G58*0.09</f>
        <v>207.59579999999997</v>
      </c>
      <c r="J58" s="25"/>
      <c r="L58" s="21"/>
      <c r="M58" s="22"/>
      <c r="N58" s="23"/>
    </row>
    <row r="59" spans="1:14" ht="24" hidden="1" customHeight="1">
      <c r="A59" s="42">
        <v>14</v>
      </c>
      <c r="B59" s="81" t="s">
        <v>85</v>
      </c>
      <c r="C59" s="82" t="s">
        <v>150</v>
      </c>
      <c r="D59" s="81" t="s">
        <v>66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G59*2</f>
        <v>3002</v>
      </c>
      <c r="J59" s="25"/>
      <c r="L59" s="21"/>
      <c r="M59" s="22"/>
      <c r="N59" s="23"/>
    </row>
    <row r="60" spans="1:14" ht="16.5" hidden="1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22.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24.75" hidden="1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26.25" hidden="1" customHeight="1">
      <c r="A63" s="42">
        <v>17</v>
      </c>
      <c r="B63" s="16" t="s">
        <v>47</v>
      </c>
      <c r="C63" s="18" t="s">
        <v>116</v>
      </c>
      <c r="D63" s="16" t="s">
        <v>66</v>
      </c>
      <c r="E63" s="20">
        <v>10</v>
      </c>
      <c r="F63" s="84">
        <v>10</v>
      </c>
      <c r="G63" s="14">
        <v>276.74</v>
      </c>
      <c r="H63" s="97">
        <f t="shared" ref="H63:H70" si="6">SUM(F63*G63/1000)</f>
        <v>2.7674000000000003</v>
      </c>
      <c r="I63" s="14">
        <v>0</v>
      </c>
    </row>
    <row r="64" spans="1:14" ht="28.5" hidden="1" customHeight="1">
      <c r="A64" s="31">
        <v>29</v>
      </c>
      <c r="B64" s="16" t="s">
        <v>48</v>
      </c>
      <c r="C64" s="18" t="s">
        <v>116</v>
      </c>
      <c r="D64" s="16" t="s">
        <v>66</v>
      </c>
      <c r="E64" s="20">
        <v>3</v>
      </c>
      <c r="F64" s="84">
        <v>3</v>
      </c>
      <c r="G64" s="14">
        <v>94.89</v>
      </c>
      <c r="H64" s="97">
        <f t="shared" si="6"/>
        <v>0.28467000000000003</v>
      </c>
      <c r="I64" s="14">
        <v>0</v>
      </c>
    </row>
    <row r="65" spans="1:22" ht="24.75" hidden="1" customHeight="1">
      <c r="A65" s="31">
        <v>8</v>
      </c>
      <c r="B65" s="16" t="s">
        <v>49</v>
      </c>
      <c r="C65" s="18" t="s">
        <v>117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6"/>
        <v>19.820369200000002</v>
      </c>
      <c r="I65" s="14">
        <v>0</v>
      </c>
    </row>
    <row r="66" spans="1:22" ht="26.25" hidden="1" customHeight="1">
      <c r="A66" s="31">
        <v>9</v>
      </c>
      <c r="B66" s="16" t="s">
        <v>50</v>
      </c>
      <c r="C66" s="18" t="s">
        <v>118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6"/>
        <v>1.54341956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28.5" hidden="1" customHeight="1">
      <c r="A67" s="31">
        <v>10</v>
      </c>
      <c r="B67" s="16" t="s">
        <v>51</v>
      </c>
      <c r="C67" s="18" t="s">
        <v>76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6"/>
        <v>28.138677000000005</v>
      </c>
      <c r="I67" s="14">
        <v>0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27.75" hidden="1" customHeight="1">
      <c r="A68" s="31">
        <v>11</v>
      </c>
      <c r="B68" s="98" t="s">
        <v>119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6"/>
        <v>0.35113000000000005</v>
      </c>
      <c r="I68" s="14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22.5" hidden="1" customHeight="1">
      <c r="A69" s="31">
        <v>12</v>
      </c>
      <c r="B69" s="98" t="s">
        <v>151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6"/>
        <v>0.327598</v>
      </c>
      <c r="I69" s="14">
        <v>0</v>
      </c>
      <c r="J69" s="5"/>
      <c r="K69" s="5"/>
      <c r="L69" s="5"/>
      <c r="M69" s="5"/>
      <c r="N69" s="5"/>
      <c r="O69" s="5"/>
      <c r="P69" s="5"/>
      <c r="Q69" s="5"/>
      <c r="R69" s="153"/>
      <c r="S69" s="153"/>
      <c r="T69" s="153"/>
      <c r="U69" s="153"/>
    </row>
    <row r="70" spans="1:22" ht="32.25" hidden="1" customHeight="1">
      <c r="A70" s="31">
        <v>13</v>
      </c>
      <c r="B70" s="16" t="s">
        <v>57</v>
      </c>
      <c r="C70" s="18" t="s">
        <v>58</v>
      </c>
      <c r="D70" s="16" t="s">
        <v>54</v>
      </c>
      <c r="E70" s="20">
        <v>3</v>
      </c>
      <c r="F70" s="84">
        <f>SUM(E70)</f>
        <v>3</v>
      </c>
      <c r="G70" s="14">
        <v>62.07</v>
      </c>
      <c r="H70" s="97">
        <f t="shared" si="6"/>
        <v>0.18621000000000001</v>
      </c>
      <c r="I70" s="14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23.25" hidden="1" customHeight="1">
      <c r="A71" s="31"/>
      <c r="B71" s="50" t="s">
        <v>72</v>
      </c>
      <c r="C71" s="50"/>
      <c r="D71" s="50"/>
      <c r="E71" s="50"/>
      <c r="F71" s="20"/>
      <c r="G71" s="31"/>
      <c r="H71" s="31"/>
      <c r="I71" s="20"/>
    </row>
    <row r="72" spans="1:22" ht="17.25" hidden="1" customHeight="1">
      <c r="A72" s="31"/>
      <c r="B72" s="16" t="s">
        <v>122</v>
      </c>
      <c r="C72" s="18" t="s">
        <v>123</v>
      </c>
      <c r="D72" s="39" t="s">
        <v>66</v>
      </c>
      <c r="E72" s="20">
        <v>3</v>
      </c>
      <c r="F72" s="14">
        <v>3</v>
      </c>
      <c r="G72" s="14">
        <v>976.4</v>
      </c>
      <c r="H72" s="97">
        <f t="shared" ref="H72:H76" si="7">SUM(F72*G72/1000)</f>
        <v>2.9291999999999998</v>
      </c>
      <c r="I72" s="14">
        <v>0</v>
      </c>
    </row>
    <row r="73" spans="1:22" ht="26.25" hidden="1" customHeight="1">
      <c r="A73" s="31"/>
      <c r="B73" s="16" t="s">
        <v>124</v>
      </c>
      <c r="C73" s="18" t="s">
        <v>125</v>
      </c>
      <c r="D73" s="16"/>
      <c r="E73" s="20">
        <v>1</v>
      </c>
      <c r="F73" s="14">
        <v>1</v>
      </c>
      <c r="G73" s="14">
        <v>750</v>
      </c>
      <c r="H73" s="97">
        <f t="shared" si="7"/>
        <v>0.75</v>
      </c>
      <c r="I73" s="14">
        <v>0</v>
      </c>
    </row>
    <row r="74" spans="1:22" ht="22.5" hidden="1" customHeight="1">
      <c r="A74" s="31"/>
      <c r="B74" s="16" t="s">
        <v>73</v>
      </c>
      <c r="C74" s="18" t="s">
        <v>30</v>
      </c>
      <c r="D74" s="39" t="s">
        <v>66</v>
      </c>
      <c r="E74" s="20">
        <v>3</v>
      </c>
      <c r="F74" s="14">
        <f>E74/10</f>
        <v>0.3</v>
      </c>
      <c r="G74" s="14">
        <v>624.16999999999996</v>
      </c>
      <c r="H74" s="97">
        <f t="shared" si="7"/>
        <v>0.18725099999999997</v>
      </c>
      <c r="I74" s="14">
        <v>0</v>
      </c>
    </row>
    <row r="75" spans="1:22" ht="24" hidden="1" customHeight="1">
      <c r="A75" s="31"/>
      <c r="B75" s="16" t="s">
        <v>74</v>
      </c>
      <c r="C75" s="18" t="s">
        <v>29</v>
      </c>
      <c r="D75" s="39" t="s">
        <v>66</v>
      </c>
      <c r="E75" s="20">
        <v>1</v>
      </c>
      <c r="F75" s="14">
        <v>1</v>
      </c>
      <c r="G75" s="14">
        <v>1061.4100000000001</v>
      </c>
      <c r="H75" s="97">
        <f t="shared" si="7"/>
        <v>1.0614100000000002</v>
      </c>
      <c r="I75" s="14">
        <v>0</v>
      </c>
    </row>
    <row r="76" spans="1:22" ht="22.5" hidden="1" customHeight="1">
      <c r="A76" s="31">
        <v>17</v>
      </c>
      <c r="B76" s="16" t="s">
        <v>86</v>
      </c>
      <c r="C76" s="18" t="s">
        <v>29</v>
      </c>
      <c r="D76" s="39" t="s">
        <v>66</v>
      </c>
      <c r="E76" s="20">
        <v>1</v>
      </c>
      <c r="F76" s="84">
        <f>SUM(E76)</f>
        <v>1</v>
      </c>
      <c r="G76" s="14">
        <v>446.12</v>
      </c>
      <c r="H76" s="97">
        <f t="shared" si="7"/>
        <v>0.44612000000000002</v>
      </c>
      <c r="I76" s="14">
        <v>0</v>
      </c>
    </row>
    <row r="77" spans="1:22" ht="21.75" hidden="1" customHeight="1">
      <c r="A77" s="31"/>
      <c r="B77" s="51" t="s">
        <v>75</v>
      </c>
      <c r="C77" s="40"/>
      <c r="D77" s="31"/>
      <c r="E77" s="31"/>
      <c r="F77" s="20"/>
      <c r="G77" s="38"/>
      <c r="H77" s="38"/>
      <c r="I77" s="20"/>
    </row>
    <row r="78" spans="1:22" ht="26.25" hidden="1" customHeight="1">
      <c r="A78" s="31">
        <v>39</v>
      </c>
      <c r="B78" s="53" t="s">
        <v>126</v>
      </c>
      <c r="C78" s="18" t="s">
        <v>76</v>
      </c>
      <c r="D78" s="16"/>
      <c r="E78" s="20"/>
      <c r="F78" s="14">
        <v>1.35</v>
      </c>
      <c r="G78" s="14">
        <v>3433.68</v>
      </c>
      <c r="H78" s="97">
        <f t="shared" ref="H78" si="8">SUM(F78*G78/1000)</f>
        <v>4.6354679999999995</v>
      </c>
      <c r="I78" s="14">
        <v>0</v>
      </c>
    </row>
    <row r="79" spans="1:22" ht="28.5" hidden="1" customHeight="1">
      <c r="A79" s="31"/>
      <c r="B79" s="70" t="s">
        <v>88</v>
      </c>
      <c r="C79" s="64"/>
      <c r="D79" s="33"/>
      <c r="E79" s="33"/>
      <c r="F79" s="13"/>
      <c r="G79" s="38"/>
      <c r="H79" s="38"/>
      <c r="I79" s="20"/>
    </row>
    <row r="80" spans="1:22" ht="29.25" hidden="1" customHeight="1">
      <c r="A80" s="31"/>
      <c r="B80" s="16" t="s">
        <v>127</v>
      </c>
      <c r="C80" s="18" t="s">
        <v>87</v>
      </c>
      <c r="D80" s="16" t="s">
        <v>66</v>
      </c>
      <c r="E80" s="20">
        <v>6</v>
      </c>
      <c r="F80" s="14">
        <f>E80</f>
        <v>6</v>
      </c>
      <c r="G80" s="14">
        <v>297.44</v>
      </c>
      <c r="H80" s="97">
        <f t="shared" ref="H80:H89" si="9">SUM(F80*G80/1000)</f>
        <v>1.7846399999999998</v>
      </c>
      <c r="I80" s="14">
        <v>0</v>
      </c>
    </row>
    <row r="81" spans="1:9" ht="30.75" hidden="1" customHeight="1">
      <c r="A81" s="31"/>
      <c r="B81" s="16" t="s">
        <v>128</v>
      </c>
      <c r="C81" s="18" t="s">
        <v>80</v>
      </c>
      <c r="D81" s="16" t="s">
        <v>66</v>
      </c>
      <c r="E81" s="20">
        <v>12</v>
      </c>
      <c r="F81" s="14">
        <f>E81</f>
        <v>12</v>
      </c>
      <c r="G81" s="14">
        <v>122.35</v>
      </c>
      <c r="H81" s="97">
        <f t="shared" si="9"/>
        <v>1.4681999999999997</v>
      </c>
      <c r="I81" s="14">
        <v>0</v>
      </c>
    </row>
    <row r="82" spans="1:9" ht="27.75" hidden="1" customHeight="1">
      <c r="A82" s="31"/>
      <c r="B82" s="16" t="s">
        <v>129</v>
      </c>
      <c r="C82" s="18" t="s">
        <v>130</v>
      </c>
      <c r="D82" s="16" t="s">
        <v>66</v>
      </c>
      <c r="E82" s="20">
        <v>9</v>
      </c>
      <c r="F82" s="14">
        <f>E82/3</f>
        <v>3</v>
      </c>
      <c r="G82" s="14">
        <v>1063.47</v>
      </c>
      <c r="H82" s="97">
        <f t="shared" si="9"/>
        <v>3.19041</v>
      </c>
      <c r="I82" s="14">
        <v>0</v>
      </c>
    </row>
    <row r="83" spans="1:9" ht="26.25" hidden="1" customHeight="1">
      <c r="A83" s="31"/>
      <c r="B83" s="16" t="s">
        <v>131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1564.44</v>
      </c>
      <c r="H83" s="97">
        <f t="shared" si="9"/>
        <v>9.3866399999999999</v>
      </c>
      <c r="I83" s="14">
        <v>0</v>
      </c>
    </row>
    <row r="84" spans="1:9" ht="24.75" hidden="1" customHeight="1">
      <c r="A84" s="31"/>
      <c r="B84" s="16" t="s">
        <v>132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1906.89</v>
      </c>
      <c r="H84" s="97">
        <f t="shared" si="9"/>
        <v>11.44134</v>
      </c>
      <c r="I84" s="14">
        <v>0</v>
      </c>
    </row>
    <row r="85" spans="1:9" ht="27" hidden="1" customHeight="1">
      <c r="A85" s="31"/>
      <c r="B85" s="16" t="s">
        <v>133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664.35</v>
      </c>
      <c r="H85" s="97">
        <f t="shared" si="9"/>
        <v>3.9861000000000004</v>
      </c>
      <c r="I85" s="14">
        <v>0</v>
      </c>
    </row>
    <row r="86" spans="1:9" ht="24" hidden="1" customHeight="1">
      <c r="A86" s="31"/>
      <c r="B86" s="16" t="s">
        <v>134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778.85</v>
      </c>
      <c r="H86" s="97">
        <f t="shared" si="9"/>
        <v>4.6731000000000007</v>
      </c>
      <c r="I86" s="14">
        <v>0</v>
      </c>
    </row>
    <row r="87" spans="1:9" ht="27" hidden="1" customHeight="1">
      <c r="A87" s="31"/>
      <c r="B87" s="16" t="s">
        <v>135</v>
      </c>
      <c r="C87" s="18" t="s">
        <v>123</v>
      </c>
      <c r="D87" s="16" t="s">
        <v>66</v>
      </c>
      <c r="E87" s="20">
        <v>3</v>
      </c>
      <c r="F87" s="14">
        <v>3</v>
      </c>
      <c r="G87" s="14">
        <v>498.11</v>
      </c>
      <c r="H87" s="97">
        <f t="shared" si="9"/>
        <v>1.4943299999999999</v>
      </c>
      <c r="I87" s="14">
        <v>0</v>
      </c>
    </row>
    <row r="88" spans="1:9" ht="23.25" hidden="1" customHeight="1">
      <c r="A88" s="31"/>
      <c r="B88" s="16" t="s">
        <v>136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1264.3399999999999</v>
      </c>
      <c r="H88" s="97">
        <f t="shared" si="9"/>
        <v>7.5860399999999988</v>
      </c>
      <c r="I88" s="14">
        <v>0</v>
      </c>
    </row>
    <row r="89" spans="1:9" ht="26.25" hidden="1" customHeight="1">
      <c r="A89" s="31"/>
      <c r="B89" s="16" t="s">
        <v>137</v>
      </c>
      <c r="C89" s="18" t="s">
        <v>28</v>
      </c>
      <c r="D89" s="16" t="s">
        <v>42</v>
      </c>
      <c r="E89" s="20">
        <v>823</v>
      </c>
      <c r="F89" s="14">
        <f>E89*2/1000</f>
        <v>1.6459999999999999</v>
      </c>
      <c r="G89" s="14">
        <v>1707.71</v>
      </c>
      <c r="H89" s="97">
        <f t="shared" si="9"/>
        <v>2.8108906600000001</v>
      </c>
      <c r="I89" s="14">
        <v>0</v>
      </c>
    </row>
    <row r="90" spans="1:9" ht="29.25" hidden="1" customHeight="1">
      <c r="A90" s="54"/>
      <c r="B90" s="70" t="s">
        <v>120</v>
      </c>
      <c r="C90" s="70"/>
      <c r="D90" s="70"/>
      <c r="E90" s="70"/>
      <c r="F90" s="70"/>
      <c r="G90" s="70"/>
      <c r="H90" s="70"/>
      <c r="I90" s="20"/>
    </row>
    <row r="91" spans="1:9" ht="26.25" hidden="1" customHeight="1">
      <c r="A91" s="110">
        <v>15</v>
      </c>
      <c r="B91" s="91" t="s">
        <v>121</v>
      </c>
      <c r="C91" s="111"/>
      <c r="D91" s="112"/>
      <c r="E91" s="113"/>
      <c r="F91" s="104">
        <v>1</v>
      </c>
      <c r="G91" s="104">
        <v>14087.8</v>
      </c>
      <c r="H91" s="114">
        <f>G91*F91/1000</f>
        <v>14.0878</v>
      </c>
      <c r="I91" s="104">
        <f>G91</f>
        <v>14087.8</v>
      </c>
    </row>
    <row r="92" spans="1:9" ht="18.75" hidden="1" customHeight="1">
      <c r="A92" s="31"/>
      <c r="B92" s="143" t="s">
        <v>88</v>
      </c>
      <c r="C92" s="144"/>
      <c r="D92" s="145"/>
      <c r="E92" s="146"/>
      <c r="F92" s="147"/>
      <c r="G92" s="148"/>
      <c r="H92" s="141"/>
      <c r="I92" s="142"/>
    </row>
    <row r="93" spans="1:9" ht="33.75" hidden="1" customHeight="1">
      <c r="A93" s="31">
        <v>11</v>
      </c>
      <c r="B93" s="145" t="s">
        <v>199</v>
      </c>
      <c r="C93" s="144" t="s">
        <v>200</v>
      </c>
      <c r="D93" s="145"/>
      <c r="E93" s="146">
        <v>1810.5</v>
      </c>
      <c r="F93" s="148">
        <f>E93*12</f>
        <v>21726</v>
      </c>
      <c r="G93" s="148">
        <v>2.4900000000000002</v>
      </c>
      <c r="H93" s="141"/>
      <c r="I93" s="142">
        <f>G93*F93/12</f>
        <v>4508.1450000000004</v>
      </c>
    </row>
    <row r="94" spans="1:9" ht="15.75" customHeight="1">
      <c r="A94" s="170" t="s">
        <v>155</v>
      </c>
      <c r="B94" s="171"/>
      <c r="C94" s="171"/>
      <c r="D94" s="171"/>
      <c r="E94" s="171"/>
      <c r="F94" s="171"/>
      <c r="G94" s="171"/>
      <c r="H94" s="171"/>
      <c r="I94" s="172"/>
    </row>
    <row r="95" spans="1:9" ht="15.75" customHeight="1">
      <c r="A95" s="31">
        <v>12</v>
      </c>
      <c r="B95" s="81" t="s">
        <v>138</v>
      </c>
      <c r="C95" s="18" t="s">
        <v>55</v>
      </c>
      <c r="D95" s="99"/>
      <c r="E95" s="14">
        <v>1810.5</v>
      </c>
      <c r="F95" s="14">
        <f>SUM(E95*12)</f>
        <v>21726</v>
      </c>
      <c r="G95" s="14">
        <v>2.95</v>
      </c>
      <c r="H95" s="97">
        <f>SUM(F95*G95/1000)</f>
        <v>64.091700000000003</v>
      </c>
      <c r="I95" s="14">
        <f>F95/12*G95</f>
        <v>5340.9750000000004</v>
      </c>
    </row>
    <row r="96" spans="1:9" ht="31.5" customHeight="1">
      <c r="A96" s="31">
        <v>13</v>
      </c>
      <c r="B96" s="16" t="s">
        <v>77</v>
      </c>
      <c r="C96" s="18" t="s">
        <v>55</v>
      </c>
      <c r="D96" s="99"/>
      <c r="E96" s="83">
        <v>1810.5</v>
      </c>
      <c r="F96" s="14">
        <f>E96*12</f>
        <v>21726</v>
      </c>
      <c r="G96" s="14">
        <v>3.05</v>
      </c>
      <c r="H96" s="97">
        <f>F96*G96/1000</f>
        <v>66.264300000000006</v>
      </c>
      <c r="I96" s="14">
        <f>F96/12*G96</f>
        <v>5522.0249999999996</v>
      </c>
    </row>
    <row r="97" spans="1:9" ht="15.75" customHeight="1">
      <c r="A97" s="54"/>
      <c r="B97" s="41" t="s">
        <v>79</v>
      </c>
      <c r="C97" s="42"/>
      <c r="D97" s="17"/>
      <c r="E97" s="17"/>
      <c r="F97" s="17"/>
      <c r="G97" s="20"/>
      <c r="H97" s="20"/>
      <c r="I97" s="34">
        <f>I96+I95+I50+I43+I42+I41+I40+I39+I38+I27+I18+I17+I16</f>
        <v>24238.953663333334</v>
      </c>
    </row>
    <row r="98" spans="1:9" ht="15.75" customHeight="1">
      <c r="A98" s="173" t="s">
        <v>60</v>
      </c>
      <c r="B98" s="174"/>
      <c r="C98" s="174"/>
      <c r="D98" s="174"/>
      <c r="E98" s="174"/>
      <c r="F98" s="174"/>
      <c r="G98" s="174"/>
      <c r="H98" s="174"/>
      <c r="I98" s="175"/>
    </row>
    <row r="99" spans="1:9" ht="15.75" customHeight="1">
      <c r="A99" s="31">
        <v>14</v>
      </c>
      <c r="B99" s="91" t="s">
        <v>165</v>
      </c>
      <c r="C99" s="92" t="s">
        <v>166</v>
      </c>
      <c r="D99" s="91"/>
      <c r="E99" s="93"/>
      <c r="F99" s="94">
        <v>24</v>
      </c>
      <c r="G99" s="103">
        <v>1.4</v>
      </c>
      <c r="H99" s="96">
        <f>F99*G99/1000</f>
        <v>3.3599999999999991E-2</v>
      </c>
      <c r="I99" s="104">
        <f>G99*12</f>
        <v>16.799999999999997</v>
      </c>
    </row>
    <row r="100" spans="1:9" ht="32.25" customHeight="1">
      <c r="A100" s="31">
        <v>15</v>
      </c>
      <c r="B100" s="128" t="s">
        <v>170</v>
      </c>
      <c r="C100" s="129" t="s">
        <v>28</v>
      </c>
      <c r="D100" s="53"/>
      <c r="E100" s="14"/>
      <c r="F100" s="14">
        <v>1</v>
      </c>
      <c r="G100" s="106">
        <v>21369.24</v>
      </c>
      <c r="H100" s="97">
        <f t="shared" ref="H100" si="10">G100*F100/1000</f>
        <v>21.369240000000001</v>
      </c>
      <c r="I100" s="14">
        <f>G100*0.599*6/1000</f>
        <v>76.801048559999998</v>
      </c>
    </row>
    <row r="101" spans="1:9" ht="18.75" customHeight="1">
      <c r="A101" s="31">
        <v>16</v>
      </c>
      <c r="B101" s="128" t="s">
        <v>212</v>
      </c>
      <c r="C101" s="129" t="s">
        <v>53</v>
      </c>
      <c r="D101" s="16"/>
      <c r="E101" s="20"/>
      <c r="F101" s="14">
        <v>0.1</v>
      </c>
      <c r="G101" s="14">
        <v>2399.1</v>
      </c>
      <c r="H101" s="97"/>
      <c r="I101" s="104">
        <f>G101*0.1</f>
        <v>239.91</v>
      </c>
    </row>
    <row r="102" spans="1:9" ht="14.25" customHeight="1">
      <c r="A102" s="31">
        <v>17</v>
      </c>
      <c r="B102" s="128" t="s">
        <v>213</v>
      </c>
      <c r="C102" s="129" t="s">
        <v>29</v>
      </c>
      <c r="D102" s="16"/>
      <c r="E102" s="20"/>
      <c r="F102" s="14">
        <v>1</v>
      </c>
      <c r="G102" s="14">
        <v>218.81</v>
      </c>
      <c r="H102" s="97"/>
      <c r="I102" s="104">
        <v>0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SUM(I99:I102)</f>
        <v>333.51104856000001</v>
      </c>
    </row>
    <row r="104" spans="1:9" ht="15.75" customHeight="1">
      <c r="A104" s="31"/>
      <c r="B104" s="53" t="s">
        <v>78</v>
      </c>
      <c r="C104" s="17"/>
      <c r="D104" s="17"/>
      <c r="E104" s="17"/>
      <c r="F104" s="44"/>
      <c r="G104" s="45"/>
      <c r="H104" s="45"/>
      <c r="I104" s="19">
        <v>0</v>
      </c>
    </row>
    <row r="105" spans="1:9" ht="15.75" customHeight="1">
      <c r="A105" s="56"/>
      <c r="B105" s="48" t="s">
        <v>148</v>
      </c>
      <c r="C105" s="36"/>
      <c r="D105" s="36"/>
      <c r="E105" s="36"/>
      <c r="F105" s="36"/>
      <c r="G105" s="36"/>
      <c r="H105" s="36"/>
      <c r="I105" s="46">
        <f>I97+I103</f>
        <v>24572.464711893335</v>
      </c>
    </row>
    <row r="106" spans="1:9" ht="15.75">
      <c r="A106" s="159" t="s">
        <v>214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15.75">
      <c r="A107" s="72"/>
      <c r="B107" s="160" t="s">
        <v>215</v>
      </c>
      <c r="C107" s="160"/>
      <c r="D107" s="160"/>
      <c r="E107" s="160"/>
      <c r="F107" s="160"/>
      <c r="G107" s="160"/>
      <c r="H107" s="79"/>
      <c r="I107" s="3"/>
    </row>
    <row r="108" spans="1:9">
      <c r="A108" s="68"/>
      <c r="B108" s="158" t="s">
        <v>6</v>
      </c>
      <c r="C108" s="158"/>
      <c r="D108" s="158"/>
      <c r="E108" s="158"/>
      <c r="F108" s="158"/>
      <c r="G108" s="158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1" t="s">
        <v>7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1" t="s">
        <v>8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55" t="s">
        <v>61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.75">
      <c r="A113" s="11"/>
    </row>
    <row r="114" spans="1:9" ht="15.75">
      <c r="A114" s="156" t="s">
        <v>9</v>
      </c>
      <c r="B114" s="156"/>
      <c r="C114" s="156"/>
      <c r="D114" s="156"/>
      <c r="E114" s="156"/>
      <c r="F114" s="156"/>
      <c r="G114" s="156"/>
      <c r="H114" s="156"/>
      <c r="I114" s="156"/>
    </row>
    <row r="115" spans="1:9" ht="15.75">
      <c r="A115" s="4"/>
    </row>
    <row r="116" spans="1:9" ht="15.75">
      <c r="B116" s="69" t="s">
        <v>10</v>
      </c>
      <c r="C116" s="157" t="s">
        <v>196</v>
      </c>
      <c r="D116" s="157"/>
      <c r="E116" s="157"/>
      <c r="F116" s="157"/>
      <c r="I116" s="67"/>
    </row>
    <row r="117" spans="1:9">
      <c r="A117" s="68"/>
      <c r="C117" s="158" t="s">
        <v>11</v>
      </c>
      <c r="D117" s="158"/>
      <c r="E117" s="158"/>
      <c r="F117" s="158"/>
      <c r="I117" s="66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69" t="s">
        <v>13</v>
      </c>
      <c r="C119" s="152"/>
      <c r="D119" s="152"/>
      <c r="E119" s="152"/>
      <c r="F119" s="152"/>
      <c r="I119" s="67"/>
    </row>
    <row r="120" spans="1:9">
      <c r="A120" s="68"/>
      <c r="C120" s="153" t="s">
        <v>11</v>
      </c>
      <c r="D120" s="153"/>
      <c r="E120" s="153"/>
      <c r="F120" s="153"/>
      <c r="I120" s="66" t="s">
        <v>12</v>
      </c>
    </row>
    <row r="121" spans="1:9" ht="15.75">
      <c r="A121" s="4" t="s">
        <v>14</v>
      </c>
    </row>
    <row r="122" spans="1:9">
      <c r="A122" s="154" t="s">
        <v>15</v>
      </c>
      <c r="B122" s="154"/>
      <c r="C122" s="154"/>
      <c r="D122" s="154"/>
      <c r="E122" s="154"/>
      <c r="F122" s="154"/>
      <c r="G122" s="154"/>
      <c r="H122" s="154"/>
      <c r="I122" s="154"/>
    </row>
    <row r="123" spans="1:9" ht="45" customHeight="1">
      <c r="A123" s="151" t="s">
        <v>16</v>
      </c>
      <c r="B123" s="151"/>
      <c r="C123" s="151"/>
      <c r="D123" s="151"/>
      <c r="E123" s="151"/>
      <c r="F123" s="151"/>
      <c r="G123" s="151"/>
      <c r="H123" s="151"/>
      <c r="I123" s="151"/>
    </row>
    <row r="124" spans="1:9" ht="30" customHeight="1">
      <c r="A124" s="151" t="s">
        <v>17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30" customHeight="1">
      <c r="A125" s="151" t="s">
        <v>21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15" customHeight="1">
      <c r="A126" s="151" t="s">
        <v>20</v>
      </c>
      <c r="B126" s="151"/>
      <c r="C126" s="151"/>
      <c r="D126" s="151"/>
      <c r="E126" s="151"/>
      <c r="F126" s="151"/>
      <c r="G126" s="151"/>
      <c r="H126" s="151"/>
      <c r="I126" s="151"/>
    </row>
  </sheetData>
  <autoFilter ref="I12:I64"/>
  <mergeCells count="29">
    <mergeCell ref="A122:I122"/>
    <mergeCell ref="A123:I123"/>
    <mergeCell ref="A124:I124"/>
    <mergeCell ref="A125:I125"/>
    <mergeCell ref="A126:I126"/>
    <mergeCell ref="R69:U69"/>
    <mergeCell ref="C120:F120"/>
    <mergeCell ref="A98:I98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5"/>
  <sheetViews>
    <sheetView topLeftCell="A56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153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216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44286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197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76.5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95</v>
      </c>
      <c r="C20" s="82" t="s">
        <v>53</v>
      </c>
      <c r="D20" s="81" t="s">
        <v>94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96</v>
      </c>
      <c r="C21" s="82" t="s">
        <v>92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97</v>
      </c>
      <c r="C22" s="82" t="s">
        <v>92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98</v>
      </c>
      <c r="C23" s="82" t="s">
        <v>53</v>
      </c>
      <c r="D23" s="81" t="s">
        <v>94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99</v>
      </c>
      <c r="C24" s="82" t="s">
        <v>53</v>
      </c>
      <c r="D24" s="81" t="s">
        <v>94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100</v>
      </c>
      <c r="C25" s="82" t="s">
        <v>53</v>
      </c>
      <c r="D25" s="81" t="s">
        <v>94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140</v>
      </c>
      <c r="C26" s="82" t="s">
        <v>53</v>
      </c>
      <c r="D26" s="81" t="s">
        <v>94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hidden="1" customHeight="1">
      <c r="A27" s="42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77" t="s">
        <v>82</v>
      </c>
      <c r="B28" s="177"/>
      <c r="C28" s="177"/>
      <c r="D28" s="177"/>
      <c r="E28" s="177"/>
      <c r="F28" s="177"/>
      <c r="G28" s="177"/>
      <c r="H28" s="177"/>
      <c r="I28" s="177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101</v>
      </c>
      <c r="C30" s="82" t="s">
        <v>102</v>
      </c>
      <c r="D30" s="81" t="s">
        <v>103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104</v>
      </c>
      <c r="C31" s="82" t="s">
        <v>102</v>
      </c>
      <c r="D31" s="81" t="s">
        <v>105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102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106</v>
      </c>
      <c r="C33" s="82" t="s">
        <v>40</v>
      </c>
      <c r="D33" s="81" t="s">
        <v>63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107</v>
      </c>
      <c r="C34" s="82" t="s">
        <v>29</v>
      </c>
      <c r="D34" s="81" t="s">
        <v>63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customHeight="1">
      <c r="A38" s="35">
        <v>4</v>
      </c>
      <c r="B38" s="81" t="s">
        <v>25</v>
      </c>
      <c r="C38" s="82" t="s">
        <v>31</v>
      </c>
      <c r="D38" s="81" t="s">
        <v>217</v>
      </c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G38*1.5</f>
        <v>2850.5549999999998</v>
      </c>
      <c r="J38" s="25"/>
    </row>
    <row r="39" spans="1:14" ht="15.75" customHeight="1">
      <c r="A39" s="35">
        <v>5</v>
      </c>
      <c r="B39" s="81" t="s">
        <v>67</v>
      </c>
      <c r="C39" s="82" t="s">
        <v>28</v>
      </c>
      <c r="D39" s="81" t="s">
        <v>175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6</v>
      </c>
      <c r="B40" s="81" t="s">
        <v>68</v>
      </c>
      <c r="C40" s="82" t="s">
        <v>28</v>
      </c>
      <c r="D40" s="81" t="s">
        <v>176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7</v>
      </c>
      <c r="B41" s="81" t="s">
        <v>81</v>
      </c>
      <c r="C41" s="82" t="s">
        <v>102</v>
      </c>
      <c r="D41" s="81" t="s">
        <v>177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customHeight="1">
      <c r="A42" s="35">
        <v>8</v>
      </c>
      <c r="B42" s="81" t="s">
        <v>111</v>
      </c>
      <c r="C42" s="82" t="s">
        <v>102</v>
      </c>
      <c r="D42" s="81" t="s">
        <v>173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G42*F42/20*2</f>
        <v>36.487980000000007</v>
      </c>
      <c r="J42" s="25"/>
      <c r="L42" s="21"/>
      <c r="M42" s="22"/>
      <c r="N42" s="23"/>
    </row>
    <row r="43" spans="1:14" ht="15.75" customHeight="1">
      <c r="A43" s="35">
        <v>9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G43*F43/20*2</f>
        <v>49.648499999999999</v>
      </c>
      <c r="J43" s="25"/>
      <c r="L43" s="21"/>
      <c r="M43" s="22"/>
      <c r="N43" s="23"/>
    </row>
    <row r="44" spans="1:14" ht="15.75" hidden="1" customHeight="1">
      <c r="A44" s="162" t="s">
        <v>145</v>
      </c>
      <c r="B44" s="163"/>
      <c r="C44" s="163"/>
      <c r="D44" s="163"/>
      <c r="E44" s="163"/>
      <c r="F44" s="163"/>
      <c r="G44" s="163"/>
      <c r="H44" s="163"/>
      <c r="I44" s="164"/>
      <c r="J44" s="25"/>
      <c r="L44" s="21"/>
      <c r="M44" s="22"/>
      <c r="N44" s="23"/>
    </row>
    <row r="45" spans="1:14" ht="15.75" hidden="1" customHeight="1">
      <c r="A45" s="42">
        <v>15</v>
      </c>
      <c r="B45" s="81" t="s">
        <v>113</v>
      </c>
      <c r="C45" s="82" t="s">
        <v>102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15.75" hidden="1" customHeight="1">
      <c r="A46" s="42"/>
      <c r="B46" s="81" t="s">
        <v>35</v>
      </c>
      <c r="C46" s="82" t="s">
        <v>102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15.75" hidden="1" customHeight="1">
      <c r="A47" s="42">
        <v>16</v>
      </c>
      <c r="B47" s="81" t="s">
        <v>36</v>
      </c>
      <c r="C47" s="82" t="s">
        <v>102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15.75" hidden="1" customHeight="1">
      <c r="A48" s="42">
        <v>17</v>
      </c>
      <c r="B48" s="81" t="s">
        <v>37</v>
      </c>
      <c r="C48" s="82" t="s">
        <v>102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15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15.75" hidden="1" customHeight="1">
      <c r="A50" s="42">
        <v>12</v>
      </c>
      <c r="B50" s="81" t="s">
        <v>56</v>
      </c>
      <c r="C50" s="82" t="s">
        <v>102</v>
      </c>
      <c r="D50" s="81" t="s">
        <v>142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hidden="1" customHeight="1">
      <c r="A51" s="42">
        <v>13</v>
      </c>
      <c r="B51" s="81" t="s">
        <v>114</v>
      </c>
      <c r="C51" s="82" t="s">
        <v>102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v>0</v>
      </c>
      <c r="J51" s="25"/>
      <c r="L51" s="21"/>
      <c r="M51" s="22"/>
      <c r="N51" s="23"/>
    </row>
    <row r="52" spans="1:14" ht="31.5" hidden="1" customHeight="1">
      <c r="A52" s="42">
        <v>14</v>
      </c>
      <c r="B52" s="81" t="s">
        <v>115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v>0</v>
      </c>
      <c r="J52" s="25"/>
      <c r="L52" s="21"/>
      <c r="M52" s="22"/>
      <c r="N52" s="23"/>
    </row>
    <row r="53" spans="1:14" ht="15.75" hidden="1" customHeight="1">
      <c r="A53" s="42">
        <v>15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v>0</v>
      </c>
      <c r="J53" s="25"/>
      <c r="L53" s="21"/>
      <c r="M53" s="22"/>
      <c r="N53" s="23"/>
    </row>
    <row r="54" spans="1:14" ht="15.75" hidden="1" customHeight="1">
      <c r="A54" s="42">
        <v>13</v>
      </c>
      <c r="B54" s="81" t="s">
        <v>141</v>
      </c>
      <c r="C54" s="82" t="s">
        <v>29</v>
      </c>
      <c r="D54" s="81" t="s">
        <v>70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hidden="1" customHeight="1">
      <c r="A55" s="42">
        <v>14</v>
      </c>
      <c r="B55" s="81" t="s">
        <v>41</v>
      </c>
      <c r="C55" s="82" t="s">
        <v>29</v>
      </c>
      <c r="D55" s="81" t="s">
        <v>70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62" t="s">
        <v>154</v>
      </c>
      <c r="B56" s="163"/>
      <c r="C56" s="163"/>
      <c r="D56" s="163"/>
      <c r="E56" s="163"/>
      <c r="F56" s="163"/>
      <c r="G56" s="163"/>
      <c r="H56" s="163"/>
      <c r="I56" s="164"/>
      <c r="J56" s="25"/>
      <c r="L56" s="21"/>
      <c r="M56" s="22"/>
      <c r="N56" s="23"/>
    </row>
    <row r="57" spans="1:14" ht="15.75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customHeight="1">
      <c r="A58" s="42">
        <v>10</v>
      </c>
      <c r="B58" s="81" t="s">
        <v>149</v>
      </c>
      <c r="C58" s="82" t="s">
        <v>92</v>
      </c>
      <c r="D58" s="81"/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G58*0.09</f>
        <v>207.59579999999997</v>
      </c>
      <c r="J58" s="25"/>
      <c r="L58" s="21"/>
      <c r="M58" s="22"/>
      <c r="N58" s="23"/>
    </row>
    <row r="59" spans="1:14" ht="15.75" hidden="1" customHeight="1">
      <c r="A59" s="42">
        <v>14</v>
      </c>
      <c r="B59" s="81" t="s">
        <v>85</v>
      </c>
      <c r="C59" s="82" t="s">
        <v>150</v>
      </c>
      <c r="D59" s="81" t="s">
        <v>66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G59*2</f>
        <v>3002</v>
      </c>
      <c r="J59" s="25"/>
      <c r="L59" s="21"/>
      <c r="M59" s="22"/>
      <c r="N59" s="23"/>
    </row>
    <row r="60" spans="1:14" ht="15.75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15.75" customHeight="1">
      <c r="A61" s="42">
        <v>11</v>
      </c>
      <c r="B61" s="91" t="s">
        <v>45</v>
      </c>
      <c r="C61" s="92" t="s">
        <v>53</v>
      </c>
      <c r="D61" s="91" t="s">
        <v>218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f>G61*F61</f>
        <v>4029.0408000000002</v>
      </c>
      <c r="J61" s="25"/>
      <c r="L61" s="21"/>
      <c r="M61" s="22"/>
      <c r="N61" s="23"/>
    </row>
    <row r="62" spans="1:14" ht="15.75" hidden="1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15.75" hidden="1" customHeight="1">
      <c r="A63" s="42">
        <v>13</v>
      </c>
      <c r="B63" s="16" t="s">
        <v>47</v>
      </c>
      <c r="C63" s="18" t="s">
        <v>116</v>
      </c>
      <c r="D63" s="16" t="s">
        <v>66</v>
      </c>
      <c r="E63" s="20">
        <v>10</v>
      </c>
      <c r="F63" s="84">
        <v>10</v>
      </c>
      <c r="G63" s="14">
        <v>276.74</v>
      </c>
      <c r="H63" s="97">
        <f t="shared" ref="H63:H70" si="6">SUM(F63*G63/1000)</f>
        <v>2.7674000000000003</v>
      </c>
      <c r="I63" s="14">
        <f>G63</f>
        <v>276.74</v>
      </c>
    </row>
    <row r="64" spans="1:14" ht="15.75" hidden="1" customHeight="1">
      <c r="A64" s="31">
        <v>29</v>
      </c>
      <c r="B64" s="16" t="s">
        <v>48</v>
      </c>
      <c r="C64" s="18" t="s">
        <v>116</v>
      </c>
      <c r="D64" s="16" t="s">
        <v>66</v>
      </c>
      <c r="E64" s="20">
        <v>3</v>
      </c>
      <c r="F64" s="84">
        <v>3</v>
      </c>
      <c r="G64" s="14">
        <v>94.89</v>
      </c>
      <c r="H64" s="97">
        <f t="shared" si="6"/>
        <v>0.28467000000000003</v>
      </c>
      <c r="I64" s="14">
        <v>0</v>
      </c>
    </row>
    <row r="65" spans="1:22" ht="15.75" hidden="1" customHeight="1">
      <c r="A65" s="31">
        <v>8</v>
      </c>
      <c r="B65" s="16" t="s">
        <v>49</v>
      </c>
      <c r="C65" s="18" t="s">
        <v>117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6"/>
        <v>19.820369200000002</v>
      </c>
      <c r="I65" s="14">
        <v>0</v>
      </c>
    </row>
    <row r="66" spans="1:22" ht="15.75" hidden="1" customHeight="1">
      <c r="A66" s="31">
        <v>9</v>
      </c>
      <c r="B66" s="16" t="s">
        <v>50</v>
      </c>
      <c r="C66" s="18" t="s">
        <v>118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6"/>
        <v>1.54341956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1">
        <v>10</v>
      </c>
      <c r="B67" s="16" t="s">
        <v>51</v>
      </c>
      <c r="C67" s="18" t="s">
        <v>76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6"/>
        <v>28.138677000000005</v>
      </c>
      <c r="I67" s="14">
        <v>0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1">
        <v>11</v>
      </c>
      <c r="B68" s="98" t="s">
        <v>119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6"/>
        <v>0.35113000000000005</v>
      </c>
      <c r="I68" s="14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31">
        <v>12</v>
      </c>
      <c r="B69" s="98" t="s">
        <v>151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6"/>
        <v>0.327598</v>
      </c>
      <c r="I69" s="14">
        <v>0</v>
      </c>
      <c r="J69" s="5"/>
      <c r="K69" s="5"/>
      <c r="L69" s="5"/>
      <c r="M69" s="5"/>
      <c r="N69" s="5"/>
      <c r="O69" s="5"/>
      <c r="P69" s="5"/>
      <c r="Q69" s="5"/>
      <c r="R69" s="153"/>
      <c r="S69" s="153"/>
      <c r="T69" s="153"/>
      <c r="U69" s="153"/>
    </row>
    <row r="70" spans="1:22" ht="15.75" hidden="1" customHeight="1">
      <c r="A70" s="31">
        <v>13</v>
      </c>
      <c r="B70" s="16" t="s">
        <v>57</v>
      </c>
      <c r="C70" s="18" t="s">
        <v>58</v>
      </c>
      <c r="D70" s="16" t="s">
        <v>54</v>
      </c>
      <c r="E70" s="20">
        <v>3</v>
      </c>
      <c r="F70" s="84">
        <f>SUM(E70)</f>
        <v>3</v>
      </c>
      <c r="G70" s="14">
        <v>62.07</v>
      </c>
      <c r="H70" s="97">
        <f t="shared" si="6"/>
        <v>0.18621000000000001</v>
      </c>
      <c r="I70" s="14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31"/>
      <c r="B71" s="143" t="s">
        <v>88</v>
      </c>
      <c r="C71" s="144"/>
      <c r="D71" s="145"/>
      <c r="E71" s="146"/>
      <c r="F71" s="147"/>
      <c r="G71" s="148"/>
      <c r="H71" s="141"/>
      <c r="I71" s="142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33" hidden="1" customHeight="1">
      <c r="A72" s="31">
        <v>11</v>
      </c>
      <c r="B72" s="145" t="s">
        <v>199</v>
      </c>
      <c r="C72" s="144" t="s">
        <v>200</v>
      </c>
      <c r="D72" s="145"/>
      <c r="E72" s="146">
        <v>1810.5</v>
      </c>
      <c r="F72" s="148">
        <f>E72*12</f>
        <v>21726</v>
      </c>
      <c r="G72" s="148">
        <v>2.4900000000000002</v>
      </c>
      <c r="H72" s="141"/>
      <c r="I72" s="142">
        <f>G72*F72/12</f>
        <v>4508.1450000000004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31"/>
      <c r="B73" s="50" t="s">
        <v>72</v>
      </c>
      <c r="C73" s="50"/>
      <c r="D73" s="50"/>
      <c r="E73" s="50"/>
      <c r="F73" s="20"/>
      <c r="G73" s="31"/>
      <c r="H73" s="31"/>
      <c r="I73" s="20"/>
    </row>
    <row r="74" spans="1:22" ht="15.75" hidden="1" customHeight="1">
      <c r="A74" s="31"/>
      <c r="B74" s="16" t="s">
        <v>122</v>
      </c>
      <c r="C74" s="18" t="s">
        <v>123</v>
      </c>
      <c r="D74" s="39" t="s">
        <v>66</v>
      </c>
      <c r="E74" s="20">
        <v>3</v>
      </c>
      <c r="F74" s="14">
        <v>3</v>
      </c>
      <c r="G74" s="14">
        <v>976.4</v>
      </c>
      <c r="H74" s="97">
        <f t="shared" ref="H74:H78" si="7">SUM(F74*G74/1000)</f>
        <v>2.9291999999999998</v>
      </c>
      <c r="I74" s="14">
        <v>0</v>
      </c>
    </row>
    <row r="75" spans="1:22" ht="15.75" hidden="1" customHeight="1">
      <c r="A75" s="31"/>
      <c r="B75" s="16" t="s">
        <v>124</v>
      </c>
      <c r="C75" s="18" t="s">
        <v>125</v>
      </c>
      <c r="D75" s="16"/>
      <c r="E75" s="20">
        <v>1</v>
      </c>
      <c r="F75" s="14">
        <v>1</v>
      </c>
      <c r="G75" s="14">
        <v>750</v>
      </c>
      <c r="H75" s="97">
        <f t="shared" si="7"/>
        <v>0.75</v>
      </c>
      <c r="I75" s="14">
        <v>0</v>
      </c>
    </row>
    <row r="76" spans="1:22" ht="15.75" hidden="1" customHeight="1">
      <c r="A76" s="31"/>
      <c r="B76" s="16" t="s">
        <v>73</v>
      </c>
      <c r="C76" s="18" t="s">
        <v>30</v>
      </c>
      <c r="D76" s="39" t="s">
        <v>66</v>
      </c>
      <c r="E76" s="20">
        <v>3</v>
      </c>
      <c r="F76" s="14">
        <f>E76/10</f>
        <v>0.3</v>
      </c>
      <c r="G76" s="14">
        <v>624.16999999999996</v>
      </c>
      <c r="H76" s="97">
        <f t="shared" si="7"/>
        <v>0.18725099999999997</v>
      </c>
      <c r="I76" s="14">
        <v>0</v>
      </c>
    </row>
    <row r="77" spans="1:22" ht="15.75" hidden="1" customHeight="1">
      <c r="A77" s="31"/>
      <c r="B77" s="16" t="s">
        <v>74</v>
      </c>
      <c r="C77" s="18" t="s">
        <v>29</v>
      </c>
      <c r="D77" s="39" t="s">
        <v>66</v>
      </c>
      <c r="E77" s="20">
        <v>1</v>
      </c>
      <c r="F77" s="14">
        <v>1</v>
      </c>
      <c r="G77" s="14">
        <v>1061.4100000000001</v>
      </c>
      <c r="H77" s="97">
        <f t="shared" si="7"/>
        <v>1.0614100000000002</v>
      </c>
      <c r="I77" s="14">
        <v>0</v>
      </c>
    </row>
    <row r="78" spans="1:22" ht="15.75" hidden="1" customHeight="1">
      <c r="A78" s="31">
        <v>17</v>
      </c>
      <c r="B78" s="16" t="s">
        <v>86</v>
      </c>
      <c r="C78" s="18" t="s">
        <v>29</v>
      </c>
      <c r="D78" s="39" t="s">
        <v>66</v>
      </c>
      <c r="E78" s="20">
        <v>1</v>
      </c>
      <c r="F78" s="84">
        <f>SUM(E78)</f>
        <v>1</v>
      </c>
      <c r="G78" s="14">
        <v>446.12</v>
      </c>
      <c r="H78" s="97">
        <f t="shared" si="7"/>
        <v>0.44612000000000002</v>
      </c>
      <c r="I78" s="14">
        <v>0</v>
      </c>
    </row>
    <row r="79" spans="1:22" ht="15.75" hidden="1" customHeight="1">
      <c r="A79" s="31"/>
      <c r="B79" s="51" t="s">
        <v>75</v>
      </c>
      <c r="C79" s="40"/>
      <c r="D79" s="31"/>
      <c r="E79" s="31"/>
      <c r="F79" s="20"/>
      <c r="G79" s="38"/>
      <c r="H79" s="38"/>
      <c r="I79" s="20"/>
    </row>
    <row r="80" spans="1:22" ht="15.75" hidden="1" customHeight="1">
      <c r="A80" s="31">
        <v>39</v>
      </c>
      <c r="B80" s="53" t="s">
        <v>126</v>
      </c>
      <c r="C80" s="18" t="s">
        <v>76</v>
      </c>
      <c r="D80" s="16"/>
      <c r="E80" s="20"/>
      <c r="F80" s="14">
        <v>1.35</v>
      </c>
      <c r="G80" s="14">
        <v>3433.68</v>
      </c>
      <c r="H80" s="97">
        <f t="shared" ref="H80" si="8">SUM(F80*G80/1000)</f>
        <v>4.6354679999999995</v>
      </c>
      <c r="I80" s="14">
        <v>0</v>
      </c>
    </row>
    <row r="81" spans="1:9" ht="15.75" hidden="1" customHeight="1">
      <c r="A81" s="31"/>
      <c r="B81" s="70" t="s">
        <v>88</v>
      </c>
      <c r="C81" s="64"/>
      <c r="D81" s="33"/>
      <c r="E81" s="33"/>
      <c r="F81" s="13"/>
      <c r="G81" s="38"/>
      <c r="H81" s="38"/>
      <c r="I81" s="20"/>
    </row>
    <row r="82" spans="1:9" ht="31.5" hidden="1" customHeight="1">
      <c r="A82" s="31"/>
      <c r="B82" s="16" t="s">
        <v>127</v>
      </c>
      <c r="C82" s="18" t="s">
        <v>87</v>
      </c>
      <c r="D82" s="16" t="s">
        <v>66</v>
      </c>
      <c r="E82" s="20">
        <v>6</v>
      </c>
      <c r="F82" s="14">
        <f>E82</f>
        <v>6</v>
      </c>
      <c r="G82" s="14">
        <v>297.44</v>
      </c>
      <c r="H82" s="97">
        <f t="shared" ref="H82:H91" si="9">SUM(F82*G82/1000)</f>
        <v>1.7846399999999998</v>
      </c>
      <c r="I82" s="14">
        <v>0</v>
      </c>
    </row>
    <row r="83" spans="1:9" ht="15.75" hidden="1" customHeight="1">
      <c r="A83" s="31"/>
      <c r="B83" s="16" t="s">
        <v>128</v>
      </c>
      <c r="C83" s="18" t="s">
        <v>80</v>
      </c>
      <c r="D83" s="16" t="s">
        <v>66</v>
      </c>
      <c r="E83" s="20">
        <v>12</v>
      </c>
      <c r="F83" s="14">
        <f>E83</f>
        <v>12</v>
      </c>
      <c r="G83" s="14">
        <v>122.35</v>
      </c>
      <c r="H83" s="97">
        <f t="shared" si="9"/>
        <v>1.4681999999999997</v>
      </c>
      <c r="I83" s="14">
        <v>0</v>
      </c>
    </row>
    <row r="84" spans="1:9" ht="15.75" hidden="1" customHeight="1">
      <c r="A84" s="31"/>
      <c r="B84" s="16" t="s">
        <v>129</v>
      </c>
      <c r="C84" s="18" t="s">
        <v>130</v>
      </c>
      <c r="D84" s="16" t="s">
        <v>66</v>
      </c>
      <c r="E84" s="20">
        <v>9</v>
      </c>
      <c r="F84" s="14">
        <f>E84/3</f>
        <v>3</v>
      </c>
      <c r="G84" s="14">
        <v>1063.47</v>
      </c>
      <c r="H84" s="97">
        <f t="shared" si="9"/>
        <v>3.19041</v>
      </c>
      <c r="I84" s="14">
        <v>0</v>
      </c>
    </row>
    <row r="85" spans="1:9" ht="31.5" hidden="1" customHeight="1">
      <c r="A85" s="31"/>
      <c r="B85" s="16" t="s">
        <v>131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1564.44</v>
      </c>
      <c r="H85" s="97">
        <f t="shared" si="9"/>
        <v>9.3866399999999999</v>
      </c>
      <c r="I85" s="14">
        <v>0</v>
      </c>
    </row>
    <row r="86" spans="1:9" ht="31.5" hidden="1" customHeight="1">
      <c r="A86" s="31"/>
      <c r="B86" s="16" t="s">
        <v>132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1906.89</v>
      </c>
      <c r="H86" s="97">
        <f t="shared" si="9"/>
        <v>11.44134</v>
      </c>
      <c r="I86" s="14">
        <v>0</v>
      </c>
    </row>
    <row r="87" spans="1:9" ht="31.5" hidden="1" customHeight="1">
      <c r="A87" s="31"/>
      <c r="B87" s="16" t="s">
        <v>133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664.35</v>
      </c>
      <c r="H87" s="97">
        <f t="shared" si="9"/>
        <v>3.9861000000000004</v>
      </c>
      <c r="I87" s="14">
        <v>0</v>
      </c>
    </row>
    <row r="88" spans="1:9" ht="31.5" hidden="1" customHeight="1">
      <c r="A88" s="31"/>
      <c r="B88" s="16" t="s">
        <v>134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778.85</v>
      </c>
      <c r="H88" s="97">
        <f t="shared" si="9"/>
        <v>4.6731000000000007</v>
      </c>
      <c r="I88" s="14">
        <v>0</v>
      </c>
    </row>
    <row r="89" spans="1:9" ht="15.75" hidden="1" customHeight="1">
      <c r="A89" s="31"/>
      <c r="B89" s="16" t="s">
        <v>135</v>
      </c>
      <c r="C89" s="18" t="s">
        <v>123</v>
      </c>
      <c r="D89" s="16" t="s">
        <v>66</v>
      </c>
      <c r="E89" s="20">
        <v>3</v>
      </c>
      <c r="F89" s="14">
        <v>3</v>
      </c>
      <c r="G89" s="14">
        <v>498.11</v>
      </c>
      <c r="H89" s="97">
        <f t="shared" si="9"/>
        <v>1.4943299999999999</v>
      </c>
      <c r="I89" s="14">
        <v>0</v>
      </c>
    </row>
    <row r="90" spans="1:9" ht="31.5" hidden="1" customHeight="1">
      <c r="A90" s="31"/>
      <c r="B90" s="16" t="s">
        <v>136</v>
      </c>
      <c r="C90" s="18" t="s">
        <v>80</v>
      </c>
      <c r="D90" s="16" t="s">
        <v>66</v>
      </c>
      <c r="E90" s="20">
        <v>6</v>
      </c>
      <c r="F90" s="14">
        <f>E90</f>
        <v>6</v>
      </c>
      <c r="G90" s="14">
        <v>1264.3399999999999</v>
      </c>
      <c r="H90" s="97">
        <f t="shared" si="9"/>
        <v>7.5860399999999988</v>
      </c>
      <c r="I90" s="14">
        <v>0</v>
      </c>
    </row>
    <row r="91" spans="1:9" ht="15.75" hidden="1" customHeight="1">
      <c r="A91" s="31"/>
      <c r="B91" s="16" t="s">
        <v>137</v>
      </c>
      <c r="C91" s="18" t="s">
        <v>28</v>
      </c>
      <c r="D91" s="16" t="s">
        <v>42</v>
      </c>
      <c r="E91" s="20">
        <v>823</v>
      </c>
      <c r="F91" s="14">
        <f>E91*2/1000</f>
        <v>1.6459999999999999</v>
      </c>
      <c r="G91" s="14">
        <v>1707.71</v>
      </c>
      <c r="H91" s="97">
        <f t="shared" si="9"/>
        <v>2.8108906600000001</v>
      </c>
      <c r="I91" s="14">
        <v>0</v>
      </c>
    </row>
    <row r="92" spans="1:9" ht="15.75" hidden="1" customHeight="1">
      <c r="A92" s="54"/>
      <c r="B92" s="70" t="s">
        <v>120</v>
      </c>
      <c r="C92" s="70"/>
      <c r="D92" s="70"/>
      <c r="E92" s="70"/>
      <c r="F92" s="70"/>
      <c r="G92" s="70"/>
      <c r="H92" s="70"/>
      <c r="I92" s="20"/>
    </row>
    <row r="93" spans="1:9" ht="15.75" hidden="1" customHeight="1">
      <c r="A93" s="31">
        <v>15</v>
      </c>
      <c r="B93" s="81" t="s">
        <v>121</v>
      </c>
      <c r="C93" s="18"/>
      <c r="D93" s="16"/>
      <c r="E93" s="20"/>
      <c r="F93" s="14">
        <v>1</v>
      </c>
      <c r="G93" s="14">
        <v>14087.8</v>
      </c>
      <c r="H93" s="97">
        <f>G93*F93/1000</f>
        <v>14.0878</v>
      </c>
      <c r="I93" s="14">
        <f>G93</f>
        <v>14087.8</v>
      </c>
    </row>
    <row r="94" spans="1:9" ht="15.75" customHeight="1">
      <c r="A94" s="170" t="s">
        <v>155</v>
      </c>
      <c r="B94" s="171"/>
      <c r="C94" s="171"/>
      <c r="D94" s="171"/>
      <c r="E94" s="171"/>
      <c r="F94" s="171"/>
      <c r="G94" s="171"/>
      <c r="H94" s="171"/>
      <c r="I94" s="172"/>
    </row>
    <row r="95" spans="1:9" ht="15.75" customHeight="1">
      <c r="A95" s="31">
        <v>12</v>
      </c>
      <c r="B95" s="81" t="s">
        <v>138</v>
      </c>
      <c r="C95" s="18" t="s">
        <v>55</v>
      </c>
      <c r="D95" s="99"/>
      <c r="E95" s="14">
        <v>1810.5</v>
      </c>
      <c r="F95" s="14">
        <f>SUM(E95*12)</f>
        <v>21726</v>
      </c>
      <c r="G95" s="14">
        <v>2.95</v>
      </c>
      <c r="H95" s="97">
        <f>SUM(F95*G95/1000)</f>
        <v>64.091700000000003</v>
      </c>
      <c r="I95" s="14">
        <f>F95/12*G95</f>
        <v>5340.9750000000004</v>
      </c>
    </row>
    <row r="96" spans="1:9" ht="31.5" customHeight="1">
      <c r="A96" s="31">
        <v>13</v>
      </c>
      <c r="B96" s="16" t="s">
        <v>77</v>
      </c>
      <c r="C96" s="18" t="s">
        <v>55</v>
      </c>
      <c r="D96" s="99"/>
      <c r="E96" s="83">
        <v>1810.5</v>
      </c>
      <c r="F96" s="14">
        <f>E96*12</f>
        <v>21726</v>
      </c>
      <c r="G96" s="14">
        <v>3.05</v>
      </c>
      <c r="H96" s="97">
        <f>F96*G96/1000</f>
        <v>66.264300000000006</v>
      </c>
      <c r="I96" s="14">
        <f>F96/12*G96</f>
        <v>5522.0249999999996</v>
      </c>
    </row>
    <row r="97" spans="1:9" ht="15.75" customHeight="1">
      <c r="A97" s="54"/>
      <c r="B97" s="41" t="s">
        <v>79</v>
      </c>
      <c r="C97" s="42"/>
      <c r="D97" s="17"/>
      <c r="E97" s="17"/>
      <c r="F97" s="17"/>
      <c r="G97" s="20"/>
      <c r="H97" s="20"/>
      <c r="I97" s="34">
        <f>I96+I95+I61+I58+I43+I42+I41+I40+I39+I38+I18+I17+I16</f>
        <v>25943.101023333336</v>
      </c>
    </row>
    <row r="98" spans="1:9" ht="15.75" customHeight="1">
      <c r="A98" s="173" t="s">
        <v>60</v>
      </c>
      <c r="B98" s="174"/>
      <c r="C98" s="174"/>
      <c r="D98" s="174"/>
      <c r="E98" s="174"/>
      <c r="F98" s="174"/>
      <c r="G98" s="174"/>
      <c r="H98" s="174"/>
      <c r="I98" s="175"/>
    </row>
    <row r="99" spans="1:9" ht="15.75" customHeight="1">
      <c r="A99" s="31">
        <v>14</v>
      </c>
      <c r="B99" s="91" t="s">
        <v>165</v>
      </c>
      <c r="C99" s="92" t="s">
        <v>166</v>
      </c>
      <c r="D99" s="91"/>
      <c r="E99" s="93"/>
      <c r="F99" s="94">
        <v>24</v>
      </c>
      <c r="G99" s="103">
        <v>1.4</v>
      </c>
      <c r="H99" s="96">
        <f>F99*G99/1000</f>
        <v>3.3599999999999991E-2</v>
      </c>
      <c r="I99" s="104">
        <f>G99*12</f>
        <v>16.799999999999997</v>
      </c>
    </row>
    <row r="100" spans="1:9" ht="31.5" customHeight="1">
      <c r="A100" s="31">
        <v>15</v>
      </c>
      <c r="B100" s="128" t="s">
        <v>170</v>
      </c>
      <c r="C100" s="129" t="s">
        <v>28</v>
      </c>
      <c r="D100" s="53"/>
      <c r="E100" s="14"/>
      <c r="F100" s="14">
        <v>1</v>
      </c>
      <c r="G100" s="106">
        <v>21369.24</v>
      </c>
      <c r="H100" s="97">
        <f t="shared" ref="H100" si="10">G100*F100/1000</f>
        <v>21.369240000000001</v>
      </c>
      <c r="I100" s="14">
        <f>G100*0.599*6/1000</f>
        <v>76.801048559999998</v>
      </c>
    </row>
    <row r="101" spans="1:9" ht="17.25" customHeight="1">
      <c r="A101" s="31">
        <v>16</v>
      </c>
      <c r="B101" s="128" t="s">
        <v>219</v>
      </c>
      <c r="C101" s="129" t="s">
        <v>40</v>
      </c>
      <c r="D101" s="16" t="s">
        <v>173</v>
      </c>
      <c r="E101" s="20"/>
      <c r="F101" s="14">
        <v>0.02</v>
      </c>
      <c r="G101" s="14">
        <v>28224.75</v>
      </c>
      <c r="H101" s="97"/>
      <c r="I101" s="104">
        <v>0</v>
      </c>
    </row>
    <row r="102" spans="1:9" ht="15.75" customHeight="1">
      <c r="A102" s="31"/>
      <c r="B102" s="47" t="s">
        <v>52</v>
      </c>
      <c r="C102" s="43"/>
      <c r="D102" s="55"/>
      <c r="E102" s="55"/>
      <c r="F102" s="43">
        <v>1</v>
      </c>
      <c r="G102" s="43"/>
      <c r="H102" s="43"/>
      <c r="I102" s="34">
        <f>SUM(I99:I101)</f>
        <v>93.601048559999995</v>
      </c>
    </row>
    <row r="103" spans="1:9" ht="15.75" customHeight="1">
      <c r="A103" s="31"/>
      <c r="B103" s="53" t="s">
        <v>78</v>
      </c>
      <c r="C103" s="17"/>
      <c r="D103" s="17"/>
      <c r="E103" s="17"/>
      <c r="F103" s="44"/>
      <c r="G103" s="45"/>
      <c r="H103" s="45"/>
      <c r="I103" s="19">
        <v>0</v>
      </c>
    </row>
    <row r="104" spans="1:9" ht="15.75" customHeight="1">
      <c r="A104" s="56"/>
      <c r="B104" s="48" t="s">
        <v>148</v>
      </c>
      <c r="C104" s="36"/>
      <c r="D104" s="36"/>
      <c r="E104" s="36"/>
      <c r="F104" s="36"/>
      <c r="G104" s="36"/>
      <c r="H104" s="36"/>
      <c r="I104" s="46">
        <f>I97+I102</f>
        <v>26036.702071893338</v>
      </c>
    </row>
    <row r="105" spans="1:9" ht="15.75">
      <c r="A105" s="159" t="s">
        <v>220</v>
      </c>
      <c r="B105" s="159"/>
      <c r="C105" s="159"/>
      <c r="D105" s="159"/>
      <c r="E105" s="159"/>
      <c r="F105" s="159"/>
      <c r="G105" s="159"/>
      <c r="H105" s="159"/>
      <c r="I105" s="159"/>
    </row>
    <row r="106" spans="1:9" ht="15.75">
      <c r="A106" s="72"/>
      <c r="B106" s="160" t="s">
        <v>221</v>
      </c>
      <c r="C106" s="160"/>
      <c r="D106" s="160"/>
      <c r="E106" s="160"/>
      <c r="F106" s="160"/>
      <c r="G106" s="160"/>
      <c r="H106" s="79"/>
      <c r="I106" s="3"/>
    </row>
    <row r="107" spans="1:9">
      <c r="A107" s="68"/>
      <c r="B107" s="158" t="s">
        <v>6</v>
      </c>
      <c r="C107" s="158"/>
      <c r="D107" s="158"/>
      <c r="E107" s="158"/>
      <c r="F107" s="158"/>
      <c r="G107" s="158"/>
      <c r="H107" s="26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61" t="s">
        <v>7</v>
      </c>
      <c r="B109" s="161"/>
      <c r="C109" s="161"/>
      <c r="D109" s="161"/>
      <c r="E109" s="161"/>
      <c r="F109" s="161"/>
      <c r="G109" s="161"/>
      <c r="H109" s="161"/>
      <c r="I109" s="161"/>
    </row>
    <row r="110" spans="1:9" ht="15.75">
      <c r="A110" s="161" t="s">
        <v>8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55" t="s">
        <v>61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15.75">
      <c r="A112" s="11"/>
    </row>
    <row r="113" spans="1:9" ht="15.75">
      <c r="A113" s="156" t="s">
        <v>9</v>
      </c>
      <c r="B113" s="156"/>
      <c r="C113" s="156"/>
      <c r="D113" s="156"/>
      <c r="E113" s="156"/>
      <c r="F113" s="156"/>
      <c r="G113" s="156"/>
      <c r="H113" s="156"/>
      <c r="I113" s="156"/>
    </row>
    <row r="114" spans="1:9" ht="15.75">
      <c r="A114" s="4"/>
    </row>
    <row r="115" spans="1:9" ht="15.75">
      <c r="B115" s="69" t="s">
        <v>10</v>
      </c>
      <c r="C115" s="157" t="s">
        <v>196</v>
      </c>
      <c r="D115" s="157"/>
      <c r="E115" s="157"/>
      <c r="F115" s="157"/>
      <c r="I115" s="67"/>
    </row>
    <row r="116" spans="1:9">
      <c r="A116" s="68"/>
      <c r="C116" s="158" t="s">
        <v>11</v>
      </c>
      <c r="D116" s="158"/>
      <c r="E116" s="158"/>
      <c r="F116" s="158"/>
      <c r="I116" s="66" t="s">
        <v>12</v>
      </c>
    </row>
    <row r="117" spans="1:9" ht="15.75">
      <c r="A117" s="27"/>
      <c r="C117" s="12"/>
      <c r="D117" s="12"/>
      <c r="E117" s="12"/>
      <c r="G117" s="12"/>
      <c r="H117" s="12"/>
    </row>
    <row r="118" spans="1:9" ht="15.75">
      <c r="B118" s="69" t="s">
        <v>13</v>
      </c>
      <c r="C118" s="152"/>
      <c r="D118" s="152"/>
      <c r="E118" s="152"/>
      <c r="F118" s="152"/>
      <c r="I118" s="67"/>
    </row>
    <row r="119" spans="1:9">
      <c r="A119" s="68"/>
      <c r="C119" s="153" t="s">
        <v>11</v>
      </c>
      <c r="D119" s="153"/>
      <c r="E119" s="153"/>
      <c r="F119" s="153"/>
      <c r="I119" s="66" t="s">
        <v>12</v>
      </c>
    </row>
    <row r="120" spans="1:9" ht="15.75">
      <c r="A120" s="4" t="s">
        <v>14</v>
      </c>
    </row>
    <row r="121" spans="1:9">
      <c r="A121" s="154" t="s">
        <v>15</v>
      </c>
      <c r="B121" s="154"/>
      <c r="C121" s="154"/>
      <c r="D121" s="154"/>
      <c r="E121" s="154"/>
      <c r="F121" s="154"/>
      <c r="G121" s="154"/>
      <c r="H121" s="154"/>
      <c r="I121" s="154"/>
    </row>
    <row r="122" spans="1:9" ht="45" customHeight="1">
      <c r="A122" s="151" t="s">
        <v>16</v>
      </c>
      <c r="B122" s="151"/>
      <c r="C122" s="151"/>
      <c r="D122" s="151"/>
      <c r="E122" s="151"/>
      <c r="F122" s="151"/>
      <c r="G122" s="151"/>
      <c r="H122" s="151"/>
      <c r="I122" s="151"/>
    </row>
    <row r="123" spans="1:9" ht="30" customHeight="1">
      <c r="A123" s="151" t="s">
        <v>17</v>
      </c>
      <c r="B123" s="151"/>
      <c r="C123" s="151"/>
      <c r="D123" s="151"/>
      <c r="E123" s="151"/>
      <c r="F123" s="151"/>
      <c r="G123" s="151"/>
      <c r="H123" s="151"/>
      <c r="I123" s="151"/>
    </row>
    <row r="124" spans="1:9" ht="30" customHeight="1">
      <c r="A124" s="151" t="s">
        <v>21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15" customHeight="1">
      <c r="A125" s="151" t="s">
        <v>20</v>
      </c>
      <c r="B125" s="151"/>
      <c r="C125" s="151"/>
      <c r="D125" s="151"/>
      <c r="E125" s="151"/>
      <c r="F125" s="151"/>
      <c r="G125" s="151"/>
      <c r="H125" s="151"/>
      <c r="I125" s="151"/>
    </row>
  </sheetData>
  <autoFilter ref="I12:I64"/>
  <mergeCells count="29">
    <mergeCell ref="A121:I121"/>
    <mergeCell ref="A122:I122"/>
    <mergeCell ref="A123:I123"/>
    <mergeCell ref="A124:I124"/>
    <mergeCell ref="A125:I125"/>
    <mergeCell ref="R69:U69"/>
    <mergeCell ref="C119:F119"/>
    <mergeCell ref="A98:I98"/>
    <mergeCell ref="A105:I105"/>
    <mergeCell ref="B106:G106"/>
    <mergeCell ref="B107:G107"/>
    <mergeCell ref="A109:I109"/>
    <mergeCell ref="A110:I110"/>
    <mergeCell ref="A111:I111"/>
    <mergeCell ref="A113:I113"/>
    <mergeCell ref="C115:F115"/>
    <mergeCell ref="C116:F116"/>
    <mergeCell ref="C118:F118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9"/>
  <sheetViews>
    <sheetView topLeftCell="A28" workbookViewId="0">
      <selection activeCell="G121" sqref="G121"/>
    </sheetView>
  </sheetViews>
  <sheetFormatPr defaultRowHeight="15"/>
  <cols>
    <col min="1" max="1" width="7.5703125" customWidth="1"/>
    <col min="2" max="2" width="53.140625" customWidth="1"/>
    <col min="3" max="3" width="17.5703125" customWidth="1"/>
    <col min="4" max="4" width="18.140625" customWidth="1"/>
    <col min="5" max="5" width="18.140625" hidden="1" customWidth="1"/>
    <col min="6" max="6" width="7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156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222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44316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197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57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95</v>
      </c>
      <c r="C20" s="82" t="s">
        <v>53</v>
      </c>
      <c r="D20" s="81" t="s">
        <v>94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96</v>
      </c>
      <c r="C21" s="82" t="s">
        <v>92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97</v>
      </c>
      <c r="C22" s="82" t="s">
        <v>92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98</v>
      </c>
      <c r="C23" s="82" t="s">
        <v>53</v>
      </c>
      <c r="D23" s="81" t="s">
        <v>94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99</v>
      </c>
      <c r="C24" s="82" t="s">
        <v>53</v>
      </c>
      <c r="D24" s="81" t="s">
        <v>94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100</v>
      </c>
      <c r="C25" s="82" t="s">
        <v>53</v>
      </c>
      <c r="D25" s="81" t="s">
        <v>94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140</v>
      </c>
      <c r="C26" s="82" t="s">
        <v>53</v>
      </c>
      <c r="D26" s="81" t="s">
        <v>94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hidden="1" customHeight="1">
      <c r="A27" s="42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77" t="s">
        <v>82</v>
      </c>
      <c r="B28" s="177"/>
      <c r="C28" s="177"/>
      <c r="D28" s="177"/>
      <c r="E28" s="177"/>
      <c r="F28" s="177"/>
      <c r="G28" s="177"/>
      <c r="H28" s="177"/>
      <c r="I28" s="177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101</v>
      </c>
      <c r="C30" s="82" t="s">
        <v>102</v>
      </c>
      <c r="D30" s="81" t="s">
        <v>103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104</v>
      </c>
      <c r="C31" s="82" t="s">
        <v>102</v>
      </c>
      <c r="D31" s="81" t="s">
        <v>105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102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106</v>
      </c>
      <c r="C33" s="82" t="s">
        <v>40</v>
      </c>
      <c r="D33" s="81" t="s">
        <v>63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107</v>
      </c>
      <c r="C34" s="82" t="s">
        <v>29</v>
      </c>
      <c r="D34" s="81" t="s">
        <v>63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8.75" hidden="1" customHeight="1">
      <c r="A38" s="35">
        <v>5</v>
      </c>
      <c r="B38" s="81" t="s">
        <v>25</v>
      </c>
      <c r="C38" s="82" t="s">
        <v>31</v>
      </c>
      <c r="D38" s="81" t="s">
        <v>184</v>
      </c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G38*0.7</f>
        <v>1330.2589999999998</v>
      </c>
      <c r="J38" s="25"/>
    </row>
    <row r="39" spans="1:14" ht="15.75" customHeight="1">
      <c r="A39" s="35">
        <v>4</v>
      </c>
      <c r="B39" s="81" t="s">
        <v>67</v>
      </c>
      <c r="C39" s="82" t="s">
        <v>28</v>
      </c>
      <c r="D39" s="81" t="s">
        <v>175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5</v>
      </c>
      <c r="B40" s="81" t="s">
        <v>68</v>
      </c>
      <c r="C40" s="82" t="s">
        <v>28</v>
      </c>
      <c r="D40" s="81" t="s">
        <v>176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6</v>
      </c>
      <c r="B41" s="81" t="s">
        <v>81</v>
      </c>
      <c r="C41" s="82" t="s">
        <v>102</v>
      </c>
      <c r="D41" s="81" t="s">
        <v>177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hidden="1" customHeight="1">
      <c r="A42" s="35">
        <v>8</v>
      </c>
      <c r="B42" s="81" t="s">
        <v>111</v>
      </c>
      <c r="C42" s="82" t="s">
        <v>102</v>
      </c>
      <c r="D42" s="81" t="s">
        <v>178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F42/7.5*1.5*G42</f>
        <v>72.975960000000015</v>
      </c>
      <c r="J42" s="25"/>
      <c r="L42" s="21"/>
      <c r="M42" s="22"/>
      <c r="N42" s="23"/>
    </row>
    <row r="43" spans="1:14" ht="15.75" hidden="1" customHeight="1">
      <c r="A43" s="35">
        <v>9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F43/7.5*1.5*G43</f>
        <v>99.297000000000011</v>
      </c>
      <c r="J43" s="25"/>
      <c r="L43" s="21"/>
      <c r="M43" s="22"/>
      <c r="N43" s="23"/>
    </row>
    <row r="44" spans="1:14" ht="17.25" hidden="1" customHeight="1">
      <c r="A44" s="162" t="s">
        <v>145</v>
      </c>
      <c r="B44" s="163"/>
      <c r="C44" s="163"/>
      <c r="D44" s="163"/>
      <c r="E44" s="163"/>
      <c r="F44" s="163"/>
      <c r="G44" s="163"/>
      <c r="H44" s="163"/>
      <c r="I44" s="164"/>
      <c r="J44" s="25"/>
      <c r="L44" s="21"/>
      <c r="M44" s="22"/>
      <c r="N44" s="23"/>
    </row>
    <row r="45" spans="1:14" ht="30" hidden="1" customHeight="1">
      <c r="A45" s="42">
        <v>15</v>
      </c>
      <c r="B45" s="81" t="s">
        <v>113</v>
      </c>
      <c r="C45" s="82" t="s">
        <v>102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24" hidden="1" customHeight="1">
      <c r="A46" s="42"/>
      <c r="B46" s="81" t="s">
        <v>35</v>
      </c>
      <c r="C46" s="82" t="s">
        <v>102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28.5" hidden="1" customHeight="1">
      <c r="A47" s="42">
        <v>16</v>
      </c>
      <c r="B47" s="81" t="s">
        <v>36</v>
      </c>
      <c r="C47" s="82" t="s">
        <v>102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26.25" hidden="1" customHeight="1">
      <c r="A48" s="42">
        <v>17</v>
      </c>
      <c r="B48" s="81" t="s">
        <v>37</v>
      </c>
      <c r="C48" s="82" t="s">
        <v>102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27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29.25" hidden="1" customHeight="1">
      <c r="A50" s="42">
        <v>12</v>
      </c>
      <c r="B50" s="81" t="s">
        <v>56</v>
      </c>
      <c r="C50" s="82" t="s">
        <v>102</v>
      </c>
      <c r="D50" s="81" t="s">
        <v>142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6" hidden="1" customHeight="1">
      <c r="A51" s="42">
        <v>12</v>
      </c>
      <c r="B51" s="81" t="s">
        <v>114</v>
      </c>
      <c r="C51" s="82" t="s">
        <v>102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f>F51/2*G51</f>
        <v>1242.7793799999999</v>
      </c>
      <c r="J51" s="25"/>
      <c r="L51" s="21"/>
      <c r="M51" s="22"/>
      <c r="N51" s="23"/>
    </row>
    <row r="52" spans="1:14" ht="31.5" hidden="1" customHeight="1">
      <c r="A52" s="42">
        <v>13</v>
      </c>
      <c r="B52" s="81" t="s">
        <v>115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f>F52/2*G52</f>
        <v>346.536</v>
      </c>
      <c r="J52" s="25"/>
      <c r="L52" s="21"/>
      <c r="M52" s="22"/>
      <c r="N52" s="23"/>
    </row>
    <row r="53" spans="1:14" ht="19.5" hidden="1" customHeight="1">
      <c r="A53" s="42">
        <v>14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f>F53/2*G53</f>
        <v>70.331299999999999</v>
      </c>
      <c r="J53" s="25"/>
      <c r="L53" s="21"/>
      <c r="M53" s="22"/>
      <c r="N53" s="23"/>
    </row>
    <row r="54" spans="1:14" ht="19.5" hidden="1" customHeight="1">
      <c r="A54" s="42">
        <v>13</v>
      </c>
      <c r="B54" s="81" t="s">
        <v>141</v>
      </c>
      <c r="C54" s="82" t="s">
        <v>29</v>
      </c>
      <c r="D54" s="81" t="s">
        <v>70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21.75" hidden="1" customHeight="1">
      <c r="A55" s="42">
        <v>14</v>
      </c>
      <c r="B55" s="81" t="s">
        <v>41</v>
      </c>
      <c r="C55" s="82" t="s">
        <v>29</v>
      </c>
      <c r="D55" s="81" t="s">
        <v>70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62" t="s">
        <v>154</v>
      </c>
      <c r="B56" s="163"/>
      <c r="C56" s="163"/>
      <c r="D56" s="163"/>
      <c r="E56" s="163"/>
      <c r="F56" s="163"/>
      <c r="G56" s="163"/>
      <c r="H56" s="163"/>
      <c r="I56" s="164"/>
      <c r="J56" s="25"/>
      <c r="L56" s="21"/>
      <c r="M56" s="22"/>
      <c r="N56" s="23"/>
    </row>
    <row r="57" spans="1:14" ht="15.75" hidden="1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hidden="1" customHeight="1">
      <c r="A58" s="42">
        <v>9</v>
      </c>
      <c r="B58" s="81" t="s">
        <v>149</v>
      </c>
      <c r="C58" s="82" t="s">
        <v>92</v>
      </c>
      <c r="D58" s="81"/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G58*0.3433</f>
        <v>791.86264599999993</v>
      </c>
      <c r="J58" s="25"/>
      <c r="L58" s="21"/>
      <c r="M58" s="22"/>
      <c r="N58" s="23"/>
    </row>
    <row r="59" spans="1:14" ht="18.75" hidden="1" customHeight="1">
      <c r="A59" s="42"/>
      <c r="B59" s="132" t="s">
        <v>85</v>
      </c>
      <c r="C59" s="133" t="s">
        <v>150</v>
      </c>
      <c r="D59" s="132" t="s">
        <v>185</v>
      </c>
      <c r="E59" s="137"/>
      <c r="F59" s="135">
        <v>2</v>
      </c>
      <c r="G59" s="138">
        <v>1501</v>
      </c>
      <c r="H59" s="85"/>
      <c r="I59" s="14">
        <f>G59*1</f>
        <v>1501</v>
      </c>
      <c r="J59" s="25"/>
      <c r="L59" s="21"/>
      <c r="M59" s="22"/>
      <c r="N59" s="23"/>
    </row>
    <row r="60" spans="1:14" ht="15.75" hidden="1" customHeight="1">
      <c r="A60" s="42"/>
      <c r="B60" s="107" t="s">
        <v>46</v>
      </c>
      <c r="C60" s="82"/>
      <c r="D60" s="81"/>
      <c r="E60" s="83"/>
      <c r="F60" s="84">
        <v>2</v>
      </c>
      <c r="G60" s="90"/>
      <c r="H60" s="85">
        <f>F60*G60/1000</f>
        <v>0</v>
      </c>
      <c r="I60" s="14"/>
      <c r="J60" s="25"/>
      <c r="L60" s="21"/>
      <c r="M60" s="22"/>
      <c r="N60" s="23"/>
    </row>
    <row r="61" spans="1:14" ht="15.75" hidden="1" customHeight="1">
      <c r="A61" s="42"/>
      <c r="B61" s="70" t="s">
        <v>44</v>
      </c>
      <c r="C61" s="70"/>
      <c r="D61" s="70"/>
      <c r="E61" s="70"/>
      <c r="F61" s="70"/>
      <c r="G61" s="70"/>
      <c r="H61" s="70"/>
      <c r="I61" s="37"/>
      <c r="J61" s="25"/>
      <c r="L61" s="21"/>
      <c r="M61" s="22"/>
      <c r="N61" s="23"/>
    </row>
    <row r="62" spans="1:14" ht="15.75" hidden="1" customHeight="1">
      <c r="A62" s="42">
        <v>27</v>
      </c>
      <c r="B62" s="91" t="s">
        <v>45</v>
      </c>
      <c r="C62" s="92" t="s">
        <v>53</v>
      </c>
      <c r="D62" s="91" t="s">
        <v>54</v>
      </c>
      <c r="E62" s="93">
        <v>408</v>
      </c>
      <c r="F62" s="94">
        <f>E62/100</f>
        <v>4.08</v>
      </c>
      <c r="G62" s="95">
        <v>987.51</v>
      </c>
      <c r="H62" s="96">
        <f>G62*F62/1000</f>
        <v>4.0290408000000006</v>
      </c>
      <c r="I62" s="14">
        <v>0</v>
      </c>
      <c r="J62" s="25"/>
      <c r="L62" s="21"/>
      <c r="M62" s="22"/>
      <c r="N62" s="23"/>
    </row>
    <row r="63" spans="1:14" ht="15.75" hidden="1" customHeight="1">
      <c r="A63" s="42"/>
      <c r="B63" s="70" t="s">
        <v>46</v>
      </c>
      <c r="C63" s="18"/>
      <c r="D63" s="39"/>
      <c r="E63" s="39"/>
      <c r="F63" s="17"/>
      <c r="G63" s="31"/>
      <c r="H63" s="31"/>
      <c r="I63" s="20"/>
      <c r="J63" s="25"/>
      <c r="L63" s="21"/>
    </row>
    <row r="64" spans="1:14" ht="15.75" hidden="1" customHeight="1">
      <c r="A64" s="42">
        <v>17</v>
      </c>
      <c r="B64" s="16" t="s">
        <v>47</v>
      </c>
      <c r="C64" s="18" t="s">
        <v>116</v>
      </c>
      <c r="D64" s="16" t="s">
        <v>66</v>
      </c>
      <c r="E64" s="20">
        <v>10</v>
      </c>
      <c r="F64" s="84">
        <v>10</v>
      </c>
      <c r="G64" s="14">
        <v>276.74</v>
      </c>
      <c r="H64" s="97">
        <f t="shared" ref="H64:H71" si="6">SUM(F64*G64/1000)</f>
        <v>2.7674000000000003</v>
      </c>
      <c r="I64" s="14">
        <v>0</v>
      </c>
    </row>
    <row r="65" spans="1:22" ht="15.75" hidden="1" customHeight="1">
      <c r="A65" s="31">
        <v>29</v>
      </c>
      <c r="B65" s="16" t="s">
        <v>48</v>
      </c>
      <c r="C65" s="18" t="s">
        <v>116</v>
      </c>
      <c r="D65" s="16" t="s">
        <v>66</v>
      </c>
      <c r="E65" s="20">
        <v>3</v>
      </c>
      <c r="F65" s="84">
        <v>3</v>
      </c>
      <c r="G65" s="14">
        <v>94.89</v>
      </c>
      <c r="H65" s="97">
        <f t="shared" si="6"/>
        <v>0.28467000000000003</v>
      </c>
      <c r="I65" s="14">
        <v>0</v>
      </c>
    </row>
    <row r="66" spans="1:22" ht="15.75" hidden="1" customHeight="1">
      <c r="A66" s="31">
        <v>8</v>
      </c>
      <c r="B66" s="16" t="s">
        <v>49</v>
      </c>
      <c r="C66" s="18" t="s">
        <v>117</v>
      </c>
      <c r="D66" s="16" t="s">
        <v>54</v>
      </c>
      <c r="E66" s="83">
        <v>7508</v>
      </c>
      <c r="F66" s="14">
        <f>SUM(E66/100)</f>
        <v>75.08</v>
      </c>
      <c r="G66" s="14">
        <v>263.99</v>
      </c>
      <c r="H66" s="97">
        <f t="shared" si="6"/>
        <v>19.820369200000002</v>
      </c>
      <c r="I66" s="14">
        <v>0</v>
      </c>
    </row>
    <row r="67" spans="1:22" ht="15.75" hidden="1" customHeight="1">
      <c r="A67" s="31">
        <v>9</v>
      </c>
      <c r="B67" s="16" t="s">
        <v>50</v>
      </c>
      <c r="C67" s="18" t="s">
        <v>118</v>
      </c>
      <c r="D67" s="16" t="s">
        <v>54</v>
      </c>
      <c r="E67" s="83">
        <v>7508</v>
      </c>
      <c r="F67" s="14">
        <f>SUM(E67/1000)</f>
        <v>7.508</v>
      </c>
      <c r="G67" s="14">
        <v>205.57</v>
      </c>
      <c r="H67" s="97">
        <f t="shared" si="6"/>
        <v>1.54341956</v>
      </c>
      <c r="I67" s="14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1">
        <v>10</v>
      </c>
      <c r="B68" s="16" t="s">
        <v>51</v>
      </c>
      <c r="C68" s="18" t="s">
        <v>76</v>
      </c>
      <c r="D68" s="16" t="s">
        <v>54</v>
      </c>
      <c r="E68" s="83">
        <v>1090</v>
      </c>
      <c r="F68" s="14">
        <f>SUM(E68/100)</f>
        <v>10.9</v>
      </c>
      <c r="G68" s="14">
        <v>2581.5300000000002</v>
      </c>
      <c r="H68" s="97">
        <f t="shared" si="6"/>
        <v>28.138677000000005</v>
      </c>
      <c r="I68" s="14">
        <v>0</v>
      </c>
      <c r="J68" s="27"/>
      <c r="K68" s="27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1">
        <v>11</v>
      </c>
      <c r="B69" s="98" t="s">
        <v>119</v>
      </c>
      <c r="C69" s="18" t="s">
        <v>32</v>
      </c>
      <c r="D69" s="16"/>
      <c r="E69" s="83">
        <v>7.4</v>
      </c>
      <c r="F69" s="14">
        <f>SUM(E69)</f>
        <v>7.4</v>
      </c>
      <c r="G69" s="14">
        <v>47.45</v>
      </c>
      <c r="H69" s="97">
        <f t="shared" si="6"/>
        <v>0.35113000000000005</v>
      </c>
      <c r="I69" s="14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1">
        <v>12</v>
      </c>
      <c r="B70" s="98" t="s">
        <v>151</v>
      </c>
      <c r="C70" s="18" t="s">
        <v>32</v>
      </c>
      <c r="D70" s="16"/>
      <c r="E70" s="83">
        <v>7.4</v>
      </c>
      <c r="F70" s="14">
        <f>SUM(E70)</f>
        <v>7.4</v>
      </c>
      <c r="G70" s="14">
        <v>44.27</v>
      </c>
      <c r="H70" s="97">
        <f t="shared" si="6"/>
        <v>0.327598</v>
      </c>
      <c r="I70" s="14">
        <v>0</v>
      </c>
      <c r="J70" s="5"/>
      <c r="K70" s="5"/>
      <c r="L70" s="5"/>
      <c r="M70" s="5"/>
      <c r="N70" s="5"/>
      <c r="O70" s="5"/>
      <c r="P70" s="5"/>
      <c r="Q70" s="5"/>
      <c r="R70" s="153"/>
      <c r="S70" s="153"/>
      <c r="T70" s="153"/>
      <c r="U70" s="153"/>
    </row>
    <row r="71" spans="1:22" ht="15.75" hidden="1" customHeight="1">
      <c r="A71" s="31">
        <v>13</v>
      </c>
      <c r="B71" s="16" t="s">
        <v>57</v>
      </c>
      <c r="C71" s="18" t="s">
        <v>58</v>
      </c>
      <c r="D71" s="16" t="s">
        <v>54</v>
      </c>
      <c r="E71" s="20">
        <v>3</v>
      </c>
      <c r="F71" s="84">
        <f>SUM(E71)</f>
        <v>3</v>
      </c>
      <c r="G71" s="14">
        <v>62.07</v>
      </c>
      <c r="H71" s="97">
        <f t="shared" si="6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1"/>
      <c r="B72" s="50" t="s">
        <v>72</v>
      </c>
      <c r="C72" s="50"/>
      <c r="D72" s="50"/>
      <c r="E72" s="50"/>
      <c r="F72" s="20"/>
      <c r="G72" s="31"/>
      <c r="H72" s="31"/>
      <c r="I72" s="20"/>
    </row>
    <row r="73" spans="1:22" ht="15.75" hidden="1" customHeight="1">
      <c r="A73" s="31"/>
      <c r="B73" s="16" t="s">
        <v>122</v>
      </c>
      <c r="C73" s="18" t="s">
        <v>123</v>
      </c>
      <c r="D73" s="39" t="s">
        <v>66</v>
      </c>
      <c r="E73" s="20">
        <v>3</v>
      </c>
      <c r="F73" s="14">
        <v>3</v>
      </c>
      <c r="G73" s="14">
        <v>976.4</v>
      </c>
      <c r="H73" s="97">
        <f t="shared" ref="H73:H77" si="7">SUM(F73*G73/1000)</f>
        <v>2.9291999999999998</v>
      </c>
      <c r="I73" s="14">
        <v>0</v>
      </c>
    </row>
    <row r="74" spans="1:22" ht="15.75" hidden="1" customHeight="1">
      <c r="A74" s="31"/>
      <c r="B74" s="16" t="s">
        <v>124</v>
      </c>
      <c r="C74" s="18" t="s">
        <v>125</v>
      </c>
      <c r="D74" s="16"/>
      <c r="E74" s="20">
        <v>1</v>
      </c>
      <c r="F74" s="14">
        <v>1</v>
      </c>
      <c r="G74" s="14">
        <v>750</v>
      </c>
      <c r="H74" s="97">
        <f t="shared" si="7"/>
        <v>0.75</v>
      </c>
      <c r="I74" s="14">
        <v>0</v>
      </c>
    </row>
    <row r="75" spans="1:22" ht="15.75" hidden="1" customHeight="1">
      <c r="A75" s="31"/>
      <c r="B75" s="16" t="s">
        <v>73</v>
      </c>
      <c r="C75" s="18" t="s">
        <v>30</v>
      </c>
      <c r="D75" s="39" t="s">
        <v>66</v>
      </c>
      <c r="E75" s="20">
        <v>3</v>
      </c>
      <c r="F75" s="14">
        <f>E75/10</f>
        <v>0.3</v>
      </c>
      <c r="G75" s="14">
        <v>624.16999999999996</v>
      </c>
      <c r="H75" s="97">
        <f t="shared" si="7"/>
        <v>0.18725099999999997</v>
      </c>
      <c r="I75" s="14">
        <v>0</v>
      </c>
    </row>
    <row r="76" spans="1:22" ht="15.75" hidden="1" customHeight="1">
      <c r="A76" s="31"/>
      <c r="B76" s="16" t="s">
        <v>74</v>
      </c>
      <c r="C76" s="18" t="s">
        <v>29</v>
      </c>
      <c r="D76" s="39" t="s">
        <v>66</v>
      </c>
      <c r="E76" s="20">
        <v>1</v>
      </c>
      <c r="F76" s="14">
        <v>1</v>
      </c>
      <c r="G76" s="14">
        <v>1061.4100000000001</v>
      </c>
      <c r="H76" s="97">
        <f t="shared" si="7"/>
        <v>1.0614100000000002</v>
      </c>
      <c r="I76" s="14">
        <v>0</v>
      </c>
    </row>
    <row r="77" spans="1:22" ht="15.75" hidden="1" customHeight="1">
      <c r="A77" s="31">
        <v>17</v>
      </c>
      <c r="B77" s="16" t="s">
        <v>86</v>
      </c>
      <c r="C77" s="18" t="s">
        <v>29</v>
      </c>
      <c r="D77" s="39" t="s">
        <v>66</v>
      </c>
      <c r="E77" s="20">
        <v>1</v>
      </c>
      <c r="F77" s="84">
        <f>SUM(E77)</f>
        <v>1</v>
      </c>
      <c r="G77" s="14">
        <v>446.12</v>
      </c>
      <c r="H77" s="97">
        <f t="shared" si="7"/>
        <v>0.44612000000000002</v>
      </c>
      <c r="I77" s="14">
        <v>0</v>
      </c>
    </row>
    <row r="78" spans="1:22" ht="15.75" hidden="1" customHeight="1">
      <c r="A78" s="31"/>
      <c r="B78" s="51" t="s">
        <v>75</v>
      </c>
      <c r="C78" s="40"/>
      <c r="D78" s="31"/>
      <c r="E78" s="31"/>
      <c r="F78" s="20"/>
      <c r="G78" s="38"/>
      <c r="H78" s="38"/>
      <c r="I78" s="20"/>
    </row>
    <row r="79" spans="1:22" ht="15.75" hidden="1" customHeight="1">
      <c r="A79" s="31">
        <v>39</v>
      </c>
      <c r="B79" s="53" t="s">
        <v>126</v>
      </c>
      <c r="C79" s="18" t="s">
        <v>76</v>
      </c>
      <c r="D79" s="16"/>
      <c r="E79" s="20"/>
      <c r="F79" s="14">
        <v>1.35</v>
      </c>
      <c r="G79" s="14">
        <v>3433.68</v>
      </c>
      <c r="H79" s="97">
        <f t="shared" ref="H79" si="8">SUM(F79*G79/1000)</f>
        <v>4.6354679999999995</v>
      </c>
      <c r="I79" s="14">
        <v>0</v>
      </c>
    </row>
    <row r="80" spans="1:22" ht="15.75" hidden="1" customHeight="1">
      <c r="A80" s="31"/>
      <c r="B80" s="70" t="s">
        <v>88</v>
      </c>
      <c r="C80" s="64"/>
      <c r="D80" s="33"/>
      <c r="E80" s="33"/>
      <c r="F80" s="13"/>
      <c r="G80" s="38"/>
      <c r="H80" s="38"/>
      <c r="I80" s="20"/>
    </row>
    <row r="81" spans="1:9" ht="31.5" hidden="1" customHeight="1">
      <c r="A81" s="31"/>
      <c r="B81" s="16" t="s">
        <v>127</v>
      </c>
      <c r="C81" s="18" t="s">
        <v>87</v>
      </c>
      <c r="D81" s="16" t="s">
        <v>66</v>
      </c>
      <c r="E81" s="20">
        <v>6</v>
      </c>
      <c r="F81" s="14">
        <f>E81</f>
        <v>6</v>
      </c>
      <c r="G81" s="14">
        <v>297.44</v>
      </c>
      <c r="H81" s="97">
        <f t="shared" ref="H81:H90" si="9">SUM(F81*G81/1000)</f>
        <v>1.7846399999999998</v>
      </c>
      <c r="I81" s="14">
        <v>0</v>
      </c>
    </row>
    <row r="82" spans="1:9" ht="15.75" hidden="1" customHeight="1">
      <c r="A82" s="31"/>
      <c r="B82" s="16" t="s">
        <v>128</v>
      </c>
      <c r="C82" s="18" t="s">
        <v>80</v>
      </c>
      <c r="D82" s="16" t="s">
        <v>66</v>
      </c>
      <c r="E82" s="20">
        <v>12</v>
      </c>
      <c r="F82" s="14">
        <f>E82</f>
        <v>12</v>
      </c>
      <c r="G82" s="14">
        <v>122.35</v>
      </c>
      <c r="H82" s="97">
        <f t="shared" si="9"/>
        <v>1.4681999999999997</v>
      </c>
      <c r="I82" s="14">
        <v>0</v>
      </c>
    </row>
    <row r="83" spans="1:9" ht="15.75" hidden="1" customHeight="1">
      <c r="A83" s="31"/>
      <c r="B83" s="16" t="s">
        <v>129</v>
      </c>
      <c r="C83" s="18" t="s">
        <v>130</v>
      </c>
      <c r="D83" s="16" t="s">
        <v>66</v>
      </c>
      <c r="E83" s="20">
        <v>9</v>
      </c>
      <c r="F83" s="14">
        <f>E83/3</f>
        <v>3</v>
      </c>
      <c r="G83" s="14">
        <v>1063.47</v>
      </c>
      <c r="H83" s="97">
        <f t="shared" si="9"/>
        <v>3.19041</v>
      </c>
      <c r="I83" s="14">
        <v>0</v>
      </c>
    </row>
    <row r="84" spans="1:9" ht="31.5" hidden="1" customHeight="1">
      <c r="A84" s="31"/>
      <c r="B84" s="16" t="s">
        <v>131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1564.44</v>
      </c>
      <c r="H84" s="97">
        <f t="shared" si="9"/>
        <v>9.3866399999999999</v>
      </c>
      <c r="I84" s="14">
        <v>0</v>
      </c>
    </row>
    <row r="85" spans="1:9" ht="31.5" hidden="1" customHeight="1">
      <c r="A85" s="31"/>
      <c r="B85" s="16" t="s">
        <v>132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1906.89</v>
      </c>
      <c r="H85" s="97">
        <f t="shared" si="9"/>
        <v>11.44134</v>
      </c>
      <c r="I85" s="14">
        <v>0</v>
      </c>
    </row>
    <row r="86" spans="1:9" ht="31.5" hidden="1" customHeight="1">
      <c r="A86" s="31"/>
      <c r="B86" s="16" t="s">
        <v>133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664.35</v>
      </c>
      <c r="H86" s="97">
        <f t="shared" si="9"/>
        <v>3.9861000000000004</v>
      </c>
      <c r="I86" s="14">
        <v>0</v>
      </c>
    </row>
    <row r="87" spans="1:9" ht="31.5" hidden="1" customHeight="1">
      <c r="A87" s="31"/>
      <c r="B87" s="16" t="s">
        <v>134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778.85</v>
      </c>
      <c r="H87" s="97">
        <f t="shared" si="9"/>
        <v>4.6731000000000007</v>
      </c>
      <c r="I87" s="14">
        <v>0</v>
      </c>
    </row>
    <row r="88" spans="1:9" ht="15.75" hidden="1" customHeight="1">
      <c r="A88" s="31"/>
      <c r="B88" s="16" t="s">
        <v>135</v>
      </c>
      <c r="C88" s="18" t="s">
        <v>123</v>
      </c>
      <c r="D88" s="16" t="s">
        <v>66</v>
      </c>
      <c r="E88" s="20">
        <v>3</v>
      </c>
      <c r="F88" s="14">
        <v>3</v>
      </c>
      <c r="G88" s="14">
        <v>498.11</v>
      </c>
      <c r="H88" s="97">
        <f t="shared" si="9"/>
        <v>1.4943299999999999</v>
      </c>
      <c r="I88" s="14">
        <v>0</v>
      </c>
    </row>
    <row r="89" spans="1:9" ht="31.5" hidden="1" customHeight="1">
      <c r="A89" s="31"/>
      <c r="B89" s="16" t="s">
        <v>136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1264.3399999999999</v>
      </c>
      <c r="H89" s="97">
        <f t="shared" si="9"/>
        <v>7.5860399999999988</v>
      </c>
      <c r="I89" s="14">
        <v>0</v>
      </c>
    </row>
    <row r="90" spans="1:9" ht="15.75" hidden="1" customHeight="1">
      <c r="A90" s="31"/>
      <c r="B90" s="16" t="s">
        <v>137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9"/>
        <v>2.8108906600000001</v>
      </c>
      <c r="I90" s="14">
        <v>0</v>
      </c>
    </row>
    <row r="91" spans="1:9" ht="15.75" customHeight="1">
      <c r="A91" s="54"/>
      <c r="B91" s="70" t="s">
        <v>120</v>
      </c>
      <c r="C91" s="70"/>
      <c r="D91" s="70"/>
      <c r="E91" s="70"/>
      <c r="F91" s="70"/>
      <c r="G91" s="70"/>
      <c r="H91" s="70"/>
      <c r="I91" s="20"/>
    </row>
    <row r="92" spans="1:9" ht="15.75" customHeight="1">
      <c r="A92" s="110">
        <v>7</v>
      </c>
      <c r="B92" s="91" t="s">
        <v>121</v>
      </c>
      <c r="C92" s="111"/>
      <c r="D92" s="112"/>
      <c r="E92" s="113"/>
      <c r="F92" s="104">
        <v>1</v>
      </c>
      <c r="G92" s="104">
        <v>1616.5</v>
      </c>
      <c r="H92" s="114">
        <f>G92*F92/1000</f>
        <v>1.6165</v>
      </c>
      <c r="I92" s="104">
        <f>G92</f>
        <v>1616.5</v>
      </c>
    </row>
    <row r="93" spans="1:9" ht="15.75" hidden="1" customHeight="1">
      <c r="A93" s="31">
        <v>15</v>
      </c>
      <c r="B93" s="121" t="s">
        <v>47</v>
      </c>
      <c r="C93" s="108" t="s">
        <v>116</v>
      </c>
      <c r="D93" s="109" t="s">
        <v>66</v>
      </c>
      <c r="E93" s="109" t="s">
        <v>167</v>
      </c>
      <c r="F93" s="14"/>
      <c r="G93" s="106">
        <v>276.74</v>
      </c>
      <c r="H93" s="14"/>
      <c r="I93" s="14">
        <f>G93*1</f>
        <v>276.74</v>
      </c>
    </row>
    <row r="94" spans="1:9" ht="15.75" hidden="1" customHeight="1">
      <c r="A94" s="31"/>
      <c r="B94" s="143" t="s">
        <v>88</v>
      </c>
      <c r="C94" s="144"/>
      <c r="D94" s="145"/>
      <c r="E94" s="146"/>
      <c r="F94" s="147"/>
      <c r="G94" s="148"/>
      <c r="H94" s="141"/>
      <c r="I94" s="142"/>
    </row>
    <row r="95" spans="1:9" ht="32.25" hidden="1" customHeight="1">
      <c r="A95" s="31">
        <v>10</v>
      </c>
      <c r="B95" s="145" t="s">
        <v>199</v>
      </c>
      <c r="C95" s="144" t="s">
        <v>200</v>
      </c>
      <c r="D95" s="145"/>
      <c r="E95" s="146">
        <v>1810.5</v>
      </c>
      <c r="F95" s="148">
        <f>E95*12</f>
        <v>21726</v>
      </c>
      <c r="G95" s="148">
        <v>2.4900000000000002</v>
      </c>
      <c r="H95" s="141"/>
      <c r="I95" s="142">
        <f>G95*F95/12</f>
        <v>4508.1450000000004</v>
      </c>
    </row>
    <row r="96" spans="1:9" ht="15.75" customHeight="1">
      <c r="A96" s="177" t="s">
        <v>155</v>
      </c>
      <c r="B96" s="177"/>
      <c r="C96" s="177"/>
      <c r="D96" s="177"/>
      <c r="E96" s="177"/>
      <c r="F96" s="177"/>
      <c r="G96" s="177"/>
      <c r="H96" s="177"/>
      <c r="I96" s="177"/>
    </row>
    <row r="97" spans="1:9" ht="15.75" customHeight="1">
      <c r="A97" s="115">
        <v>8</v>
      </c>
      <c r="B97" s="116" t="s">
        <v>138</v>
      </c>
      <c r="C97" s="117" t="s">
        <v>55</v>
      </c>
      <c r="D97" s="118"/>
      <c r="E97" s="119">
        <v>1810.5</v>
      </c>
      <c r="F97" s="119">
        <f>SUM(E97*12)</f>
        <v>21726</v>
      </c>
      <c r="G97" s="119">
        <v>2.95</v>
      </c>
      <c r="H97" s="120">
        <f>SUM(F97*G97/1000)</f>
        <v>64.091700000000003</v>
      </c>
      <c r="I97" s="119">
        <f>F97/12*G97</f>
        <v>5340.9750000000004</v>
      </c>
    </row>
    <row r="98" spans="1:9" ht="31.5" customHeight="1">
      <c r="A98" s="31">
        <v>9</v>
      </c>
      <c r="B98" s="16" t="s">
        <v>77</v>
      </c>
      <c r="C98" s="18" t="s">
        <v>55</v>
      </c>
      <c r="D98" s="99"/>
      <c r="E98" s="83">
        <v>1810.5</v>
      </c>
      <c r="F98" s="14">
        <f>E98*12</f>
        <v>21726</v>
      </c>
      <c r="G98" s="14">
        <v>3.05</v>
      </c>
      <c r="H98" s="97">
        <f>F98*G98/1000</f>
        <v>66.264300000000006</v>
      </c>
      <c r="I98" s="14">
        <f>F98/12*G98</f>
        <v>5522.0249999999996</v>
      </c>
    </row>
    <row r="99" spans="1:9" ht="15.75" customHeight="1">
      <c r="A99" s="54"/>
      <c r="B99" s="41" t="s">
        <v>79</v>
      </c>
      <c r="C99" s="42"/>
      <c r="D99" s="17"/>
      <c r="E99" s="17"/>
      <c r="F99" s="17"/>
      <c r="G99" s="20"/>
      <c r="H99" s="20"/>
      <c r="I99" s="34">
        <f>I98+I97+I92+I41+I40+I39+I18+I17+I16</f>
        <v>20386.272943333337</v>
      </c>
    </row>
    <row r="100" spans="1:9" ht="15.75" customHeight="1">
      <c r="A100" s="173" t="s">
        <v>60</v>
      </c>
      <c r="B100" s="174"/>
      <c r="C100" s="174"/>
      <c r="D100" s="174"/>
      <c r="E100" s="174"/>
      <c r="F100" s="174"/>
      <c r="G100" s="174"/>
      <c r="H100" s="174"/>
      <c r="I100" s="175"/>
    </row>
    <row r="101" spans="1:9" ht="18" customHeight="1">
      <c r="A101" s="31">
        <v>10</v>
      </c>
      <c r="B101" s="91" t="s">
        <v>165</v>
      </c>
      <c r="C101" s="92" t="s">
        <v>166</v>
      </c>
      <c r="D101" s="91"/>
      <c r="E101" s="93"/>
      <c r="F101" s="94">
        <v>24</v>
      </c>
      <c r="G101" s="103">
        <v>1.4</v>
      </c>
      <c r="H101" s="96">
        <f>F101*G101/1000</f>
        <v>3.3599999999999991E-2</v>
      </c>
      <c r="I101" s="104">
        <f>G101*12</f>
        <v>16.799999999999997</v>
      </c>
    </row>
    <row r="102" spans="1:9" ht="34.5" customHeight="1">
      <c r="A102" s="31">
        <v>11</v>
      </c>
      <c r="B102" s="128" t="s">
        <v>170</v>
      </c>
      <c r="C102" s="129" t="s">
        <v>28</v>
      </c>
      <c r="D102" s="65"/>
      <c r="E102" s="38"/>
      <c r="F102" s="139">
        <f>0.599*18/1000</f>
        <v>1.0782E-2</v>
      </c>
      <c r="G102" s="106">
        <v>21369.24</v>
      </c>
      <c r="H102" s="124"/>
      <c r="I102" s="104">
        <f>G102*0.599*3/1000</f>
        <v>38.400524279999999</v>
      </c>
    </row>
    <row r="103" spans="1:9" ht="18" hidden="1" customHeight="1">
      <c r="A103" s="31"/>
      <c r="B103" s="131"/>
      <c r="C103" s="42"/>
      <c r="D103" s="122"/>
      <c r="E103" s="123"/>
      <c r="F103" s="123"/>
      <c r="G103" s="106"/>
      <c r="H103" s="124"/>
      <c r="I103" s="104"/>
    </row>
    <row r="104" spans="1:9" ht="18" customHeight="1">
      <c r="A104" s="31">
        <v>12</v>
      </c>
      <c r="B104" s="128" t="s">
        <v>223</v>
      </c>
      <c r="C104" s="129" t="s">
        <v>116</v>
      </c>
      <c r="D104" s="16" t="s">
        <v>226</v>
      </c>
      <c r="E104" s="20"/>
      <c r="F104" s="14">
        <v>1</v>
      </c>
      <c r="G104" s="14">
        <v>228.9</v>
      </c>
      <c r="H104" s="124"/>
      <c r="I104" s="104">
        <f>G104*1</f>
        <v>228.9</v>
      </c>
    </row>
    <row r="105" spans="1:9" ht="32.25" customHeight="1">
      <c r="A105" s="31">
        <v>13</v>
      </c>
      <c r="B105" s="128" t="s">
        <v>224</v>
      </c>
      <c r="C105" s="129" t="s">
        <v>87</v>
      </c>
      <c r="D105" s="16" t="s">
        <v>225</v>
      </c>
      <c r="E105" s="20"/>
      <c r="F105" s="14">
        <v>2</v>
      </c>
      <c r="G105" s="14">
        <v>614.47</v>
      </c>
      <c r="H105" s="124"/>
      <c r="I105" s="104">
        <f>G105*2</f>
        <v>1228.94</v>
      </c>
    </row>
    <row r="106" spans="1:9" ht="15.75" customHeight="1">
      <c r="A106" s="31"/>
      <c r="B106" s="47" t="s">
        <v>52</v>
      </c>
      <c r="C106" s="43"/>
      <c r="D106" s="55"/>
      <c r="E106" s="55"/>
      <c r="F106" s="43">
        <v>1</v>
      </c>
      <c r="G106" s="43"/>
      <c r="H106" s="43"/>
      <c r="I106" s="34">
        <f>SUM(I101:I105)</f>
        <v>1513.04052428</v>
      </c>
    </row>
    <row r="107" spans="1:9" ht="15.75" customHeight="1">
      <c r="A107" s="31"/>
      <c r="B107" s="53" t="s">
        <v>78</v>
      </c>
      <c r="C107" s="17"/>
      <c r="D107" s="17"/>
      <c r="E107" s="17"/>
      <c r="F107" s="44"/>
      <c r="G107" s="45"/>
      <c r="H107" s="45"/>
      <c r="I107" s="19">
        <v>0</v>
      </c>
    </row>
    <row r="108" spans="1:9" ht="15.75" customHeight="1">
      <c r="A108" s="56"/>
      <c r="B108" s="48" t="s">
        <v>148</v>
      </c>
      <c r="C108" s="36"/>
      <c r="D108" s="36"/>
      <c r="E108" s="36"/>
      <c r="F108" s="36"/>
      <c r="G108" s="36"/>
      <c r="H108" s="36"/>
      <c r="I108" s="46">
        <f>I99+I106</f>
        <v>21899.313467613338</v>
      </c>
    </row>
    <row r="109" spans="1:9" ht="15.75">
      <c r="A109" s="159" t="s">
        <v>227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>
      <c r="A110" s="72"/>
      <c r="B110" s="160" t="s">
        <v>228</v>
      </c>
      <c r="C110" s="160"/>
      <c r="D110" s="160"/>
      <c r="E110" s="160"/>
      <c r="F110" s="160"/>
      <c r="G110" s="160"/>
      <c r="H110" s="79"/>
      <c r="I110" s="3"/>
    </row>
    <row r="111" spans="1:9">
      <c r="A111" s="68"/>
      <c r="B111" s="158" t="s">
        <v>6</v>
      </c>
      <c r="C111" s="158"/>
      <c r="D111" s="158"/>
      <c r="E111" s="158"/>
      <c r="F111" s="158"/>
      <c r="G111" s="158"/>
      <c r="H111" s="26"/>
      <c r="I111" s="5"/>
    </row>
    <row r="112" spans="1:9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>
      <c r="A113" s="161" t="s">
        <v>7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15.75">
      <c r="A114" s="161" t="s">
        <v>8</v>
      </c>
      <c r="B114" s="161"/>
      <c r="C114" s="161"/>
      <c r="D114" s="161"/>
      <c r="E114" s="161"/>
      <c r="F114" s="161"/>
      <c r="G114" s="161"/>
      <c r="H114" s="161"/>
      <c r="I114" s="161"/>
    </row>
    <row r="115" spans="1:9" ht="15.75">
      <c r="A115" s="155" t="s">
        <v>61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15.75">
      <c r="A116" s="11"/>
    </row>
    <row r="117" spans="1:9" ht="15.75">
      <c r="A117" s="156" t="s">
        <v>9</v>
      </c>
      <c r="B117" s="156"/>
      <c r="C117" s="156"/>
      <c r="D117" s="156"/>
      <c r="E117" s="156"/>
      <c r="F117" s="156"/>
      <c r="G117" s="156"/>
      <c r="H117" s="156"/>
      <c r="I117" s="156"/>
    </row>
    <row r="118" spans="1:9" ht="15.75">
      <c r="A118" s="4"/>
    </row>
    <row r="119" spans="1:9" ht="15.75">
      <c r="B119" s="69" t="s">
        <v>10</v>
      </c>
      <c r="C119" s="157" t="s">
        <v>196</v>
      </c>
      <c r="D119" s="157"/>
      <c r="E119" s="157"/>
      <c r="F119" s="157"/>
      <c r="I119" s="67"/>
    </row>
    <row r="120" spans="1:9">
      <c r="A120" s="68"/>
      <c r="C120" s="158" t="s">
        <v>11</v>
      </c>
      <c r="D120" s="158"/>
      <c r="E120" s="158"/>
      <c r="F120" s="158"/>
      <c r="I120" s="66" t="s">
        <v>12</v>
      </c>
    </row>
    <row r="121" spans="1:9" ht="15.75">
      <c r="A121" s="27"/>
      <c r="C121" s="12"/>
      <c r="D121" s="12"/>
      <c r="E121" s="12"/>
      <c r="G121" s="12"/>
      <c r="H121" s="12"/>
    </row>
    <row r="122" spans="1:9" ht="15.75">
      <c r="B122" s="69" t="s">
        <v>13</v>
      </c>
      <c r="C122" s="152"/>
      <c r="D122" s="152"/>
      <c r="E122" s="152"/>
      <c r="F122" s="152"/>
      <c r="I122" s="67"/>
    </row>
    <row r="123" spans="1:9">
      <c r="A123" s="68"/>
      <c r="C123" s="153" t="s">
        <v>11</v>
      </c>
      <c r="D123" s="153"/>
      <c r="E123" s="153"/>
      <c r="F123" s="153"/>
      <c r="I123" s="66" t="s">
        <v>12</v>
      </c>
    </row>
    <row r="124" spans="1:9" ht="15.75">
      <c r="A124" s="4" t="s">
        <v>14</v>
      </c>
    </row>
    <row r="125" spans="1:9">
      <c r="A125" s="154" t="s">
        <v>15</v>
      </c>
      <c r="B125" s="154"/>
      <c r="C125" s="154"/>
      <c r="D125" s="154"/>
      <c r="E125" s="154"/>
      <c r="F125" s="154"/>
      <c r="G125" s="154"/>
      <c r="H125" s="154"/>
      <c r="I125" s="154"/>
    </row>
    <row r="126" spans="1:9" ht="45" customHeight="1">
      <c r="A126" s="151" t="s">
        <v>16</v>
      </c>
      <c r="B126" s="151"/>
      <c r="C126" s="151"/>
      <c r="D126" s="151"/>
      <c r="E126" s="151"/>
      <c r="F126" s="151"/>
      <c r="G126" s="151"/>
      <c r="H126" s="151"/>
      <c r="I126" s="151"/>
    </row>
    <row r="127" spans="1:9" ht="30" customHeight="1">
      <c r="A127" s="151" t="s">
        <v>17</v>
      </c>
      <c r="B127" s="151"/>
      <c r="C127" s="151"/>
      <c r="D127" s="151"/>
      <c r="E127" s="151"/>
      <c r="F127" s="151"/>
      <c r="G127" s="151"/>
      <c r="H127" s="151"/>
      <c r="I127" s="151"/>
    </row>
    <row r="128" spans="1:9" ht="30" customHeight="1">
      <c r="A128" s="151" t="s">
        <v>21</v>
      </c>
      <c r="B128" s="151"/>
      <c r="C128" s="151"/>
      <c r="D128" s="151"/>
      <c r="E128" s="151"/>
      <c r="F128" s="151"/>
      <c r="G128" s="151"/>
      <c r="H128" s="151"/>
      <c r="I128" s="151"/>
    </row>
    <row r="129" spans="1:9" ht="15" customHeight="1">
      <c r="A129" s="151" t="s">
        <v>20</v>
      </c>
      <c r="B129" s="151"/>
      <c r="C129" s="151"/>
      <c r="D129" s="151"/>
      <c r="E129" s="151"/>
      <c r="F129" s="151"/>
      <c r="G129" s="151"/>
      <c r="H129" s="151"/>
      <c r="I129" s="151"/>
    </row>
  </sheetData>
  <autoFilter ref="I12:I65"/>
  <mergeCells count="29">
    <mergeCell ref="A125:I125"/>
    <mergeCell ref="A126:I126"/>
    <mergeCell ref="A127:I127"/>
    <mergeCell ref="A128:I128"/>
    <mergeCell ref="A129:I129"/>
    <mergeCell ref="R70:U70"/>
    <mergeCell ref="C123:F123"/>
    <mergeCell ref="A100:I100"/>
    <mergeCell ref="A109:I109"/>
    <mergeCell ref="B110:G110"/>
    <mergeCell ref="B111:G111"/>
    <mergeCell ref="A113:I113"/>
    <mergeCell ref="A114:I114"/>
    <mergeCell ref="A115:I115"/>
    <mergeCell ref="A117:I117"/>
    <mergeCell ref="C119:F119"/>
    <mergeCell ref="C120:F120"/>
    <mergeCell ref="C122:F122"/>
    <mergeCell ref="A96:I96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3"/>
  <sheetViews>
    <sheetView topLeftCell="A78" workbookViewId="0">
      <selection activeCell="G114" sqref="G11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6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157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229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44347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169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95</v>
      </c>
      <c r="C20" s="82" t="s">
        <v>53</v>
      </c>
      <c r="D20" s="81" t="s">
        <v>94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6</v>
      </c>
      <c r="B21" s="81" t="s">
        <v>96</v>
      </c>
      <c r="C21" s="82" t="s">
        <v>92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7</v>
      </c>
      <c r="B22" s="81" t="s">
        <v>97</v>
      </c>
      <c r="C22" s="82" t="s">
        <v>92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98</v>
      </c>
      <c r="C23" s="82" t="s">
        <v>53</v>
      </c>
      <c r="D23" s="81" t="s">
        <v>94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99</v>
      </c>
      <c r="C24" s="82" t="s">
        <v>53</v>
      </c>
      <c r="D24" s="81" t="s">
        <v>94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100</v>
      </c>
      <c r="C25" s="82" t="s">
        <v>53</v>
      </c>
      <c r="D25" s="81" t="s">
        <v>94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140</v>
      </c>
      <c r="C26" s="82" t="s">
        <v>53</v>
      </c>
      <c r="D26" s="81" t="s">
        <v>94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hidden="1" customHeight="1">
      <c r="A27" s="31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77" t="s">
        <v>82</v>
      </c>
      <c r="B28" s="177"/>
      <c r="C28" s="177"/>
      <c r="D28" s="177"/>
      <c r="E28" s="177"/>
      <c r="F28" s="177"/>
      <c r="G28" s="177"/>
      <c r="H28" s="177"/>
      <c r="I28" s="177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4</v>
      </c>
      <c r="B30" s="81" t="s">
        <v>101</v>
      </c>
      <c r="C30" s="82" t="s">
        <v>102</v>
      </c>
      <c r="D30" s="81" t="s">
        <v>180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5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5</v>
      </c>
      <c r="B31" s="81" t="s">
        <v>104</v>
      </c>
      <c r="C31" s="82" t="s">
        <v>102</v>
      </c>
      <c r="D31" s="81" t="s">
        <v>172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customHeight="1">
      <c r="A32" s="42">
        <v>6</v>
      </c>
      <c r="B32" s="81" t="s">
        <v>26</v>
      </c>
      <c r="C32" s="82" t="s">
        <v>102</v>
      </c>
      <c r="D32" s="81" t="s">
        <v>181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7</v>
      </c>
      <c r="B33" s="81" t="s">
        <v>106</v>
      </c>
      <c r="C33" s="82" t="s">
        <v>40</v>
      </c>
      <c r="D33" s="81" t="s">
        <v>176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si="1"/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1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4">
        <f t="shared" ref="I37:I42" si="4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108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3"/>
        <v>2.6845187400000001</v>
      </c>
      <c r="I38" s="14">
        <f t="shared" si="4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109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3"/>
        <v>2.3136214500000003</v>
      </c>
      <c r="I39" s="14">
        <f t="shared" si="4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102</v>
      </c>
      <c r="D40" s="81" t="s">
        <v>110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3"/>
        <v>8.6437883699999993</v>
      </c>
      <c r="I40" s="14">
        <f t="shared" si="4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111</v>
      </c>
      <c r="C41" s="82" t="s">
        <v>102</v>
      </c>
      <c r="D41" s="81" t="s">
        <v>112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3"/>
        <v>0.36487980000000003</v>
      </c>
      <c r="I41" s="14">
        <f t="shared" si="4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4">
        <f t="shared" si="4"/>
        <v>82.747500000000002</v>
      </c>
      <c r="J42" s="25"/>
      <c r="L42" s="21"/>
      <c r="M42" s="22"/>
      <c r="N42" s="23"/>
    </row>
    <row r="43" spans="1:14" ht="15.75" customHeight="1">
      <c r="A43" s="162" t="s">
        <v>145</v>
      </c>
      <c r="B43" s="163"/>
      <c r="C43" s="163"/>
      <c r="D43" s="163"/>
      <c r="E43" s="163"/>
      <c r="F43" s="163"/>
      <c r="G43" s="163"/>
      <c r="H43" s="163"/>
      <c r="I43" s="164"/>
      <c r="J43" s="25"/>
      <c r="L43" s="21"/>
      <c r="M43" s="22"/>
      <c r="N43" s="23"/>
    </row>
    <row r="44" spans="1:14" ht="15.75" customHeight="1">
      <c r="A44" s="42">
        <v>8</v>
      </c>
      <c r="B44" s="81" t="s">
        <v>113</v>
      </c>
      <c r="C44" s="82" t="s">
        <v>102</v>
      </c>
      <c r="D44" s="81" t="s">
        <v>179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5">SUM(F44*G44/1000)</f>
        <v>2.6521417440000006</v>
      </c>
      <c r="I44" s="14">
        <f t="shared" ref="I44:I47" si="6">F44/2*G44</f>
        <v>1326.0708720000002</v>
      </c>
      <c r="J44" s="25"/>
      <c r="L44" s="21"/>
      <c r="M44" s="22"/>
      <c r="N44" s="23"/>
    </row>
    <row r="45" spans="1:14" ht="15.75" customHeight="1">
      <c r="A45" s="42">
        <v>9</v>
      </c>
      <c r="B45" s="81" t="s">
        <v>35</v>
      </c>
      <c r="C45" s="82" t="s">
        <v>102</v>
      </c>
      <c r="D45" s="81" t="s">
        <v>179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5"/>
        <v>2.8553184000000002E-2</v>
      </c>
      <c r="I45" s="14">
        <f t="shared" si="6"/>
        <v>14.276592000000001</v>
      </c>
      <c r="J45" s="25"/>
      <c r="L45" s="21"/>
      <c r="M45" s="22"/>
      <c r="N45" s="23"/>
    </row>
    <row r="46" spans="1:14" ht="15.75" customHeight="1">
      <c r="A46" s="42">
        <v>10</v>
      </c>
      <c r="B46" s="81" t="s">
        <v>36</v>
      </c>
      <c r="C46" s="82" t="s">
        <v>102</v>
      </c>
      <c r="D46" s="81" t="s">
        <v>179</v>
      </c>
      <c r="E46" s="83">
        <v>660.84</v>
      </c>
      <c r="F46" s="84">
        <f>SUM(E46*2/1000)</f>
        <v>1.32168</v>
      </c>
      <c r="G46" s="14">
        <v>1711.28</v>
      </c>
      <c r="H46" s="85">
        <f t="shared" si="5"/>
        <v>2.2617645503999997</v>
      </c>
      <c r="I46" s="14">
        <f t="shared" si="6"/>
        <v>1130.8822751999999</v>
      </c>
      <c r="J46" s="25"/>
      <c r="L46" s="21"/>
      <c r="M46" s="22"/>
      <c r="N46" s="23"/>
    </row>
    <row r="47" spans="1:14" ht="15.75" customHeight="1">
      <c r="A47" s="42">
        <v>11</v>
      </c>
      <c r="B47" s="81" t="s">
        <v>37</v>
      </c>
      <c r="C47" s="82" t="s">
        <v>102</v>
      </c>
      <c r="D47" s="81" t="s">
        <v>179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5"/>
        <v>2.7280312466000001</v>
      </c>
      <c r="I47" s="14">
        <f t="shared" si="6"/>
        <v>1364.0156233</v>
      </c>
      <c r="J47" s="25"/>
      <c r="L47" s="21"/>
      <c r="M47" s="22"/>
      <c r="N47" s="23"/>
    </row>
    <row r="48" spans="1:14" ht="15.75" customHeight="1">
      <c r="A48" s="42">
        <v>12</v>
      </c>
      <c r="B48" s="81" t="s">
        <v>33</v>
      </c>
      <c r="C48" s="82" t="s">
        <v>34</v>
      </c>
      <c r="D48" s="81" t="s">
        <v>179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5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customHeight="1">
      <c r="A49" s="42">
        <v>13</v>
      </c>
      <c r="B49" s="81" t="s">
        <v>56</v>
      </c>
      <c r="C49" s="82" t="s">
        <v>102</v>
      </c>
      <c r="D49" s="81" t="s">
        <v>179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5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customHeight="1">
      <c r="A50" s="42">
        <v>14</v>
      </c>
      <c r="B50" s="81" t="s">
        <v>114</v>
      </c>
      <c r="C50" s="82" t="s">
        <v>102</v>
      </c>
      <c r="D50" s="81" t="s">
        <v>179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5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3.75" customHeight="1">
      <c r="A51" s="42">
        <v>15</v>
      </c>
      <c r="B51" s="81" t="s">
        <v>115</v>
      </c>
      <c r="C51" s="82" t="s">
        <v>38</v>
      </c>
      <c r="D51" s="81" t="s">
        <v>179</v>
      </c>
      <c r="E51" s="83">
        <v>9</v>
      </c>
      <c r="F51" s="84">
        <f>SUM(E51*2/100)</f>
        <v>0.18</v>
      </c>
      <c r="G51" s="14">
        <v>3850.4</v>
      </c>
      <c r="H51" s="85">
        <f t="shared" si="5"/>
        <v>0.69307200000000002</v>
      </c>
      <c r="I51" s="14">
        <f t="shared" ref="I51:I52" si="7">F51/2*G51</f>
        <v>346.536</v>
      </c>
      <c r="J51" s="25"/>
      <c r="L51" s="21"/>
      <c r="M51" s="22"/>
      <c r="N51" s="23"/>
    </row>
    <row r="52" spans="1:14" ht="17.25" customHeight="1">
      <c r="A52" s="42">
        <v>16</v>
      </c>
      <c r="B52" s="81" t="s">
        <v>39</v>
      </c>
      <c r="C52" s="82" t="s">
        <v>40</v>
      </c>
      <c r="D52" s="81" t="s">
        <v>179</v>
      </c>
      <c r="E52" s="83">
        <v>1</v>
      </c>
      <c r="F52" s="84">
        <v>0.02</v>
      </c>
      <c r="G52" s="14">
        <v>7033.13</v>
      </c>
      <c r="H52" s="85">
        <f t="shared" si="5"/>
        <v>0.1406626</v>
      </c>
      <c r="I52" s="14">
        <f t="shared" si="7"/>
        <v>70.331299999999999</v>
      </c>
      <c r="J52" s="25"/>
      <c r="L52" s="21"/>
      <c r="M52" s="22"/>
      <c r="N52" s="23"/>
    </row>
    <row r="53" spans="1:14" ht="17.25" hidden="1" customHeight="1">
      <c r="A53" s="42">
        <v>18</v>
      </c>
      <c r="B53" s="81" t="s">
        <v>141</v>
      </c>
      <c r="C53" s="82" t="s">
        <v>29</v>
      </c>
      <c r="D53" s="136">
        <v>43959</v>
      </c>
      <c r="E53" s="83">
        <v>36</v>
      </c>
      <c r="F53" s="84">
        <f>E53*3</f>
        <v>108</v>
      </c>
      <c r="G53" s="14">
        <v>175.6</v>
      </c>
      <c r="H53" s="85">
        <f t="shared" si="5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" hidden="1" customHeight="1">
      <c r="A54" s="42">
        <v>19</v>
      </c>
      <c r="B54" s="81" t="s">
        <v>41</v>
      </c>
      <c r="C54" s="82" t="s">
        <v>29</v>
      </c>
      <c r="D54" s="136">
        <v>43959</v>
      </c>
      <c r="E54" s="83">
        <v>36</v>
      </c>
      <c r="F54" s="84">
        <f>SUM(E54)*3</f>
        <v>108</v>
      </c>
      <c r="G54" s="14">
        <v>81.73</v>
      </c>
      <c r="H54" s="85">
        <f t="shared" si="5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62" t="s">
        <v>146</v>
      </c>
      <c r="B55" s="163"/>
      <c r="C55" s="163"/>
      <c r="D55" s="163"/>
      <c r="E55" s="163"/>
      <c r="F55" s="163"/>
      <c r="G55" s="163"/>
      <c r="H55" s="163"/>
      <c r="I55" s="164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149</v>
      </c>
      <c r="C57" s="82" t="s">
        <v>92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20</v>
      </c>
      <c r="B58" s="81" t="s">
        <v>85</v>
      </c>
      <c r="C58" s="82" t="s">
        <v>150</v>
      </c>
      <c r="D58" s="81" t="s">
        <v>186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28</v>
      </c>
      <c r="B62" s="16" t="s">
        <v>47</v>
      </c>
      <c r="C62" s="18" t="s">
        <v>116</v>
      </c>
      <c r="D62" s="16"/>
      <c r="E62" s="20">
        <v>10</v>
      </c>
      <c r="F62" s="84">
        <v>10</v>
      </c>
      <c r="G62" s="14">
        <v>276.74</v>
      </c>
      <c r="H62" s="97">
        <f t="shared" ref="H62:H69" si="8">SUM(F62*G62/1000)</f>
        <v>2.7674000000000003</v>
      </c>
      <c r="I62" s="14">
        <f>G62*3</f>
        <v>830.22</v>
      </c>
    </row>
    <row r="63" spans="1:14" ht="14.25" hidden="1" customHeight="1">
      <c r="A63" s="31">
        <v>29</v>
      </c>
      <c r="B63" s="16" t="s">
        <v>48</v>
      </c>
      <c r="C63" s="18" t="s">
        <v>116</v>
      </c>
      <c r="D63" s="16" t="s">
        <v>66</v>
      </c>
      <c r="E63" s="20">
        <v>3</v>
      </c>
      <c r="F63" s="84">
        <v>3</v>
      </c>
      <c r="G63" s="14">
        <v>94.89</v>
      </c>
      <c r="H63" s="97">
        <f t="shared" si="8"/>
        <v>0.28467000000000003</v>
      </c>
      <c r="I63" s="14">
        <v>0</v>
      </c>
    </row>
    <row r="64" spans="1:14" ht="15.75" hidden="1" customHeight="1">
      <c r="A64" s="31">
        <v>30</v>
      </c>
      <c r="B64" s="16" t="s">
        <v>49</v>
      </c>
      <c r="C64" s="18" t="s">
        <v>117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8"/>
        <v>19.820369200000002</v>
      </c>
      <c r="I64" s="14">
        <f>F64*G64</f>
        <v>19820.369200000001</v>
      </c>
    </row>
    <row r="65" spans="1:22" ht="15.75" hidden="1" customHeight="1">
      <c r="A65" s="31">
        <v>31</v>
      </c>
      <c r="B65" s="16" t="s">
        <v>50</v>
      </c>
      <c r="C65" s="18" t="s">
        <v>118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8"/>
        <v>1.54341956</v>
      </c>
      <c r="I65" s="14">
        <f t="shared" ref="I65:I68" si="9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1">
        <v>32</v>
      </c>
      <c r="B66" s="16" t="s">
        <v>51</v>
      </c>
      <c r="C66" s="18" t="s">
        <v>76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8"/>
        <v>28.138677000000005</v>
      </c>
      <c r="I66" s="14">
        <f t="shared" si="9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1">
        <v>33</v>
      </c>
      <c r="B67" s="98" t="s">
        <v>119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8"/>
        <v>0.35113000000000005</v>
      </c>
      <c r="I67" s="14">
        <f t="shared" si="9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1">
        <v>34</v>
      </c>
      <c r="B68" s="98" t="s">
        <v>151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8"/>
        <v>0.327598</v>
      </c>
      <c r="I68" s="14">
        <f t="shared" si="9"/>
        <v>327.59800000000001</v>
      </c>
      <c r="J68" s="5"/>
      <c r="K68" s="5"/>
      <c r="L68" s="5"/>
      <c r="M68" s="5"/>
      <c r="N68" s="5"/>
      <c r="O68" s="5"/>
      <c r="P68" s="5"/>
      <c r="Q68" s="5"/>
      <c r="R68" s="153"/>
      <c r="S68" s="153"/>
      <c r="T68" s="153"/>
      <c r="U68" s="153"/>
    </row>
    <row r="69" spans="1:22" ht="15.75" hidden="1" customHeight="1">
      <c r="A69" s="31">
        <v>13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8"/>
        <v>0.18621000000000001</v>
      </c>
      <c r="I69" s="14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1"/>
      <c r="B70" s="50" t="s">
        <v>72</v>
      </c>
      <c r="C70" s="50"/>
      <c r="D70" s="50"/>
      <c r="E70" s="50"/>
      <c r="F70" s="20"/>
      <c r="G70" s="31"/>
      <c r="H70" s="31"/>
      <c r="I70" s="20"/>
    </row>
    <row r="71" spans="1:22" ht="15.75" hidden="1" customHeight="1">
      <c r="A71" s="31"/>
      <c r="B71" s="16" t="s">
        <v>122</v>
      </c>
      <c r="C71" s="18" t="s">
        <v>123</v>
      </c>
      <c r="D71" s="39" t="s">
        <v>66</v>
      </c>
      <c r="E71" s="20">
        <v>3</v>
      </c>
      <c r="F71" s="14">
        <v>3</v>
      </c>
      <c r="G71" s="14">
        <v>976.4</v>
      </c>
      <c r="H71" s="97">
        <f t="shared" ref="H71:H75" si="10">SUM(F71*G71/1000)</f>
        <v>2.9291999999999998</v>
      </c>
      <c r="I71" s="14">
        <v>0</v>
      </c>
    </row>
    <row r="72" spans="1:22" ht="15.75" hidden="1" customHeight="1">
      <c r="A72" s="31"/>
      <c r="B72" s="16" t="s">
        <v>124</v>
      </c>
      <c r="C72" s="18" t="s">
        <v>125</v>
      </c>
      <c r="D72" s="16"/>
      <c r="E72" s="20">
        <v>1</v>
      </c>
      <c r="F72" s="14">
        <v>1</v>
      </c>
      <c r="G72" s="14">
        <v>750</v>
      </c>
      <c r="H72" s="97">
        <f t="shared" si="10"/>
        <v>0.75</v>
      </c>
      <c r="I72" s="14">
        <v>0</v>
      </c>
    </row>
    <row r="73" spans="1:22" ht="15.75" hidden="1" customHeight="1">
      <c r="A73" s="31"/>
      <c r="B73" s="16" t="s">
        <v>73</v>
      </c>
      <c r="C73" s="18" t="s">
        <v>30</v>
      </c>
      <c r="D73" s="39" t="s">
        <v>66</v>
      </c>
      <c r="E73" s="20">
        <v>3</v>
      </c>
      <c r="F73" s="14">
        <f>E73/10</f>
        <v>0.3</v>
      </c>
      <c r="G73" s="14">
        <v>624.16999999999996</v>
      </c>
      <c r="H73" s="97">
        <f t="shared" si="10"/>
        <v>0.18725099999999997</v>
      </c>
      <c r="I73" s="14">
        <v>0</v>
      </c>
    </row>
    <row r="74" spans="1:22" ht="15.75" hidden="1" customHeight="1">
      <c r="A74" s="31"/>
      <c r="B74" s="16" t="s">
        <v>74</v>
      </c>
      <c r="C74" s="18" t="s">
        <v>29</v>
      </c>
      <c r="D74" s="39" t="s">
        <v>66</v>
      </c>
      <c r="E74" s="20">
        <v>1</v>
      </c>
      <c r="F74" s="14">
        <v>1</v>
      </c>
      <c r="G74" s="14">
        <v>1061.4100000000001</v>
      </c>
      <c r="H74" s="97">
        <f t="shared" si="10"/>
        <v>1.0614100000000002</v>
      </c>
      <c r="I74" s="14">
        <v>0</v>
      </c>
    </row>
    <row r="75" spans="1:22" ht="15.75" hidden="1" customHeight="1">
      <c r="A75" s="31">
        <v>17</v>
      </c>
      <c r="B75" s="16" t="s">
        <v>86</v>
      </c>
      <c r="C75" s="18" t="s">
        <v>29</v>
      </c>
      <c r="D75" s="39" t="s">
        <v>66</v>
      </c>
      <c r="E75" s="20">
        <v>1</v>
      </c>
      <c r="F75" s="84">
        <f>SUM(E75)</f>
        <v>1</v>
      </c>
      <c r="G75" s="14">
        <v>446.12</v>
      </c>
      <c r="H75" s="97">
        <f t="shared" si="10"/>
        <v>0.44612000000000002</v>
      </c>
      <c r="I75" s="14">
        <v>0</v>
      </c>
    </row>
    <row r="76" spans="1:22" ht="15.75" hidden="1" customHeight="1">
      <c r="A76" s="31"/>
      <c r="B76" s="51" t="s">
        <v>75</v>
      </c>
      <c r="C76" s="40"/>
      <c r="D76" s="31"/>
      <c r="E76" s="31"/>
      <c r="F76" s="20"/>
      <c r="G76" s="38"/>
      <c r="H76" s="38"/>
      <c r="I76" s="20"/>
    </row>
    <row r="77" spans="1:22" ht="15.75" hidden="1" customHeight="1">
      <c r="A77" s="31">
        <v>39</v>
      </c>
      <c r="B77" s="53" t="s">
        <v>126</v>
      </c>
      <c r="C77" s="18" t="s">
        <v>76</v>
      </c>
      <c r="D77" s="16"/>
      <c r="E77" s="20"/>
      <c r="F77" s="14">
        <v>1.35</v>
      </c>
      <c r="G77" s="14">
        <v>3433.68</v>
      </c>
      <c r="H77" s="97">
        <f t="shared" ref="H77" si="11">SUM(F77*G77/1000)</f>
        <v>4.6354679999999995</v>
      </c>
      <c r="I77" s="14">
        <v>0</v>
      </c>
    </row>
    <row r="78" spans="1:22" ht="15.75" customHeight="1">
      <c r="A78" s="31"/>
      <c r="B78" s="70" t="s">
        <v>88</v>
      </c>
      <c r="C78" s="64"/>
      <c r="D78" s="33"/>
      <c r="E78" s="33"/>
      <c r="F78" s="13"/>
      <c r="G78" s="38"/>
      <c r="H78" s="38"/>
      <c r="I78" s="20"/>
    </row>
    <row r="79" spans="1:22" ht="31.5" hidden="1" customHeight="1">
      <c r="A79" s="31"/>
      <c r="B79" s="16" t="s">
        <v>127</v>
      </c>
      <c r="C79" s="18" t="s">
        <v>87</v>
      </c>
      <c r="D79" s="16" t="s">
        <v>66</v>
      </c>
      <c r="E79" s="20">
        <v>6</v>
      </c>
      <c r="F79" s="14">
        <f>E79</f>
        <v>6</v>
      </c>
      <c r="G79" s="14">
        <v>297.44</v>
      </c>
      <c r="H79" s="97">
        <f t="shared" ref="H79:H88" si="12">SUM(F79*G79/1000)</f>
        <v>1.7846399999999998</v>
      </c>
      <c r="I79" s="14">
        <v>0</v>
      </c>
    </row>
    <row r="80" spans="1:22" ht="15.75" hidden="1" customHeight="1">
      <c r="A80" s="31"/>
      <c r="B80" s="16" t="s">
        <v>128</v>
      </c>
      <c r="C80" s="18" t="s">
        <v>80</v>
      </c>
      <c r="D80" s="16" t="s">
        <v>66</v>
      </c>
      <c r="E80" s="20">
        <v>12</v>
      </c>
      <c r="F80" s="14">
        <f>E80</f>
        <v>12</v>
      </c>
      <c r="G80" s="14">
        <v>122.35</v>
      </c>
      <c r="H80" s="97">
        <f t="shared" si="12"/>
        <v>1.4681999999999997</v>
      </c>
      <c r="I80" s="14">
        <v>0</v>
      </c>
    </row>
    <row r="81" spans="1:9" ht="15.75" hidden="1" customHeight="1">
      <c r="A81" s="31"/>
      <c r="B81" s="16" t="s">
        <v>129</v>
      </c>
      <c r="C81" s="18" t="s">
        <v>130</v>
      </c>
      <c r="D81" s="16" t="s">
        <v>66</v>
      </c>
      <c r="E81" s="20">
        <v>9</v>
      </c>
      <c r="F81" s="14">
        <f>E81/3</f>
        <v>3</v>
      </c>
      <c r="G81" s="14">
        <v>1063.47</v>
      </c>
      <c r="H81" s="97">
        <f t="shared" si="12"/>
        <v>3.19041</v>
      </c>
      <c r="I81" s="14">
        <v>0</v>
      </c>
    </row>
    <row r="82" spans="1:9" ht="31.5" hidden="1" customHeight="1">
      <c r="A82" s="31"/>
      <c r="B82" s="16" t="s">
        <v>131</v>
      </c>
      <c r="C82" s="18" t="s">
        <v>80</v>
      </c>
      <c r="D82" s="16" t="s">
        <v>66</v>
      </c>
      <c r="E82" s="20">
        <v>6</v>
      </c>
      <c r="F82" s="14">
        <f>E82</f>
        <v>6</v>
      </c>
      <c r="G82" s="14">
        <v>1564.44</v>
      </c>
      <c r="H82" s="97">
        <f t="shared" si="12"/>
        <v>9.3866399999999999</v>
      </c>
      <c r="I82" s="14">
        <v>0</v>
      </c>
    </row>
    <row r="83" spans="1:9" ht="31.5" hidden="1" customHeight="1">
      <c r="A83" s="31"/>
      <c r="B83" s="16" t="s">
        <v>132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1906.89</v>
      </c>
      <c r="H83" s="97">
        <f t="shared" si="12"/>
        <v>11.44134</v>
      </c>
      <c r="I83" s="14">
        <v>0</v>
      </c>
    </row>
    <row r="84" spans="1:9" ht="31.5" hidden="1" customHeight="1">
      <c r="A84" s="31"/>
      <c r="B84" s="16" t="s">
        <v>133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664.35</v>
      </c>
      <c r="H84" s="97">
        <f t="shared" si="12"/>
        <v>3.9861000000000004</v>
      </c>
      <c r="I84" s="14">
        <v>0</v>
      </c>
    </row>
    <row r="85" spans="1:9" ht="31.5" hidden="1" customHeight="1">
      <c r="A85" s="31"/>
      <c r="B85" s="16" t="s">
        <v>134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778.85</v>
      </c>
      <c r="H85" s="97">
        <f t="shared" si="12"/>
        <v>4.6731000000000007</v>
      </c>
      <c r="I85" s="14">
        <v>0</v>
      </c>
    </row>
    <row r="86" spans="1:9" ht="15.75" hidden="1" customHeight="1">
      <c r="A86" s="31"/>
      <c r="B86" s="16" t="s">
        <v>135</v>
      </c>
      <c r="C86" s="18" t="s">
        <v>123</v>
      </c>
      <c r="D86" s="16" t="s">
        <v>66</v>
      </c>
      <c r="E86" s="20">
        <v>3</v>
      </c>
      <c r="F86" s="14">
        <v>3</v>
      </c>
      <c r="G86" s="14">
        <v>498.11</v>
      </c>
      <c r="H86" s="97">
        <f t="shared" si="12"/>
        <v>1.4943299999999999</v>
      </c>
      <c r="I86" s="14">
        <v>0</v>
      </c>
    </row>
    <row r="87" spans="1:9" ht="31.5" hidden="1" customHeight="1">
      <c r="A87" s="31"/>
      <c r="B87" s="16" t="s">
        <v>136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1264.3399999999999</v>
      </c>
      <c r="H87" s="97">
        <f t="shared" si="12"/>
        <v>7.5860399999999988</v>
      </c>
      <c r="I87" s="14">
        <v>0</v>
      </c>
    </row>
    <row r="88" spans="1:9" ht="15.75" customHeight="1">
      <c r="A88" s="31">
        <v>17</v>
      </c>
      <c r="B88" s="16" t="s">
        <v>137</v>
      </c>
      <c r="C88" s="18" t="s">
        <v>28</v>
      </c>
      <c r="D88" s="16" t="s">
        <v>179</v>
      </c>
      <c r="E88" s="20">
        <v>823</v>
      </c>
      <c r="F88" s="14">
        <f>E88*2/1000</f>
        <v>1.6459999999999999</v>
      </c>
      <c r="G88" s="14">
        <v>1707.71</v>
      </c>
      <c r="H88" s="97">
        <f t="shared" si="12"/>
        <v>2.8108906600000001</v>
      </c>
      <c r="I88" s="14">
        <f t="shared" ref="I88" si="13">F88/2*G88</f>
        <v>1405.44533</v>
      </c>
    </row>
    <row r="89" spans="1:9" ht="15.75" hidden="1" customHeight="1">
      <c r="A89" s="54"/>
      <c r="B89" s="70" t="s">
        <v>120</v>
      </c>
      <c r="C89" s="70"/>
      <c r="D89" s="70"/>
      <c r="E89" s="70"/>
      <c r="F89" s="70"/>
      <c r="G89" s="70"/>
      <c r="H89" s="70"/>
      <c r="I89" s="20"/>
    </row>
    <row r="90" spans="1:9" ht="15.75" hidden="1" customHeight="1">
      <c r="A90" s="31">
        <v>15</v>
      </c>
      <c r="B90" s="81" t="s">
        <v>121</v>
      </c>
      <c r="C90" s="18"/>
      <c r="D90" s="16"/>
      <c r="E90" s="20"/>
      <c r="F90" s="14">
        <v>1</v>
      </c>
      <c r="G90" s="14">
        <v>14087.8</v>
      </c>
      <c r="H90" s="97">
        <f>G90*F90/1000</f>
        <v>14.0878</v>
      </c>
      <c r="I90" s="14">
        <f>G90</f>
        <v>14087.8</v>
      </c>
    </row>
    <row r="91" spans="1:9" ht="33" hidden="1" customHeight="1">
      <c r="A91" s="140">
        <v>22</v>
      </c>
      <c r="B91" s="145" t="s">
        <v>199</v>
      </c>
      <c r="C91" s="144" t="s">
        <v>200</v>
      </c>
      <c r="D91" s="145"/>
      <c r="E91" s="146">
        <v>1810.5</v>
      </c>
      <c r="F91" s="148">
        <f>E91*12</f>
        <v>21726</v>
      </c>
      <c r="G91" s="148">
        <v>2.4900000000000002</v>
      </c>
      <c r="H91" s="141"/>
      <c r="I91" s="142">
        <f>G91*F91/12</f>
        <v>4508.1450000000004</v>
      </c>
    </row>
    <row r="92" spans="1:9" ht="15.75" customHeight="1">
      <c r="A92" s="170" t="s">
        <v>147</v>
      </c>
      <c r="B92" s="171"/>
      <c r="C92" s="171"/>
      <c r="D92" s="171"/>
      <c r="E92" s="171"/>
      <c r="F92" s="171"/>
      <c r="G92" s="171"/>
      <c r="H92" s="171"/>
      <c r="I92" s="172"/>
    </row>
    <row r="93" spans="1:9" ht="15.75" customHeight="1">
      <c r="A93" s="31">
        <v>18</v>
      </c>
      <c r="B93" s="81" t="s">
        <v>138</v>
      </c>
      <c r="C93" s="18" t="s">
        <v>55</v>
      </c>
      <c r="D93" s="99"/>
      <c r="E93" s="14">
        <v>1810.5</v>
      </c>
      <c r="F93" s="14">
        <f>SUM(E93*12)</f>
        <v>21726</v>
      </c>
      <c r="G93" s="14">
        <v>2.95</v>
      </c>
      <c r="H93" s="97">
        <f>SUM(F93*G93/1000)</f>
        <v>64.091700000000003</v>
      </c>
      <c r="I93" s="14">
        <f>F93/12*G93</f>
        <v>5340.9750000000004</v>
      </c>
    </row>
    <row r="94" spans="1:9" ht="31.5" customHeight="1">
      <c r="A94" s="31">
        <v>19</v>
      </c>
      <c r="B94" s="16" t="s">
        <v>77</v>
      </c>
      <c r="C94" s="18" t="s">
        <v>55</v>
      </c>
      <c r="D94" s="99"/>
      <c r="E94" s="83">
        <v>1810.5</v>
      </c>
      <c r="F94" s="14">
        <f>E94*12</f>
        <v>21726</v>
      </c>
      <c r="G94" s="14">
        <v>3.05</v>
      </c>
      <c r="H94" s="97">
        <f>F94*G94/1000</f>
        <v>66.264300000000006</v>
      </c>
      <c r="I94" s="14">
        <f>F94/12*G94</f>
        <v>5522.0249999999996</v>
      </c>
    </row>
    <row r="95" spans="1:9" ht="15.75" customHeight="1">
      <c r="A95" s="54"/>
      <c r="B95" s="41" t="s">
        <v>79</v>
      </c>
      <c r="C95" s="42"/>
      <c r="D95" s="17"/>
      <c r="E95" s="17"/>
      <c r="F95" s="17"/>
      <c r="G95" s="20"/>
      <c r="H95" s="20"/>
      <c r="I95" s="34">
        <f>I94+I93+I88+I52+I51+I50+I49+I48+I47+I46+I45+I44+I33+I32+I31+I30+I18+I17+I16</f>
        <v>27787.450111966667</v>
      </c>
    </row>
    <row r="96" spans="1:9" ht="15.75" customHeight="1">
      <c r="A96" s="173" t="s">
        <v>60</v>
      </c>
      <c r="B96" s="174"/>
      <c r="C96" s="174"/>
      <c r="D96" s="174"/>
      <c r="E96" s="174"/>
      <c r="F96" s="174"/>
      <c r="G96" s="174"/>
      <c r="H96" s="174"/>
      <c r="I96" s="175"/>
    </row>
    <row r="97" spans="1:9" ht="15.75" customHeight="1">
      <c r="A97" s="31">
        <v>20</v>
      </c>
      <c r="B97" s="125" t="s">
        <v>165</v>
      </c>
      <c r="C97" s="126" t="s">
        <v>166</v>
      </c>
      <c r="D97" s="122"/>
      <c r="E97" s="123"/>
      <c r="F97" s="123"/>
      <c r="G97" s="105">
        <v>1.4</v>
      </c>
      <c r="H97" s="124"/>
      <c r="I97" s="104">
        <f>G97*12</f>
        <v>16.799999999999997</v>
      </c>
    </row>
    <row r="98" spans="1:9" ht="16.5" customHeight="1">
      <c r="A98" s="31">
        <v>21</v>
      </c>
      <c r="B98" s="128" t="s">
        <v>230</v>
      </c>
      <c r="C98" s="129" t="s">
        <v>28</v>
      </c>
      <c r="D98" s="16"/>
      <c r="E98" s="20"/>
      <c r="F98" s="14">
        <v>0.502</v>
      </c>
      <c r="G98" s="14">
        <v>241.69</v>
      </c>
      <c r="H98" s="124"/>
      <c r="I98" s="104">
        <f>G98*0.502</f>
        <v>121.32838</v>
      </c>
    </row>
    <row r="99" spans="1:9" ht="19.5" customHeight="1">
      <c r="A99" s="31">
        <v>22</v>
      </c>
      <c r="B99" s="128" t="s">
        <v>231</v>
      </c>
      <c r="C99" s="129" t="s">
        <v>116</v>
      </c>
      <c r="D99" s="16" t="s">
        <v>232</v>
      </c>
      <c r="E99" s="20"/>
      <c r="F99" s="14">
        <v>1</v>
      </c>
      <c r="G99" s="14">
        <v>101.85</v>
      </c>
      <c r="H99" s="124"/>
      <c r="I99" s="104">
        <v>0</v>
      </c>
    </row>
    <row r="100" spans="1:9" ht="15.75" customHeight="1">
      <c r="A100" s="31"/>
      <c r="B100" s="47" t="s">
        <v>52</v>
      </c>
      <c r="C100" s="43"/>
      <c r="D100" s="55"/>
      <c r="E100" s="55"/>
      <c r="F100" s="43">
        <v>1</v>
      </c>
      <c r="G100" s="43"/>
      <c r="H100" s="43"/>
      <c r="I100" s="34">
        <f>SUM(I97:I99)</f>
        <v>138.12837999999999</v>
      </c>
    </row>
    <row r="101" spans="1:9" ht="15.75" customHeight="1">
      <c r="A101" s="31"/>
      <c r="B101" s="53" t="s">
        <v>78</v>
      </c>
      <c r="C101" s="17"/>
      <c r="D101" s="17"/>
      <c r="E101" s="17"/>
      <c r="F101" s="44"/>
      <c r="G101" s="45"/>
      <c r="H101" s="45"/>
      <c r="I101" s="19">
        <v>0</v>
      </c>
    </row>
    <row r="102" spans="1:9" ht="15.75" customHeight="1">
      <c r="A102" s="56"/>
      <c r="B102" s="48" t="s">
        <v>148</v>
      </c>
      <c r="C102" s="36"/>
      <c r="D102" s="36"/>
      <c r="E102" s="36"/>
      <c r="F102" s="36"/>
      <c r="G102" s="36"/>
      <c r="H102" s="36"/>
      <c r="I102" s="46">
        <f>I95+I100</f>
        <v>27925.578491966666</v>
      </c>
    </row>
    <row r="103" spans="1:9" ht="15.75">
      <c r="A103" s="159" t="s">
        <v>233</v>
      </c>
      <c r="B103" s="159"/>
      <c r="C103" s="159"/>
      <c r="D103" s="159"/>
      <c r="E103" s="159"/>
      <c r="F103" s="159"/>
      <c r="G103" s="159"/>
      <c r="H103" s="159"/>
      <c r="I103" s="159"/>
    </row>
    <row r="104" spans="1:9" ht="15.75">
      <c r="A104" s="72"/>
      <c r="B104" s="160" t="s">
        <v>234</v>
      </c>
      <c r="C104" s="160"/>
      <c r="D104" s="160"/>
      <c r="E104" s="160"/>
      <c r="F104" s="160"/>
      <c r="G104" s="160"/>
      <c r="H104" s="79"/>
      <c r="I104" s="3"/>
    </row>
    <row r="105" spans="1:9">
      <c r="A105" s="68"/>
      <c r="B105" s="158" t="s">
        <v>6</v>
      </c>
      <c r="C105" s="158"/>
      <c r="D105" s="158"/>
      <c r="E105" s="158"/>
      <c r="F105" s="158"/>
      <c r="G105" s="158"/>
      <c r="H105" s="26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61" t="s">
        <v>7</v>
      </c>
      <c r="B107" s="161"/>
      <c r="C107" s="161"/>
      <c r="D107" s="161"/>
      <c r="E107" s="161"/>
      <c r="F107" s="161"/>
      <c r="G107" s="161"/>
      <c r="H107" s="161"/>
      <c r="I107" s="161"/>
    </row>
    <row r="108" spans="1:9" ht="15.75">
      <c r="A108" s="161" t="s">
        <v>8</v>
      </c>
      <c r="B108" s="161"/>
      <c r="C108" s="161"/>
      <c r="D108" s="161"/>
      <c r="E108" s="161"/>
      <c r="F108" s="161"/>
      <c r="G108" s="161"/>
      <c r="H108" s="161"/>
      <c r="I108" s="161"/>
    </row>
    <row r="109" spans="1:9" ht="15.75">
      <c r="A109" s="155" t="s">
        <v>61</v>
      </c>
      <c r="B109" s="155"/>
      <c r="C109" s="155"/>
      <c r="D109" s="155"/>
      <c r="E109" s="155"/>
      <c r="F109" s="155"/>
      <c r="G109" s="155"/>
      <c r="H109" s="155"/>
      <c r="I109" s="155"/>
    </row>
    <row r="110" spans="1:9" ht="15.75">
      <c r="A110" s="11"/>
    </row>
    <row r="111" spans="1:9" ht="15.75">
      <c r="A111" s="156" t="s">
        <v>9</v>
      </c>
      <c r="B111" s="156"/>
      <c r="C111" s="156"/>
      <c r="D111" s="156"/>
      <c r="E111" s="156"/>
      <c r="F111" s="156"/>
      <c r="G111" s="156"/>
      <c r="H111" s="156"/>
      <c r="I111" s="156"/>
    </row>
    <row r="112" spans="1:9" ht="15.75">
      <c r="A112" s="4"/>
    </row>
    <row r="113" spans="1:9" ht="15.75">
      <c r="B113" s="69" t="s">
        <v>10</v>
      </c>
      <c r="C113" s="157" t="s">
        <v>196</v>
      </c>
      <c r="D113" s="157"/>
      <c r="E113" s="157"/>
      <c r="F113" s="157"/>
      <c r="I113" s="67"/>
    </row>
    <row r="114" spans="1:9">
      <c r="A114" s="68"/>
      <c r="C114" s="158" t="s">
        <v>11</v>
      </c>
      <c r="D114" s="158"/>
      <c r="E114" s="158"/>
      <c r="F114" s="158"/>
      <c r="I114" s="66" t="s">
        <v>12</v>
      </c>
    </row>
    <row r="115" spans="1:9" ht="15.75">
      <c r="A115" s="27"/>
      <c r="C115" s="12"/>
      <c r="D115" s="12"/>
      <c r="E115" s="12"/>
      <c r="G115" s="12"/>
      <c r="H115" s="12"/>
    </row>
    <row r="116" spans="1:9" ht="15.75">
      <c r="B116" s="69" t="s">
        <v>13</v>
      </c>
      <c r="C116" s="152"/>
      <c r="D116" s="152"/>
      <c r="E116" s="152"/>
      <c r="F116" s="152"/>
      <c r="I116" s="67"/>
    </row>
    <row r="117" spans="1:9">
      <c r="A117" s="68"/>
      <c r="C117" s="153" t="s">
        <v>11</v>
      </c>
      <c r="D117" s="153"/>
      <c r="E117" s="153"/>
      <c r="F117" s="153"/>
      <c r="I117" s="66" t="s">
        <v>12</v>
      </c>
    </row>
    <row r="118" spans="1:9" ht="15.75">
      <c r="A118" s="4" t="s">
        <v>14</v>
      </c>
    </row>
    <row r="119" spans="1:9">
      <c r="A119" s="154" t="s">
        <v>15</v>
      </c>
      <c r="B119" s="154"/>
      <c r="C119" s="154"/>
      <c r="D119" s="154"/>
      <c r="E119" s="154"/>
      <c r="F119" s="154"/>
      <c r="G119" s="154"/>
      <c r="H119" s="154"/>
      <c r="I119" s="154"/>
    </row>
    <row r="120" spans="1:9" ht="45" customHeight="1">
      <c r="A120" s="151" t="s">
        <v>16</v>
      </c>
      <c r="B120" s="151"/>
      <c r="C120" s="151"/>
      <c r="D120" s="151"/>
      <c r="E120" s="151"/>
      <c r="F120" s="151"/>
      <c r="G120" s="151"/>
      <c r="H120" s="151"/>
      <c r="I120" s="151"/>
    </row>
    <row r="121" spans="1:9" ht="30" customHeight="1">
      <c r="A121" s="151" t="s">
        <v>17</v>
      </c>
      <c r="B121" s="151"/>
      <c r="C121" s="151"/>
      <c r="D121" s="151"/>
      <c r="E121" s="151"/>
      <c r="F121" s="151"/>
      <c r="G121" s="151"/>
      <c r="H121" s="151"/>
      <c r="I121" s="151"/>
    </row>
    <row r="122" spans="1:9" ht="30" customHeight="1">
      <c r="A122" s="151" t="s">
        <v>21</v>
      </c>
      <c r="B122" s="151"/>
      <c r="C122" s="151"/>
      <c r="D122" s="151"/>
      <c r="E122" s="151"/>
      <c r="F122" s="151"/>
      <c r="G122" s="151"/>
      <c r="H122" s="151"/>
      <c r="I122" s="151"/>
    </row>
    <row r="123" spans="1:9" ht="15" customHeight="1">
      <c r="A123" s="151" t="s">
        <v>20</v>
      </c>
      <c r="B123" s="151"/>
      <c r="C123" s="151"/>
      <c r="D123" s="151"/>
      <c r="E123" s="151"/>
      <c r="F123" s="151"/>
      <c r="G123" s="151"/>
      <c r="H123" s="151"/>
      <c r="I123" s="151"/>
    </row>
  </sheetData>
  <autoFilter ref="I12:I63"/>
  <mergeCells count="29">
    <mergeCell ref="A119:I119"/>
    <mergeCell ref="A120:I120"/>
    <mergeCell ref="A121:I121"/>
    <mergeCell ref="A122:I122"/>
    <mergeCell ref="A123:I123"/>
    <mergeCell ref="R68:U68"/>
    <mergeCell ref="C117:F117"/>
    <mergeCell ref="A96:I96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C116:F116"/>
    <mergeCell ref="A92:I92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8"/>
  <sheetViews>
    <sheetView topLeftCell="A61" zoomScaleNormal="100" workbookViewId="0">
      <selection activeCell="A113" sqref="A113:I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2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158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235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44377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197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customHeight="1">
      <c r="A19" s="31">
        <v>4</v>
      </c>
      <c r="B19" s="81" t="s">
        <v>93</v>
      </c>
      <c r="C19" s="82" t="s">
        <v>89</v>
      </c>
      <c r="D19" s="81" t="s">
        <v>187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f>G19*F19</f>
        <v>323.9622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95</v>
      </c>
      <c r="C20" s="82" t="s">
        <v>53</v>
      </c>
      <c r="D20" s="81" t="s">
        <v>188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f>G20*F20</f>
        <v>24.247</v>
      </c>
      <c r="J20" s="24"/>
      <c r="K20" s="8"/>
      <c r="L20" s="8"/>
      <c r="M20" s="8"/>
    </row>
    <row r="21" spans="1:13" ht="15.75" hidden="1" customHeight="1">
      <c r="A21" s="31">
        <v>6</v>
      </c>
      <c r="B21" s="81" t="s">
        <v>96</v>
      </c>
      <c r="C21" s="82" t="s">
        <v>92</v>
      </c>
      <c r="D21" s="81" t="s">
        <v>179</v>
      </c>
      <c r="E21" s="83">
        <v>19.62</v>
      </c>
      <c r="F21" s="84">
        <f>SUM(E21*2/100)</f>
        <v>0.39240000000000003</v>
      </c>
      <c r="G21" s="84">
        <v>271.12</v>
      </c>
      <c r="H21" s="85">
        <f t="shared" si="0"/>
        <v>0.106387488</v>
      </c>
      <c r="I21" s="14">
        <f>G21*F21/2</f>
        <v>53.193744000000002</v>
      </c>
      <c r="J21" s="24"/>
      <c r="K21" s="8"/>
      <c r="L21" s="8"/>
      <c r="M21" s="8"/>
    </row>
    <row r="22" spans="1:13" ht="15.75" hidden="1" customHeight="1">
      <c r="A22" s="31">
        <v>7</v>
      </c>
      <c r="B22" s="81" t="s">
        <v>97</v>
      </c>
      <c r="C22" s="82" t="s">
        <v>92</v>
      </c>
      <c r="D22" s="81" t="s">
        <v>179</v>
      </c>
      <c r="E22" s="83">
        <v>8.68</v>
      </c>
      <c r="F22" s="84">
        <f>SUM(E22*2/100)</f>
        <v>0.1736</v>
      </c>
      <c r="G22" s="84">
        <v>268.92</v>
      </c>
      <c r="H22" s="85">
        <f t="shared" si="0"/>
        <v>4.6684512000000004E-2</v>
      </c>
      <c r="I22" s="14">
        <f>G22*F22/2</f>
        <v>23.342256000000003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98</v>
      </c>
      <c r="C23" s="82" t="s">
        <v>53</v>
      </c>
      <c r="D23" s="81" t="s">
        <v>189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f>G23*F23</f>
        <v>720.35749999999996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99</v>
      </c>
      <c r="C24" s="82" t="s">
        <v>53</v>
      </c>
      <c r="D24" s="81" t="s">
        <v>190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f>G24*F24</f>
        <v>9.7196400000000001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100</v>
      </c>
      <c r="C25" s="82" t="s">
        <v>53</v>
      </c>
      <c r="D25" s="81" t="s">
        <v>187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f>G25*F25</f>
        <v>93.319200000000009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140</v>
      </c>
      <c r="C26" s="82" t="s">
        <v>53</v>
      </c>
      <c r="D26" s="81" t="s">
        <v>188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f>G26*F26</f>
        <v>24.2028</v>
      </c>
      <c r="J26" s="24"/>
      <c r="K26" s="8"/>
      <c r="L26" s="8"/>
      <c r="M26" s="8"/>
    </row>
    <row r="27" spans="1:13" ht="15.75" hidden="1" customHeight="1">
      <c r="A27" s="31">
        <v>12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77" t="s">
        <v>82</v>
      </c>
      <c r="B28" s="177"/>
      <c r="C28" s="177"/>
      <c r="D28" s="177"/>
      <c r="E28" s="177"/>
      <c r="F28" s="177"/>
      <c r="G28" s="177"/>
      <c r="H28" s="177"/>
      <c r="I28" s="177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5</v>
      </c>
      <c r="B30" s="81" t="s">
        <v>101</v>
      </c>
      <c r="C30" s="82" t="s">
        <v>102</v>
      </c>
      <c r="D30" s="81" t="s">
        <v>180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3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6</v>
      </c>
      <c r="B31" s="81" t="s">
        <v>104</v>
      </c>
      <c r="C31" s="82" t="s">
        <v>102</v>
      </c>
      <c r="D31" s="81" t="s">
        <v>172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102</v>
      </c>
      <c r="D32" s="81" t="s">
        <v>181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7</v>
      </c>
      <c r="B33" s="81" t="s">
        <v>106</v>
      </c>
      <c r="C33" s="82" t="s">
        <v>40</v>
      </c>
      <c r="D33" s="81" t="s">
        <v>176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ref="H34:H35" si="3">SUM(F34*G34/1000)</f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3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4">SUM(F37*G37/1000)</f>
        <v>3.8007399999999998</v>
      </c>
      <c r="I37" s="14">
        <f t="shared" ref="I37:I42" si="5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108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4"/>
        <v>2.6845187400000001</v>
      </c>
      <c r="I38" s="14">
        <f t="shared" si="5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109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4"/>
        <v>2.3136214500000003</v>
      </c>
      <c r="I39" s="14">
        <f t="shared" si="5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102</v>
      </c>
      <c r="D40" s="81" t="s">
        <v>110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4"/>
        <v>8.6437883699999993</v>
      </c>
      <c r="I40" s="14">
        <f t="shared" si="5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111</v>
      </c>
      <c r="C41" s="82" t="s">
        <v>102</v>
      </c>
      <c r="D41" s="81" t="s">
        <v>112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4"/>
        <v>0.36487980000000003</v>
      </c>
      <c r="I41" s="14">
        <f t="shared" si="5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4"/>
        <v>0.49648500000000001</v>
      </c>
      <c r="I42" s="14">
        <f t="shared" si="5"/>
        <v>82.747500000000002</v>
      </c>
      <c r="J42" s="25"/>
      <c r="L42" s="21"/>
      <c r="M42" s="22"/>
      <c r="N42" s="23"/>
    </row>
    <row r="43" spans="1:14" ht="15.75" customHeight="1">
      <c r="A43" s="162" t="s">
        <v>145</v>
      </c>
      <c r="B43" s="163"/>
      <c r="C43" s="163"/>
      <c r="D43" s="163"/>
      <c r="E43" s="163"/>
      <c r="F43" s="163"/>
      <c r="G43" s="163"/>
      <c r="H43" s="163"/>
      <c r="I43" s="164"/>
      <c r="J43" s="25"/>
      <c r="L43" s="21"/>
      <c r="M43" s="22"/>
      <c r="N43" s="23"/>
    </row>
    <row r="44" spans="1:14" ht="15.75" hidden="1" customHeight="1">
      <c r="A44" s="42">
        <v>19</v>
      </c>
      <c r="B44" s="81" t="s">
        <v>113</v>
      </c>
      <c r="C44" s="82" t="s">
        <v>102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6">SUM(F44*G44/1000)</f>
        <v>2.6521417440000006</v>
      </c>
      <c r="I44" s="14">
        <f t="shared" ref="I44:I47" si="7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20</v>
      </c>
      <c r="B45" s="81" t="s">
        <v>35</v>
      </c>
      <c r="C45" s="82" t="s">
        <v>102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6"/>
        <v>2.8553184000000002E-2</v>
      </c>
      <c r="I45" s="14">
        <f t="shared" si="7"/>
        <v>14.276592000000001</v>
      </c>
      <c r="J45" s="25"/>
      <c r="L45" s="21"/>
      <c r="M45" s="22"/>
      <c r="N45" s="23"/>
    </row>
    <row r="46" spans="1:14" ht="15.75" hidden="1" customHeight="1">
      <c r="A46" s="42">
        <v>21</v>
      </c>
      <c r="B46" s="81" t="s">
        <v>36</v>
      </c>
      <c r="C46" s="82" t="s">
        <v>102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6"/>
        <v>2.2617645503999997</v>
      </c>
      <c r="I46" s="14">
        <f t="shared" si="7"/>
        <v>1130.8822751999999</v>
      </c>
      <c r="J46" s="25"/>
      <c r="L46" s="21"/>
      <c r="M46" s="22"/>
      <c r="N46" s="23"/>
    </row>
    <row r="47" spans="1:14" ht="15.75" hidden="1" customHeight="1">
      <c r="A47" s="42">
        <v>22</v>
      </c>
      <c r="B47" s="81" t="s">
        <v>37</v>
      </c>
      <c r="C47" s="82" t="s">
        <v>102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6"/>
        <v>2.7280312466000001</v>
      </c>
      <c r="I47" s="14">
        <f t="shared" si="7"/>
        <v>1364.0156233</v>
      </c>
      <c r="J47" s="25"/>
      <c r="L47" s="21"/>
      <c r="M47" s="22"/>
      <c r="N47" s="23"/>
    </row>
    <row r="48" spans="1:14" ht="15.75" hidden="1" customHeight="1">
      <c r="A48" s="42">
        <v>23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6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24</v>
      </c>
      <c r="B49" s="81" t="s">
        <v>56</v>
      </c>
      <c r="C49" s="82" t="s">
        <v>102</v>
      </c>
      <c r="D49" s="81" t="s">
        <v>142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6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25</v>
      </c>
      <c r="B50" s="81" t="s">
        <v>114</v>
      </c>
      <c r="C50" s="82" t="s">
        <v>102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6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26</v>
      </c>
      <c r="B51" s="81" t="s">
        <v>115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6"/>
        <v>0.69307200000000002</v>
      </c>
      <c r="I51" s="14">
        <f t="shared" ref="I51:I52" si="8">F51/2*G51</f>
        <v>346.536</v>
      </c>
      <c r="J51" s="25"/>
      <c r="L51" s="21"/>
      <c r="M51" s="22"/>
      <c r="N51" s="23"/>
    </row>
    <row r="52" spans="1:14" ht="15.75" hidden="1" customHeight="1">
      <c r="A52" s="42">
        <v>27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6"/>
        <v>0.1406626</v>
      </c>
      <c r="I52" s="14">
        <f t="shared" si="8"/>
        <v>70.331299999999999</v>
      </c>
      <c r="J52" s="25"/>
      <c r="L52" s="21"/>
      <c r="M52" s="22"/>
      <c r="N52" s="23"/>
    </row>
    <row r="53" spans="1:14" ht="15.75" customHeight="1">
      <c r="A53" s="42">
        <v>8</v>
      </c>
      <c r="B53" s="81" t="s">
        <v>141</v>
      </c>
      <c r="C53" s="82" t="s">
        <v>29</v>
      </c>
      <c r="D53" s="136">
        <v>44349</v>
      </c>
      <c r="E53" s="83">
        <v>36</v>
      </c>
      <c r="F53" s="84">
        <f>E53*3</f>
        <v>108</v>
      </c>
      <c r="G53" s="14">
        <v>175.6</v>
      </c>
      <c r="H53" s="85">
        <f t="shared" si="6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.75" customHeight="1">
      <c r="A54" s="42">
        <v>9</v>
      </c>
      <c r="B54" s="81" t="s">
        <v>41</v>
      </c>
      <c r="C54" s="82" t="s">
        <v>29</v>
      </c>
      <c r="D54" s="136">
        <v>44349</v>
      </c>
      <c r="E54" s="83">
        <v>36</v>
      </c>
      <c r="F54" s="84">
        <f>SUM(E54)*3</f>
        <v>108</v>
      </c>
      <c r="G54" s="14">
        <v>81.73</v>
      </c>
      <c r="H54" s="85">
        <f t="shared" si="6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62" t="s">
        <v>146</v>
      </c>
      <c r="B55" s="163"/>
      <c r="C55" s="163"/>
      <c r="D55" s="163"/>
      <c r="E55" s="163"/>
      <c r="F55" s="163"/>
      <c r="G55" s="163"/>
      <c r="H55" s="163"/>
      <c r="I55" s="164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149</v>
      </c>
      <c r="C57" s="82" t="s">
        <v>92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85</v>
      </c>
      <c r="C58" s="82" t="s">
        <v>150</v>
      </c>
      <c r="D58" s="81" t="s">
        <v>66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12</v>
      </c>
      <c r="B62" s="16" t="s">
        <v>47</v>
      </c>
      <c r="C62" s="18" t="s">
        <v>116</v>
      </c>
      <c r="D62" s="16" t="s">
        <v>66</v>
      </c>
      <c r="E62" s="20">
        <v>10</v>
      </c>
      <c r="F62" s="84">
        <v>10</v>
      </c>
      <c r="G62" s="14">
        <v>276.74</v>
      </c>
      <c r="H62" s="97">
        <f t="shared" ref="H62:H69" si="9">SUM(F62*G62/1000)</f>
        <v>2.7674000000000003</v>
      </c>
      <c r="I62" s="14">
        <f>G62</f>
        <v>276.74</v>
      </c>
    </row>
    <row r="63" spans="1:14" ht="21.75" hidden="1" customHeight="1">
      <c r="A63" s="31">
        <v>29</v>
      </c>
      <c r="B63" s="16" t="s">
        <v>48</v>
      </c>
      <c r="C63" s="18" t="s">
        <v>116</v>
      </c>
      <c r="D63" s="16" t="s">
        <v>66</v>
      </c>
      <c r="E63" s="20">
        <v>3</v>
      </c>
      <c r="F63" s="84">
        <v>3</v>
      </c>
      <c r="G63" s="14">
        <v>94.89</v>
      </c>
      <c r="H63" s="97">
        <f t="shared" si="9"/>
        <v>0.28467000000000003</v>
      </c>
      <c r="I63" s="14">
        <v>0</v>
      </c>
    </row>
    <row r="64" spans="1:14" ht="19.5" customHeight="1">
      <c r="A64" s="31">
        <v>10</v>
      </c>
      <c r="B64" s="16" t="s">
        <v>49</v>
      </c>
      <c r="C64" s="18" t="s">
        <v>117</v>
      </c>
      <c r="D64" s="16"/>
      <c r="E64" s="83">
        <v>7508</v>
      </c>
      <c r="F64" s="14">
        <f>SUM(E64/100)</f>
        <v>75.08</v>
      </c>
      <c r="G64" s="14">
        <v>263.99</v>
      </c>
      <c r="H64" s="97">
        <f t="shared" si="9"/>
        <v>19.820369200000002</v>
      </c>
      <c r="I64" s="14">
        <f>F64*G64</f>
        <v>19820.369200000001</v>
      </c>
    </row>
    <row r="65" spans="1:22" ht="15.75" customHeight="1">
      <c r="A65" s="31">
        <v>11</v>
      </c>
      <c r="B65" s="16" t="s">
        <v>50</v>
      </c>
      <c r="C65" s="18" t="s">
        <v>118</v>
      </c>
      <c r="D65" s="16"/>
      <c r="E65" s="83">
        <v>7508</v>
      </c>
      <c r="F65" s="14">
        <f>SUM(E65/1000)</f>
        <v>7.508</v>
      </c>
      <c r="G65" s="14">
        <v>205.57</v>
      </c>
      <c r="H65" s="97">
        <f t="shared" si="9"/>
        <v>1.54341956</v>
      </c>
      <c r="I65" s="14">
        <f t="shared" ref="I65:I68" si="10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7.25" customHeight="1">
      <c r="A66" s="31">
        <v>12</v>
      </c>
      <c r="B66" s="16" t="s">
        <v>51</v>
      </c>
      <c r="C66" s="18" t="s">
        <v>76</v>
      </c>
      <c r="D66" s="16"/>
      <c r="E66" s="83">
        <v>1090</v>
      </c>
      <c r="F66" s="14">
        <f>SUM(E66/100)</f>
        <v>10.9</v>
      </c>
      <c r="G66" s="14">
        <v>2581.5300000000002</v>
      </c>
      <c r="H66" s="97">
        <f t="shared" si="9"/>
        <v>28.138677000000005</v>
      </c>
      <c r="I66" s="14">
        <f t="shared" si="10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6.5" customHeight="1">
      <c r="A67" s="31">
        <v>13</v>
      </c>
      <c r="B67" s="98" t="s">
        <v>119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9"/>
        <v>0.35113000000000005</v>
      </c>
      <c r="I67" s="14">
        <f t="shared" si="10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7.25" customHeight="1">
      <c r="A68" s="31">
        <v>14</v>
      </c>
      <c r="B68" s="98" t="s">
        <v>151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9"/>
        <v>0.327598</v>
      </c>
      <c r="I68" s="14">
        <f t="shared" si="10"/>
        <v>327.59800000000001</v>
      </c>
      <c r="J68" s="5"/>
      <c r="K68" s="5"/>
      <c r="L68" s="5"/>
      <c r="M68" s="5"/>
      <c r="N68" s="5"/>
      <c r="O68" s="5"/>
      <c r="P68" s="5"/>
      <c r="Q68" s="5"/>
      <c r="R68" s="153"/>
      <c r="S68" s="153"/>
      <c r="T68" s="153"/>
      <c r="U68" s="153"/>
    </row>
    <row r="69" spans="1:22" ht="29.25" hidden="1" customHeight="1">
      <c r="A69" s="31">
        <v>12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9"/>
        <v>0.18621000000000001</v>
      </c>
      <c r="I69" s="14">
        <f>G69*F69</f>
        <v>186.21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24.75" hidden="1" customHeight="1">
      <c r="A70" s="31"/>
      <c r="B70" s="50" t="s">
        <v>72</v>
      </c>
      <c r="C70" s="50"/>
      <c r="D70" s="50"/>
      <c r="E70" s="50"/>
      <c r="F70" s="20"/>
      <c r="G70" s="31"/>
      <c r="H70" s="31"/>
      <c r="I70" s="20"/>
    </row>
    <row r="71" spans="1:22" ht="26.25" hidden="1" customHeight="1">
      <c r="A71" s="31"/>
      <c r="B71" s="16" t="s">
        <v>122</v>
      </c>
      <c r="C71" s="18" t="s">
        <v>123</v>
      </c>
      <c r="D71" s="39" t="s">
        <v>66</v>
      </c>
      <c r="E71" s="20">
        <v>3</v>
      </c>
      <c r="F71" s="14">
        <v>3</v>
      </c>
      <c r="G71" s="14">
        <v>976.4</v>
      </c>
      <c r="H71" s="97">
        <f t="shared" ref="H71:H75" si="11">SUM(F71*G71/1000)</f>
        <v>2.9291999999999998</v>
      </c>
      <c r="I71" s="14">
        <v>0</v>
      </c>
    </row>
    <row r="72" spans="1:22" ht="25.5" hidden="1" customHeight="1">
      <c r="A72" s="31"/>
      <c r="B72" s="16" t="s">
        <v>124</v>
      </c>
      <c r="C72" s="18" t="s">
        <v>125</v>
      </c>
      <c r="D72" s="16"/>
      <c r="E72" s="20">
        <v>1</v>
      </c>
      <c r="F72" s="14">
        <v>1</v>
      </c>
      <c r="G72" s="14">
        <v>750</v>
      </c>
      <c r="H72" s="97">
        <f t="shared" si="11"/>
        <v>0.75</v>
      </c>
      <c r="I72" s="14">
        <v>0</v>
      </c>
    </row>
    <row r="73" spans="1:22" ht="23.25" hidden="1" customHeight="1">
      <c r="A73" s="31"/>
      <c r="B73" s="16" t="s">
        <v>73</v>
      </c>
      <c r="C73" s="18" t="s">
        <v>30</v>
      </c>
      <c r="D73" s="39" t="s">
        <v>66</v>
      </c>
      <c r="E73" s="20">
        <v>3</v>
      </c>
      <c r="F73" s="14">
        <f>E73/10</f>
        <v>0.3</v>
      </c>
      <c r="G73" s="14">
        <v>624.16999999999996</v>
      </c>
      <c r="H73" s="97">
        <f t="shared" si="11"/>
        <v>0.18725099999999997</v>
      </c>
      <c r="I73" s="14">
        <v>0</v>
      </c>
    </row>
    <row r="74" spans="1:22" ht="25.5" hidden="1" customHeight="1">
      <c r="A74" s="31"/>
      <c r="B74" s="16" t="s">
        <v>74</v>
      </c>
      <c r="C74" s="18" t="s">
        <v>29</v>
      </c>
      <c r="D74" s="39" t="s">
        <v>66</v>
      </c>
      <c r="E74" s="20">
        <v>1</v>
      </c>
      <c r="F74" s="14">
        <v>1</v>
      </c>
      <c r="G74" s="14">
        <v>1061.4100000000001</v>
      </c>
      <c r="H74" s="97">
        <f t="shared" si="11"/>
        <v>1.0614100000000002</v>
      </c>
      <c r="I74" s="14">
        <v>0</v>
      </c>
    </row>
    <row r="75" spans="1:22" ht="26.25" hidden="1" customHeight="1">
      <c r="A75" s="31">
        <v>17</v>
      </c>
      <c r="B75" s="16" t="s">
        <v>86</v>
      </c>
      <c r="C75" s="18" t="s">
        <v>29</v>
      </c>
      <c r="D75" s="39" t="s">
        <v>66</v>
      </c>
      <c r="E75" s="20">
        <v>1</v>
      </c>
      <c r="F75" s="84">
        <f>SUM(E75)</f>
        <v>1</v>
      </c>
      <c r="G75" s="14">
        <v>446.12</v>
      </c>
      <c r="H75" s="97">
        <f t="shared" si="11"/>
        <v>0.44612000000000002</v>
      </c>
      <c r="I75" s="14">
        <v>0</v>
      </c>
    </row>
    <row r="76" spans="1:22" ht="24.75" hidden="1" customHeight="1">
      <c r="A76" s="31"/>
      <c r="B76" s="51" t="s">
        <v>75</v>
      </c>
      <c r="C76" s="40"/>
      <c r="D76" s="31"/>
      <c r="E76" s="31"/>
      <c r="F76" s="20"/>
      <c r="G76" s="38"/>
      <c r="H76" s="38"/>
      <c r="I76" s="20"/>
    </row>
    <row r="77" spans="1:22" ht="24" hidden="1" customHeight="1">
      <c r="A77" s="31">
        <v>39</v>
      </c>
      <c r="B77" s="53" t="s">
        <v>126</v>
      </c>
      <c r="C77" s="18" t="s">
        <v>76</v>
      </c>
      <c r="D77" s="16"/>
      <c r="E77" s="20"/>
      <c r="F77" s="14">
        <v>1.35</v>
      </c>
      <c r="G77" s="14">
        <v>3433.68</v>
      </c>
      <c r="H77" s="97">
        <f t="shared" ref="H77" si="12">SUM(F77*G77/1000)</f>
        <v>4.6354679999999995</v>
      </c>
      <c r="I77" s="14">
        <v>0</v>
      </c>
    </row>
    <row r="78" spans="1:22" ht="25.5" hidden="1" customHeight="1">
      <c r="A78" s="31"/>
      <c r="B78" s="70" t="s">
        <v>88</v>
      </c>
      <c r="C78" s="64"/>
      <c r="D78" s="33"/>
      <c r="E78" s="33"/>
      <c r="F78" s="13"/>
      <c r="G78" s="38"/>
      <c r="H78" s="38"/>
      <c r="I78" s="20"/>
    </row>
    <row r="79" spans="1:22" ht="22.5" hidden="1" customHeight="1">
      <c r="A79" s="31"/>
      <c r="B79" s="16" t="s">
        <v>127</v>
      </c>
      <c r="C79" s="18" t="s">
        <v>87</v>
      </c>
      <c r="D79" s="16" t="s">
        <v>66</v>
      </c>
      <c r="E79" s="20">
        <v>6</v>
      </c>
      <c r="F79" s="14">
        <f>E79</f>
        <v>6</v>
      </c>
      <c r="G79" s="14">
        <v>297.44</v>
      </c>
      <c r="H79" s="97">
        <f t="shared" ref="H79:H88" si="13">SUM(F79*G79/1000)</f>
        <v>1.7846399999999998</v>
      </c>
      <c r="I79" s="14">
        <v>0</v>
      </c>
    </row>
    <row r="80" spans="1:22" ht="25.5" hidden="1" customHeight="1">
      <c r="A80" s="31"/>
      <c r="B80" s="16" t="s">
        <v>128</v>
      </c>
      <c r="C80" s="18" t="s">
        <v>80</v>
      </c>
      <c r="D80" s="16" t="s">
        <v>66</v>
      </c>
      <c r="E80" s="20">
        <v>12</v>
      </c>
      <c r="F80" s="14">
        <f>E80</f>
        <v>12</v>
      </c>
      <c r="G80" s="14">
        <v>122.35</v>
      </c>
      <c r="H80" s="97">
        <f t="shared" si="13"/>
        <v>1.4681999999999997</v>
      </c>
      <c r="I80" s="14">
        <v>0</v>
      </c>
    </row>
    <row r="81" spans="1:9" ht="29.25" hidden="1" customHeight="1">
      <c r="A81" s="31"/>
      <c r="B81" s="16" t="s">
        <v>129</v>
      </c>
      <c r="C81" s="18" t="s">
        <v>130</v>
      </c>
      <c r="D81" s="16" t="s">
        <v>66</v>
      </c>
      <c r="E81" s="20">
        <v>9</v>
      </c>
      <c r="F81" s="14">
        <f>E81/3</f>
        <v>3</v>
      </c>
      <c r="G81" s="14">
        <v>1063.47</v>
      </c>
      <c r="H81" s="97">
        <f t="shared" si="13"/>
        <v>3.19041</v>
      </c>
      <c r="I81" s="14">
        <v>0</v>
      </c>
    </row>
    <row r="82" spans="1:9" ht="31.5" hidden="1" customHeight="1">
      <c r="A82" s="31"/>
      <c r="B82" s="16" t="s">
        <v>131</v>
      </c>
      <c r="C82" s="18" t="s">
        <v>80</v>
      </c>
      <c r="D82" s="16" t="s">
        <v>66</v>
      </c>
      <c r="E82" s="20">
        <v>6</v>
      </c>
      <c r="F82" s="14">
        <f>E82</f>
        <v>6</v>
      </c>
      <c r="G82" s="14">
        <v>1564.44</v>
      </c>
      <c r="H82" s="97">
        <f t="shared" si="13"/>
        <v>9.3866399999999999</v>
      </c>
      <c r="I82" s="14">
        <v>0</v>
      </c>
    </row>
    <row r="83" spans="1:9" ht="31.5" hidden="1" customHeight="1">
      <c r="A83" s="31"/>
      <c r="B83" s="16" t="s">
        <v>132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1906.89</v>
      </c>
      <c r="H83" s="97">
        <f t="shared" si="13"/>
        <v>11.44134</v>
      </c>
      <c r="I83" s="14">
        <v>0</v>
      </c>
    </row>
    <row r="84" spans="1:9" ht="30" hidden="1" customHeight="1">
      <c r="A84" s="31"/>
      <c r="B84" s="16" t="s">
        <v>133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664.35</v>
      </c>
      <c r="H84" s="97">
        <f t="shared" si="13"/>
        <v>3.9861000000000004</v>
      </c>
      <c r="I84" s="14">
        <v>0</v>
      </c>
    </row>
    <row r="85" spans="1:9" ht="24.75" hidden="1" customHeight="1">
      <c r="A85" s="31"/>
      <c r="B85" s="16" t="s">
        <v>134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778.85</v>
      </c>
      <c r="H85" s="97">
        <f t="shared" si="13"/>
        <v>4.6731000000000007</v>
      </c>
      <c r="I85" s="14">
        <v>0</v>
      </c>
    </row>
    <row r="86" spans="1:9" ht="22.5" hidden="1" customHeight="1">
      <c r="A86" s="31"/>
      <c r="B86" s="16" t="s">
        <v>135</v>
      </c>
      <c r="C86" s="18" t="s">
        <v>123</v>
      </c>
      <c r="D86" s="16" t="s">
        <v>66</v>
      </c>
      <c r="E86" s="20">
        <v>3</v>
      </c>
      <c r="F86" s="14">
        <v>3</v>
      </c>
      <c r="G86" s="14">
        <v>498.11</v>
      </c>
      <c r="H86" s="97">
        <f t="shared" si="13"/>
        <v>1.4943299999999999</v>
      </c>
      <c r="I86" s="14">
        <v>0</v>
      </c>
    </row>
    <row r="87" spans="1:9" ht="25.5" hidden="1" customHeight="1">
      <c r="A87" s="31"/>
      <c r="B87" s="16" t="s">
        <v>136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1264.3399999999999</v>
      </c>
      <c r="H87" s="97">
        <f t="shared" si="13"/>
        <v>7.5860399999999988</v>
      </c>
      <c r="I87" s="14">
        <v>0</v>
      </c>
    </row>
    <row r="88" spans="1:9" ht="31.5" hidden="1" customHeight="1">
      <c r="A88" s="31">
        <v>33</v>
      </c>
      <c r="B88" s="16" t="s">
        <v>137</v>
      </c>
      <c r="C88" s="18" t="s">
        <v>28</v>
      </c>
      <c r="D88" s="16" t="s">
        <v>42</v>
      </c>
      <c r="E88" s="20">
        <v>823</v>
      </c>
      <c r="F88" s="14">
        <f>E88*2/1000</f>
        <v>1.6459999999999999</v>
      </c>
      <c r="G88" s="14">
        <v>1707.71</v>
      </c>
      <c r="H88" s="97">
        <f t="shared" si="13"/>
        <v>2.8108906600000001</v>
      </c>
      <c r="I88" s="14">
        <f t="shared" ref="I88" si="14">F88/2*G88</f>
        <v>1405.44533</v>
      </c>
    </row>
    <row r="89" spans="1:9" ht="19.5" hidden="1" customHeight="1">
      <c r="A89" s="54"/>
      <c r="B89" s="70" t="s">
        <v>120</v>
      </c>
      <c r="C89" s="70"/>
      <c r="D89" s="70"/>
      <c r="E89" s="70"/>
      <c r="F89" s="70"/>
      <c r="G89" s="70"/>
      <c r="H89" s="70"/>
      <c r="I89" s="20"/>
    </row>
    <row r="90" spans="1:9" ht="18.75" hidden="1" customHeight="1">
      <c r="A90" s="31">
        <v>15</v>
      </c>
      <c r="B90" s="81" t="s">
        <v>121</v>
      </c>
      <c r="C90" s="18"/>
      <c r="D90" s="16"/>
      <c r="E90" s="20"/>
      <c r="F90" s="14">
        <v>1</v>
      </c>
      <c r="G90" s="14">
        <v>14087.8</v>
      </c>
      <c r="H90" s="97">
        <f>G90*F90/1000</f>
        <v>14.0878</v>
      </c>
      <c r="I90" s="14">
        <f>G90</f>
        <v>14087.8</v>
      </c>
    </row>
    <row r="91" spans="1:9" ht="18.75" hidden="1" customHeight="1">
      <c r="A91" s="140"/>
      <c r="B91" s="143" t="s">
        <v>88</v>
      </c>
      <c r="C91" s="144"/>
      <c r="D91" s="145"/>
      <c r="E91" s="146"/>
      <c r="F91" s="147"/>
      <c r="G91" s="148"/>
      <c r="H91" s="141"/>
      <c r="I91" s="142"/>
    </row>
    <row r="92" spans="1:9" ht="39" hidden="1" customHeight="1">
      <c r="A92" s="140">
        <v>21</v>
      </c>
      <c r="B92" s="145" t="s">
        <v>199</v>
      </c>
      <c r="C92" s="144" t="s">
        <v>200</v>
      </c>
      <c r="D92" s="145"/>
      <c r="E92" s="146">
        <v>1810.5</v>
      </c>
      <c r="F92" s="148">
        <f>E92*12</f>
        <v>21726</v>
      </c>
      <c r="G92" s="148">
        <v>2.4900000000000002</v>
      </c>
      <c r="H92" s="141"/>
      <c r="I92" s="142">
        <f>G92*F92/12</f>
        <v>4508.1450000000004</v>
      </c>
    </row>
    <row r="93" spans="1:9" ht="15.75" customHeight="1">
      <c r="A93" s="170" t="s">
        <v>147</v>
      </c>
      <c r="B93" s="171"/>
      <c r="C93" s="171"/>
      <c r="D93" s="171"/>
      <c r="E93" s="171"/>
      <c r="F93" s="171"/>
      <c r="G93" s="171"/>
      <c r="H93" s="171"/>
      <c r="I93" s="172"/>
    </row>
    <row r="94" spans="1:9" ht="15.75" customHeight="1">
      <c r="A94" s="31">
        <v>15</v>
      </c>
      <c r="B94" s="81" t="s">
        <v>138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16</v>
      </c>
      <c r="B95" s="16" t="s">
        <v>77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79</v>
      </c>
      <c r="C96" s="42"/>
      <c r="D96" s="17"/>
      <c r="E96" s="17"/>
      <c r="F96" s="17"/>
      <c r="G96" s="20"/>
      <c r="H96" s="20"/>
      <c r="I96" s="34">
        <f>I95+I94+I68+I67+I66+I65+I64+I54+I53+I33+I31+I30+I17+I18+I19+I16</f>
        <v>78148.572250266661</v>
      </c>
    </row>
    <row r="97" spans="1:9" ht="15.75" customHeight="1">
      <c r="A97" s="173" t="s">
        <v>60</v>
      </c>
      <c r="B97" s="174"/>
      <c r="C97" s="174"/>
      <c r="D97" s="174"/>
      <c r="E97" s="174"/>
      <c r="F97" s="174"/>
      <c r="G97" s="174"/>
      <c r="H97" s="174"/>
      <c r="I97" s="175"/>
    </row>
    <row r="98" spans="1:9" ht="15.75" customHeight="1">
      <c r="A98" s="43">
        <v>17</v>
      </c>
      <c r="B98" s="125" t="s">
        <v>165</v>
      </c>
      <c r="C98" s="126" t="s">
        <v>166</v>
      </c>
      <c r="D98" s="122"/>
      <c r="E98" s="123"/>
      <c r="F98" s="123"/>
      <c r="G98" s="105">
        <v>1.4</v>
      </c>
      <c r="H98" s="124"/>
      <c r="I98" s="104">
        <f>G98*12</f>
        <v>16.799999999999997</v>
      </c>
    </row>
    <row r="99" spans="1:9" ht="32.25" hidden="1" customHeight="1">
      <c r="A99" s="31">
        <v>18</v>
      </c>
      <c r="B99" s="128"/>
      <c r="C99" s="129"/>
      <c r="D99" s="49"/>
      <c r="E99" s="49"/>
      <c r="F99" s="49"/>
      <c r="G99" s="38"/>
      <c r="H99" s="49"/>
      <c r="I99" s="127"/>
    </row>
    <row r="100" spans="1:9" ht="16.5" customHeight="1">
      <c r="A100" s="31">
        <v>18</v>
      </c>
      <c r="B100" s="128" t="s">
        <v>236</v>
      </c>
      <c r="C100" s="129" t="s">
        <v>87</v>
      </c>
      <c r="D100" s="16" t="s">
        <v>239</v>
      </c>
      <c r="E100" s="20"/>
      <c r="F100" s="14">
        <v>3</v>
      </c>
      <c r="G100" s="14">
        <v>1620.57</v>
      </c>
      <c r="H100" s="49"/>
      <c r="I100" s="127">
        <f>G100*3</f>
        <v>4861.71</v>
      </c>
    </row>
    <row r="101" spans="1:9" ht="15.75" customHeight="1">
      <c r="A101" s="31">
        <v>26</v>
      </c>
      <c r="B101" s="128" t="s">
        <v>237</v>
      </c>
      <c r="C101" s="129" t="s">
        <v>116</v>
      </c>
      <c r="D101" s="16" t="s">
        <v>240</v>
      </c>
      <c r="E101" s="20"/>
      <c r="F101" s="14">
        <v>2</v>
      </c>
      <c r="G101" s="14">
        <v>6426</v>
      </c>
      <c r="H101" s="49"/>
      <c r="I101" s="127">
        <f>G101*2</f>
        <v>12852</v>
      </c>
    </row>
    <row r="102" spans="1:9" ht="17.25" customHeight="1">
      <c r="A102" s="31">
        <v>19</v>
      </c>
      <c r="B102" s="128" t="s">
        <v>238</v>
      </c>
      <c r="C102" s="129" t="s">
        <v>116</v>
      </c>
      <c r="D102" s="16" t="s">
        <v>87</v>
      </c>
      <c r="E102" s="20"/>
      <c r="F102" s="14">
        <v>1</v>
      </c>
      <c r="G102" s="14">
        <v>1260</v>
      </c>
      <c r="H102" s="49"/>
      <c r="I102" s="127">
        <f>G102*1</f>
        <v>1260</v>
      </c>
    </row>
    <row r="103" spans="1:9" ht="30" customHeight="1">
      <c r="A103" s="31">
        <v>20</v>
      </c>
      <c r="B103" s="128" t="s">
        <v>192</v>
      </c>
      <c r="C103" s="129" t="s">
        <v>38</v>
      </c>
      <c r="D103" s="16" t="s">
        <v>179</v>
      </c>
      <c r="E103" s="20"/>
      <c r="F103" s="14">
        <v>0.01</v>
      </c>
      <c r="G103" s="14">
        <v>4233.72</v>
      </c>
      <c r="H103" s="49"/>
      <c r="I103" s="127">
        <v>0</v>
      </c>
    </row>
    <row r="104" spans="1:9" ht="30" customHeight="1">
      <c r="A104" s="31">
        <v>21</v>
      </c>
      <c r="B104" s="128" t="s">
        <v>241</v>
      </c>
      <c r="C104" s="129" t="s">
        <v>242</v>
      </c>
      <c r="D104" s="16"/>
      <c r="E104" s="20"/>
      <c r="F104" s="14">
        <v>1</v>
      </c>
      <c r="G104" s="14">
        <v>15418.64</v>
      </c>
      <c r="H104" s="49"/>
      <c r="I104" s="127">
        <f>G104*1</f>
        <v>15418.64</v>
      </c>
    </row>
    <row r="105" spans="1:9" ht="15.75" customHeight="1">
      <c r="A105" s="31"/>
      <c r="B105" s="47" t="s">
        <v>52</v>
      </c>
      <c r="C105" s="43"/>
      <c r="D105" s="55"/>
      <c r="E105" s="55"/>
      <c r="F105" s="43">
        <v>1</v>
      </c>
      <c r="G105" s="43"/>
      <c r="H105" s="43"/>
      <c r="I105" s="34">
        <f>SUM(I98:I104)</f>
        <v>34409.15</v>
      </c>
    </row>
    <row r="106" spans="1:9" ht="15.75" customHeight="1">
      <c r="A106" s="31"/>
      <c r="B106" s="53" t="s">
        <v>78</v>
      </c>
      <c r="C106" s="17"/>
      <c r="D106" s="17"/>
      <c r="E106" s="17"/>
      <c r="F106" s="44"/>
      <c r="G106" s="45"/>
      <c r="H106" s="45"/>
      <c r="I106" s="19">
        <v>0</v>
      </c>
    </row>
    <row r="107" spans="1:9" ht="15.75" customHeight="1">
      <c r="A107" s="56"/>
      <c r="B107" s="48" t="s">
        <v>148</v>
      </c>
      <c r="C107" s="36"/>
      <c r="D107" s="36"/>
      <c r="E107" s="36"/>
      <c r="F107" s="36"/>
      <c r="G107" s="36"/>
      <c r="H107" s="36"/>
      <c r="I107" s="46">
        <f>I96+I105</f>
        <v>112557.72225026667</v>
      </c>
    </row>
    <row r="108" spans="1:9" ht="15.75">
      <c r="A108" s="159" t="s">
        <v>243</v>
      </c>
      <c r="B108" s="159"/>
      <c r="C108" s="159"/>
      <c r="D108" s="159"/>
      <c r="E108" s="159"/>
      <c r="F108" s="159"/>
      <c r="G108" s="159"/>
      <c r="H108" s="159"/>
      <c r="I108" s="159"/>
    </row>
    <row r="109" spans="1:9" ht="15.75">
      <c r="A109" s="72"/>
      <c r="B109" s="160" t="s">
        <v>244</v>
      </c>
      <c r="C109" s="160"/>
      <c r="D109" s="160"/>
      <c r="E109" s="160"/>
      <c r="F109" s="160"/>
      <c r="G109" s="160"/>
      <c r="H109" s="79"/>
      <c r="I109" s="3"/>
    </row>
    <row r="110" spans="1:9">
      <c r="A110" s="68"/>
      <c r="B110" s="158" t="s">
        <v>6</v>
      </c>
      <c r="C110" s="158"/>
      <c r="D110" s="158"/>
      <c r="E110" s="158"/>
      <c r="F110" s="158"/>
      <c r="G110" s="158"/>
      <c r="H110" s="26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>
      <c r="A112" s="161" t="s">
        <v>7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15.75">
      <c r="A113" s="161" t="s">
        <v>8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15.75">
      <c r="A114" s="155" t="s">
        <v>61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15.75">
      <c r="A115" s="11"/>
    </row>
    <row r="116" spans="1:9" ht="15.75">
      <c r="A116" s="156" t="s">
        <v>9</v>
      </c>
      <c r="B116" s="156"/>
      <c r="C116" s="156"/>
      <c r="D116" s="156"/>
      <c r="E116" s="156"/>
      <c r="F116" s="156"/>
      <c r="G116" s="156"/>
      <c r="H116" s="156"/>
      <c r="I116" s="156"/>
    </row>
    <row r="117" spans="1:9" ht="15.75">
      <c r="A117" s="4"/>
    </row>
    <row r="118" spans="1:9" ht="15.75">
      <c r="B118" s="69" t="s">
        <v>10</v>
      </c>
      <c r="C118" s="157" t="s">
        <v>196</v>
      </c>
      <c r="D118" s="157"/>
      <c r="E118" s="157"/>
      <c r="F118" s="157"/>
      <c r="I118" s="67"/>
    </row>
    <row r="119" spans="1:9">
      <c r="A119" s="68"/>
      <c r="C119" s="158" t="s">
        <v>11</v>
      </c>
      <c r="D119" s="158"/>
      <c r="E119" s="158"/>
      <c r="F119" s="158"/>
      <c r="I119" s="66" t="s">
        <v>12</v>
      </c>
    </row>
    <row r="120" spans="1:9" ht="15.75">
      <c r="A120" s="27"/>
      <c r="C120" s="12"/>
      <c r="D120" s="12"/>
      <c r="E120" s="12"/>
      <c r="G120" s="12"/>
      <c r="H120" s="12"/>
    </row>
    <row r="121" spans="1:9" ht="15.75">
      <c r="B121" s="69" t="s">
        <v>13</v>
      </c>
      <c r="C121" s="152"/>
      <c r="D121" s="152"/>
      <c r="E121" s="152"/>
      <c r="F121" s="152"/>
      <c r="I121" s="67"/>
    </row>
    <row r="122" spans="1:9">
      <c r="A122" s="68"/>
      <c r="C122" s="153" t="s">
        <v>11</v>
      </c>
      <c r="D122" s="153"/>
      <c r="E122" s="153"/>
      <c r="F122" s="153"/>
      <c r="I122" s="66" t="s">
        <v>12</v>
      </c>
    </row>
    <row r="123" spans="1:9" ht="15.75">
      <c r="A123" s="4" t="s">
        <v>14</v>
      </c>
    </row>
    <row r="124" spans="1:9">
      <c r="A124" s="154" t="s">
        <v>15</v>
      </c>
      <c r="B124" s="154"/>
      <c r="C124" s="154"/>
      <c r="D124" s="154"/>
      <c r="E124" s="154"/>
      <c r="F124" s="154"/>
      <c r="G124" s="154"/>
      <c r="H124" s="154"/>
      <c r="I124" s="154"/>
    </row>
    <row r="125" spans="1:9" ht="45" customHeight="1">
      <c r="A125" s="151" t="s">
        <v>16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30" customHeight="1">
      <c r="A126" s="151" t="s">
        <v>17</v>
      </c>
      <c r="B126" s="151"/>
      <c r="C126" s="151"/>
      <c r="D126" s="151"/>
      <c r="E126" s="151"/>
      <c r="F126" s="151"/>
      <c r="G126" s="151"/>
      <c r="H126" s="151"/>
      <c r="I126" s="151"/>
    </row>
    <row r="127" spans="1:9" ht="30" customHeight="1">
      <c r="A127" s="151" t="s">
        <v>21</v>
      </c>
      <c r="B127" s="151"/>
      <c r="C127" s="151"/>
      <c r="D127" s="151"/>
      <c r="E127" s="151"/>
      <c r="F127" s="151"/>
      <c r="G127" s="151"/>
      <c r="H127" s="151"/>
      <c r="I127" s="151"/>
    </row>
    <row r="128" spans="1:9" ht="15" customHeight="1">
      <c r="A128" s="151" t="s">
        <v>20</v>
      </c>
      <c r="B128" s="151"/>
      <c r="C128" s="151"/>
      <c r="D128" s="151"/>
      <c r="E128" s="151"/>
      <c r="F128" s="151"/>
      <c r="G128" s="151"/>
      <c r="H128" s="151"/>
      <c r="I128" s="151"/>
    </row>
  </sheetData>
  <autoFilter ref="I12:I63"/>
  <mergeCells count="29">
    <mergeCell ref="A124:I124"/>
    <mergeCell ref="A125:I125"/>
    <mergeCell ref="A126:I126"/>
    <mergeCell ref="A127:I127"/>
    <mergeCell ref="A128:I128"/>
    <mergeCell ref="R68:U68"/>
    <mergeCell ref="C122:F122"/>
    <mergeCell ref="A97:I97"/>
    <mergeCell ref="A108:I108"/>
    <mergeCell ref="B109:G109"/>
    <mergeCell ref="B110:G110"/>
    <mergeCell ref="A112:I112"/>
    <mergeCell ref="A113:I113"/>
    <mergeCell ref="A114:I114"/>
    <mergeCell ref="A116:I116"/>
    <mergeCell ref="C118:F118"/>
    <mergeCell ref="C119:F119"/>
    <mergeCell ref="C121:F121"/>
    <mergeCell ref="A93:I93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15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6"/>
  <sheetViews>
    <sheetView topLeftCell="A93" workbookViewId="0">
      <selection activeCell="G118" sqref="G11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4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159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245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44408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197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76.5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customHeight="1">
      <c r="A20" s="31">
        <v>4</v>
      </c>
      <c r="B20" s="81" t="s">
        <v>95</v>
      </c>
      <c r="C20" s="82" t="s">
        <v>53</v>
      </c>
      <c r="D20" s="81" t="s">
        <v>188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f>G20*F20</f>
        <v>24.247</v>
      </c>
      <c r="J20" s="24"/>
      <c r="K20" s="8"/>
      <c r="L20" s="8"/>
      <c r="M20" s="8"/>
    </row>
    <row r="21" spans="1:13" ht="15.75" customHeight="1">
      <c r="A21" s="31">
        <v>5</v>
      </c>
      <c r="B21" s="132" t="s">
        <v>96</v>
      </c>
      <c r="C21" s="133" t="s">
        <v>92</v>
      </c>
      <c r="D21" s="132" t="s">
        <v>179</v>
      </c>
      <c r="E21" s="137">
        <v>19.62</v>
      </c>
      <c r="F21" s="135">
        <v>0.39200000000000002</v>
      </c>
      <c r="G21" s="135">
        <v>271.12</v>
      </c>
      <c r="H21" s="85">
        <f t="shared" si="0"/>
        <v>0.10627904000000001</v>
      </c>
      <c r="I21" s="14">
        <f>G21*F21/2</f>
        <v>53.139520000000005</v>
      </c>
      <c r="J21" s="24"/>
      <c r="K21" s="8"/>
      <c r="L21" s="8"/>
      <c r="M21" s="8"/>
    </row>
    <row r="22" spans="1:13" ht="15.75" customHeight="1">
      <c r="A22" s="31">
        <v>6</v>
      </c>
      <c r="B22" s="132" t="s">
        <v>97</v>
      </c>
      <c r="C22" s="133" t="s">
        <v>92</v>
      </c>
      <c r="D22" s="132" t="s">
        <v>179</v>
      </c>
      <c r="E22" s="137">
        <v>8.68</v>
      </c>
      <c r="F22" s="135">
        <v>0.17399999999999999</v>
      </c>
      <c r="G22" s="135">
        <v>268.92</v>
      </c>
      <c r="H22" s="85">
        <f t="shared" si="0"/>
        <v>4.679208E-2</v>
      </c>
      <c r="I22" s="14">
        <f>G22*F22/2</f>
        <v>23.396039999999999</v>
      </c>
      <c r="J22" s="24"/>
      <c r="K22" s="8"/>
      <c r="L22" s="8"/>
      <c r="M22" s="8"/>
    </row>
    <row r="23" spans="1:13" ht="15.75" customHeight="1">
      <c r="A23" s="31">
        <v>7</v>
      </c>
      <c r="B23" s="81" t="s">
        <v>98</v>
      </c>
      <c r="C23" s="82" t="s">
        <v>53</v>
      </c>
      <c r="D23" s="81" t="s">
        <v>179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f>G23*F23</f>
        <v>720.35749999999996</v>
      </c>
      <c r="J23" s="24"/>
      <c r="K23" s="8"/>
      <c r="L23" s="8"/>
      <c r="M23" s="8"/>
    </row>
    <row r="24" spans="1:13" ht="15.75" customHeight="1">
      <c r="A24" s="31">
        <v>8</v>
      </c>
      <c r="B24" s="81" t="s">
        <v>99</v>
      </c>
      <c r="C24" s="82" t="s">
        <v>53</v>
      </c>
      <c r="D24" s="81" t="s">
        <v>187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f>G24*F24</f>
        <v>9.7196400000000001</v>
      </c>
      <c r="J24" s="24"/>
      <c r="K24" s="8"/>
      <c r="L24" s="8"/>
      <c r="M24" s="8"/>
    </row>
    <row r="25" spans="1:13" ht="15.75" customHeight="1">
      <c r="A25" s="31">
        <v>9</v>
      </c>
      <c r="B25" s="81" t="s">
        <v>100</v>
      </c>
      <c r="C25" s="82" t="s">
        <v>53</v>
      </c>
      <c r="D25" s="81" t="s">
        <v>181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f>G25*F25</f>
        <v>93.319200000000009</v>
      </c>
      <c r="J25" s="24"/>
      <c r="K25" s="8"/>
      <c r="L25" s="8"/>
      <c r="M25" s="8"/>
    </row>
    <row r="26" spans="1:13" ht="15.75" customHeight="1">
      <c r="A26" s="31">
        <v>10</v>
      </c>
      <c r="B26" s="81" t="s">
        <v>140</v>
      </c>
      <c r="C26" s="82" t="s">
        <v>53</v>
      </c>
      <c r="D26" s="81" t="s">
        <v>187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f>G26*F26</f>
        <v>24.2028</v>
      </c>
      <c r="J26" s="24"/>
      <c r="K26" s="8"/>
      <c r="L26" s="8"/>
      <c r="M26" s="8"/>
    </row>
    <row r="27" spans="1:13" ht="15.75" hidden="1" customHeight="1">
      <c r="A27" s="31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77" t="s">
        <v>82</v>
      </c>
      <c r="B28" s="177"/>
      <c r="C28" s="177"/>
      <c r="D28" s="177"/>
      <c r="E28" s="177"/>
      <c r="F28" s="177"/>
      <c r="G28" s="177"/>
      <c r="H28" s="177"/>
      <c r="I28" s="177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11</v>
      </c>
      <c r="B30" s="81" t="s">
        <v>101</v>
      </c>
      <c r="C30" s="82" t="s">
        <v>102</v>
      </c>
      <c r="D30" s="81" t="s">
        <v>180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5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12</v>
      </c>
      <c r="B31" s="81" t="s">
        <v>104</v>
      </c>
      <c r="C31" s="82" t="s">
        <v>102</v>
      </c>
      <c r="D31" s="81" t="s">
        <v>172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102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13</v>
      </c>
      <c r="B33" s="81" t="s">
        <v>106</v>
      </c>
      <c r="C33" s="82" t="s">
        <v>40</v>
      </c>
      <c r="D33" s="81" t="s">
        <v>176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si="1"/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1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4">
        <f t="shared" ref="I37:I42" si="4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108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3"/>
        <v>2.6845187400000001</v>
      </c>
      <c r="I38" s="14">
        <f t="shared" si="4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109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3"/>
        <v>2.3136214500000003</v>
      </c>
      <c r="I39" s="14">
        <f t="shared" si="4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102</v>
      </c>
      <c r="D40" s="81" t="s">
        <v>110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3"/>
        <v>8.6437883699999993</v>
      </c>
      <c r="I40" s="14">
        <f t="shared" si="4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111</v>
      </c>
      <c r="C41" s="82" t="s">
        <v>102</v>
      </c>
      <c r="D41" s="81" t="s">
        <v>112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3"/>
        <v>0.36487980000000003</v>
      </c>
      <c r="I41" s="14">
        <f t="shared" si="4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4">
        <f t="shared" si="4"/>
        <v>82.747500000000002</v>
      </c>
      <c r="J42" s="25"/>
      <c r="L42" s="21"/>
      <c r="M42" s="22"/>
      <c r="N42" s="23"/>
    </row>
    <row r="43" spans="1:14" ht="15.75" hidden="1" customHeight="1">
      <c r="A43" s="162" t="s">
        <v>145</v>
      </c>
      <c r="B43" s="163"/>
      <c r="C43" s="163"/>
      <c r="D43" s="163"/>
      <c r="E43" s="163"/>
      <c r="F43" s="163"/>
      <c r="G43" s="163"/>
      <c r="H43" s="163"/>
      <c r="I43" s="164"/>
      <c r="J43" s="25"/>
      <c r="L43" s="21"/>
      <c r="M43" s="22"/>
      <c r="N43" s="23"/>
    </row>
    <row r="44" spans="1:14" ht="15.75" hidden="1" customHeight="1">
      <c r="A44" s="42">
        <v>19</v>
      </c>
      <c r="B44" s="81" t="s">
        <v>113</v>
      </c>
      <c r="C44" s="82" t="s">
        <v>102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5">SUM(F44*G44/1000)</f>
        <v>2.6521417440000006</v>
      </c>
      <c r="I44" s="14">
        <f t="shared" ref="I44:I47" si="6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20</v>
      </c>
      <c r="B45" s="81" t="s">
        <v>35</v>
      </c>
      <c r="C45" s="82" t="s">
        <v>102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5"/>
        <v>2.8553184000000002E-2</v>
      </c>
      <c r="I45" s="14">
        <f t="shared" si="6"/>
        <v>14.276592000000001</v>
      </c>
      <c r="J45" s="25"/>
      <c r="L45" s="21"/>
      <c r="M45" s="22"/>
      <c r="N45" s="23"/>
    </row>
    <row r="46" spans="1:14" ht="15.75" hidden="1" customHeight="1">
      <c r="A46" s="42">
        <v>21</v>
      </c>
      <c r="B46" s="81" t="s">
        <v>36</v>
      </c>
      <c r="C46" s="82" t="s">
        <v>102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5"/>
        <v>2.2617645503999997</v>
      </c>
      <c r="I46" s="14">
        <f t="shared" si="6"/>
        <v>1130.8822751999999</v>
      </c>
      <c r="J46" s="25"/>
      <c r="L46" s="21"/>
      <c r="M46" s="22"/>
      <c r="N46" s="23"/>
    </row>
    <row r="47" spans="1:14" ht="15.75" hidden="1" customHeight="1">
      <c r="A47" s="42">
        <v>22</v>
      </c>
      <c r="B47" s="81" t="s">
        <v>37</v>
      </c>
      <c r="C47" s="82" t="s">
        <v>102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5"/>
        <v>2.7280312466000001</v>
      </c>
      <c r="I47" s="14">
        <f t="shared" si="6"/>
        <v>1364.0156233</v>
      </c>
      <c r="J47" s="25"/>
      <c r="L47" s="21"/>
      <c r="M47" s="22"/>
      <c r="N47" s="23"/>
    </row>
    <row r="48" spans="1:14" ht="15.75" hidden="1" customHeight="1">
      <c r="A48" s="42">
        <v>23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5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24</v>
      </c>
      <c r="B49" s="81" t="s">
        <v>56</v>
      </c>
      <c r="C49" s="82" t="s">
        <v>102</v>
      </c>
      <c r="D49" s="81" t="s">
        <v>142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5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25</v>
      </c>
      <c r="B50" s="81" t="s">
        <v>114</v>
      </c>
      <c r="C50" s="82" t="s">
        <v>102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5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26</v>
      </c>
      <c r="B51" s="81" t="s">
        <v>115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5"/>
        <v>0.69307200000000002</v>
      </c>
      <c r="I51" s="14">
        <f t="shared" ref="I51:I52" si="7">F51/2*G51</f>
        <v>346.536</v>
      </c>
      <c r="J51" s="25"/>
      <c r="L51" s="21"/>
      <c r="M51" s="22"/>
      <c r="N51" s="23"/>
    </row>
    <row r="52" spans="1:14" ht="15.75" hidden="1" customHeight="1">
      <c r="A52" s="42">
        <v>27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5"/>
        <v>0.1406626</v>
      </c>
      <c r="I52" s="14">
        <f t="shared" si="7"/>
        <v>70.331299999999999</v>
      </c>
      <c r="J52" s="25"/>
      <c r="L52" s="21"/>
      <c r="M52" s="22"/>
      <c r="N52" s="23"/>
    </row>
    <row r="53" spans="1:14" ht="15.75" hidden="1" customHeight="1">
      <c r="A53" s="42">
        <v>10</v>
      </c>
      <c r="B53" s="81" t="s">
        <v>141</v>
      </c>
      <c r="C53" s="82" t="s">
        <v>29</v>
      </c>
      <c r="D53" s="81" t="s">
        <v>70</v>
      </c>
      <c r="E53" s="83">
        <v>36</v>
      </c>
      <c r="F53" s="84">
        <f>E53*3</f>
        <v>108</v>
      </c>
      <c r="G53" s="14">
        <v>175.6</v>
      </c>
      <c r="H53" s="85">
        <f t="shared" si="5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.75" hidden="1" customHeight="1">
      <c r="A54" s="42">
        <v>11</v>
      </c>
      <c r="B54" s="81" t="s">
        <v>41</v>
      </c>
      <c r="C54" s="82" t="s">
        <v>29</v>
      </c>
      <c r="D54" s="81" t="s">
        <v>70</v>
      </c>
      <c r="E54" s="83">
        <v>36</v>
      </c>
      <c r="F54" s="84">
        <f>SUM(E54)*3</f>
        <v>108</v>
      </c>
      <c r="G54" s="14">
        <v>81.73</v>
      </c>
      <c r="H54" s="85">
        <f t="shared" si="5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hidden="1" customHeight="1">
      <c r="A55" s="162" t="s">
        <v>146</v>
      </c>
      <c r="B55" s="163"/>
      <c r="C55" s="163"/>
      <c r="D55" s="163"/>
      <c r="E55" s="163"/>
      <c r="F55" s="163"/>
      <c r="G55" s="163"/>
      <c r="H55" s="163"/>
      <c r="I55" s="164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149</v>
      </c>
      <c r="C57" s="82" t="s">
        <v>92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85</v>
      </c>
      <c r="C58" s="82" t="s">
        <v>150</v>
      </c>
      <c r="D58" s="81" t="s">
        <v>66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12</v>
      </c>
      <c r="B62" s="16" t="s">
        <v>47</v>
      </c>
      <c r="C62" s="18" t="s">
        <v>116</v>
      </c>
      <c r="D62" s="16" t="s">
        <v>66</v>
      </c>
      <c r="E62" s="20">
        <v>10</v>
      </c>
      <c r="F62" s="84">
        <v>10</v>
      </c>
      <c r="G62" s="14">
        <v>276.74</v>
      </c>
      <c r="H62" s="97">
        <f t="shared" ref="H62:H69" si="8">SUM(F62*G62/1000)</f>
        <v>2.7674000000000003</v>
      </c>
      <c r="I62" s="14">
        <f>G62</f>
        <v>276.74</v>
      </c>
    </row>
    <row r="63" spans="1:14" ht="15.75" hidden="1" customHeight="1">
      <c r="A63" s="31">
        <v>29</v>
      </c>
      <c r="B63" s="16" t="s">
        <v>48</v>
      </c>
      <c r="C63" s="18" t="s">
        <v>116</v>
      </c>
      <c r="D63" s="16" t="s">
        <v>66</v>
      </c>
      <c r="E63" s="20">
        <v>3</v>
      </c>
      <c r="F63" s="84">
        <v>3</v>
      </c>
      <c r="G63" s="14">
        <v>94.89</v>
      </c>
      <c r="H63" s="97">
        <f t="shared" si="8"/>
        <v>0.28467000000000003</v>
      </c>
      <c r="I63" s="14">
        <v>0</v>
      </c>
    </row>
    <row r="64" spans="1:14" ht="15.75" hidden="1" customHeight="1">
      <c r="A64" s="31">
        <v>28</v>
      </c>
      <c r="B64" s="16" t="s">
        <v>49</v>
      </c>
      <c r="C64" s="18" t="s">
        <v>117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8"/>
        <v>19.820369200000002</v>
      </c>
      <c r="I64" s="14">
        <f>F64*G64</f>
        <v>19820.369200000001</v>
      </c>
    </row>
    <row r="65" spans="1:22" ht="15.75" hidden="1" customHeight="1">
      <c r="A65" s="31">
        <v>29</v>
      </c>
      <c r="B65" s="16" t="s">
        <v>50</v>
      </c>
      <c r="C65" s="18" t="s">
        <v>118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8"/>
        <v>1.54341956</v>
      </c>
      <c r="I65" s="14">
        <f t="shared" ref="I65:I68" si="9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1">
        <v>30</v>
      </c>
      <c r="B66" s="16" t="s">
        <v>51</v>
      </c>
      <c r="C66" s="18" t="s">
        <v>76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8"/>
        <v>28.138677000000005</v>
      </c>
      <c r="I66" s="14">
        <f t="shared" si="9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1">
        <v>31</v>
      </c>
      <c r="B67" s="98" t="s">
        <v>119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8"/>
        <v>0.35113000000000005</v>
      </c>
      <c r="I67" s="14">
        <f t="shared" si="9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1">
        <v>32</v>
      </c>
      <c r="B68" s="98" t="s">
        <v>151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8"/>
        <v>0.327598</v>
      </c>
      <c r="I68" s="14">
        <f t="shared" si="9"/>
        <v>327.59800000000001</v>
      </c>
      <c r="J68" s="5"/>
      <c r="K68" s="5"/>
      <c r="L68" s="5"/>
      <c r="M68" s="5"/>
      <c r="N68" s="5"/>
      <c r="O68" s="5"/>
      <c r="P68" s="5"/>
      <c r="Q68" s="5"/>
      <c r="R68" s="153"/>
      <c r="S68" s="153"/>
      <c r="T68" s="153"/>
      <c r="U68" s="153"/>
    </row>
    <row r="69" spans="1:22" ht="15.75" hidden="1" customHeight="1">
      <c r="A69" s="31">
        <v>13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8"/>
        <v>0.18621000000000001</v>
      </c>
      <c r="I69" s="14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1"/>
      <c r="B70" s="143" t="s">
        <v>88</v>
      </c>
      <c r="C70" s="144"/>
      <c r="D70" s="145"/>
      <c r="E70" s="146"/>
      <c r="F70" s="147"/>
      <c r="G70" s="148"/>
      <c r="H70" s="141"/>
      <c r="I70" s="142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31.5" hidden="1" customHeight="1">
      <c r="A71" s="31">
        <v>8</v>
      </c>
      <c r="B71" s="145" t="s">
        <v>199</v>
      </c>
      <c r="C71" s="144" t="s">
        <v>200</v>
      </c>
      <c r="D71" s="145"/>
      <c r="E71" s="146">
        <v>1810.5</v>
      </c>
      <c r="F71" s="148">
        <f>E71*12</f>
        <v>21726</v>
      </c>
      <c r="G71" s="148">
        <v>2.4900000000000002</v>
      </c>
      <c r="H71" s="141"/>
      <c r="I71" s="142">
        <f>G71*F71/12</f>
        <v>4508.1450000000004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1"/>
      <c r="B72" s="50" t="s">
        <v>72</v>
      </c>
      <c r="C72" s="50"/>
      <c r="D72" s="50"/>
      <c r="E72" s="50"/>
      <c r="F72" s="20"/>
      <c r="G72" s="31"/>
      <c r="H72" s="31"/>
      <c r="I72" s="20"/>
    </row>
    <row r="73" spans="1:22" ht="15.75" hidden="1" customHeight="1">
      <c r="A73" s="31"/>
      <c r="B73" s="16" t="s">
        <v>122</v>
      </c>
      <c r="C73" s="18" t="s">
        <v>123</v>
      </c>
      <c r="D73" s="39" t="s">
        <v>66</v>
      </c>
      <c r="E73" s="20">
        <v>3</v>
      </c>
      <c r="F73" s="14">
        <v>3</v>
      </c>
      <c r="G73" s="14">
        <v>976.4</v>
      </c>
      <c r="H73" s="97">
        <f t="shared" ref="H73:H77" si="10">SUM(F73*G73/1000)</f>
        <v>2.9291999999999998</v>
      </c>
      <c r="I73" s="14">
        <v>0</v>
      </c>
    </row>
    <row r="74" spans="1:22" ht="15.75" hidden="1" customHeight="1">
      <c r="A74" s="31"/>
      <c r="B74" s="16" t="s">
        <v>124</v>
      </c>
      <c r="C74" s="18" t="s">
        <v>125</v>
      </c>
      <c r="D74" s="16"/>
      <c r="E74" s="20">
        <v>1</v>
      </c>
      <c r="F74" s="14">
        <v>1</v>
      </c>
      <c r="G74" s="14">
        <v>750</v>
      </c>
      <c r="H74" s="97">
        <f t="shared" si="10"/>
        <v>0.75</v>
      </c>
      <c r="I74" s="14">
        <v>0</v>
      </c>
    </row>
    <row r="75" spans="1:22" ht="15.75" hidden="1" customHeight="1">
      <c r="A75" s="31"/>
      <c r="B75" s="16" t="s">
        <v>73</v>
      </c>
      <c r="C75" s="18" t="s">
        <v>30</v>
      </c>
      <c r="D75" s="39" t="s">
        <v>66</v>
      </c>
      <c r="E75" s="20">
        <v>3</v>
      </c>
      <c r="F75" s="14">
        <f>E75/10</f>
        <v>0.3</v>
      </c>
      <c r="G75" s="14">
        <v>624.16999999999996</v>
      </c>
      <c r="H75" s="97">
        <f t="shared" si="10"/>
        <v>0.18725099999999997</v>
      </c>
      <c r="I75" s="14">
        <v>0</v>
      </c>
    </row>
    <row r="76" spans="1:22" ht="15.75" hidden="1" customHeight="1">
      <c r="A76" s="31"/>
      <c r="B76" s="16" t="s">
        <v>74</v>
      </c>
      <c r="C76" s="18" t="s">
        <v>29</v>
      </c>
      <c r="D76" s="39" t="s">
        <v>66</v>
      </c>
      <c r="E76" s="20">
        <v>1</v>
      </c>
      <c r="F76" s="14">
        <v>1</v>
      </c>
      <c r="G76" s="14">
        <v>1061.4100000000001</v>
      </c>
      <c r="H76" s="97">
        <f t="shared" si="10"/>
        <v>1.0614100000000002</v>
      </c>
      <c r="I76" s="14">
        <v>0</v>
      </c>
    </row>
    <row r="77" spans="1:22" ht="15.75" hidden="1" customHeight="1">
      <c r="A77" s="31">
        <v>17</v>
      </c>
      <c r="B77" s="16" t="s">
        <v>86</v>
      </c>
      <c r="C77" s="18" t="s">
        <v>29</v>
      </c>
      <c r="D77" s="39" t="s">
        <v>66</v>
      </c>
      <c r="E77" s="20">
        <v>1</v>
      </c>
      <c r="F77" s="84">
        <f>SUM(E77)</f>
        <v>1</v>
      </c>
      <c r="G77" s="14">
        <v>446.12</v>
      </c>
      <c r="H77" s="97">
        <f t="shared" si="10"/>
        <v>0.44612000000000002</v>
      </c>
      <c r="I77" s="14">
        <v>0</v>
      </c>
    </row>
    <row r="78" spans="1:22" ht="15.75" hidden="1" customHeight="1">
      <c r="A78" s="31"/>
      <c r="B78" s="51" t="s">
        <v>75</v>
      </c>
      <c r="C78" s="40"/>
      <c r="D78" s="31"/>
      <c r="E78" s="31"/>
      <c r="F78" s="20"/>
      <c r="G78" s="38"/>
      <c r="H78" s="38"/>
      <c r="I78" s="20"/>
    </row>
    <row r="79" spans="1:22" ht="15.75" hidden="1" customHeight="1">
      <c r="A79" s="31">
        <v>39</v>
      </c>
      <c r="B79" s="53" t="s">
        <v>126</v>
      </c>
      <c r="C79" s="18" t="s">
        <v>76</v>
      </c>
      <c r="D79" s="16"/>
      <c r="E79" s="20"/>
      <c r="F79" s="14">
        <v>1.35</v>
      </c>
      <c r="G79" s="14">
        <v>3433.68</v>
      </c>
      <c r="H79" s="97">
        <f t="shared" ref="H79" si="11">SUM(F79*G79/1000)</f>
        <v>4.6354679999999995</v>
      </c>
      <c r="I79" s="14">
        <v>0</v>
      </c>
    </row>
    <row r="80" spans="1:22" ht="15.75" hidden="1" customHeight="1">
      <c r="A80" s="31"/>
      <c r="B80" s="70" t="s">
        <v>88</v>
      </c>
      <c r="C80" s="64"/>
      <c r="D80" s="33"/>
      <c r="E80" s="33"/>
      <c r="F80" s="13"/>
      <c r="G80" s="38"/>
      <c r="H80" s="38"/>
      <c r="I80" s="20"/>
    </row>
    <row r="81" spans="1:9" ht="31.5" hidden="1" customHeight="1">
      <c r="A81" s="31"/>
      <c r="B81" s="16" t="s">
        <v>127</v>
      </c>
      <c r="C81" s="18" t="s">
        <v>87</v>
      </c>
      <c r="D81" s="16" t="s">
        <v>66</v>
      </c>
      <c r="E81" s="20">
        <v>6</v>
      </c>
      <c r="F81" s="14">
        <f>E81</f>
        <v>6</v>
      </c>
      <c r="G81" s="14">
        <v>297.44</v>
      </c>
      <c r="H81" s="97">
        <f t="shared" ref="H81:H90" si="12">SUM(F81*G81/1000)</f>
        <v>1.7846399999999998</v>
      </c>
      <c r="I81" s="14">
        <v>0</v>
      </c>
    </row>
    <row r="82" spans="1:9" ht="15.75" hidden="1" customHeight="1">
      <c r="A82" s="31"/>
      <c r="B82" s="16" t="s">
        <v>128</v>
      </c>
      <c r="C82" s="18" t="s">
        <v>80</v>
      </c>
      <c r="D82" s="16" t="s">
        <v>66</v>
      </c>
      <c r="E82" s="20">
        <v>12</v>
      </c>
      <c r="F82" s="14">
        <f>E82</f>
        <v>12</v>
      </c>
      <c r="G82" s="14">
        <v>122.35</v>
      </c>
      <c r="H82" s="97">
        <f t="shared" si="12"/>
        <v>1.4681999999999997</v>
      </c>
      <c r="I82" s="14">
        <v>0</v>
      </c>
    </row>
    <row r="83" spans="1:9" ht="15.75" hidden="1" customHeight="1">
      <c r="A83" s="31">
        <v>10</v>
      </c>
      <c r="B83" s="16" t="s">
        <v>129</v>
      </c>
      <c r="C83" s="18" t="s">
        <v>130</v>
      </c>
      <c r="D83" s="16" t="s">
        <v>66</v>
      </c>
      <c r="E83" s="20">
        <v>9</v>
      </c>
      <c r="F83" s="14">
        <f>E83/3</f>
        <v>3</v>
      </c>
      <c r="G83" s="14">
        <v>1063.47</v>
      </c>
      <c r="H83" s="97">
        <f t="shared" si="12"/>
        <v>3.19041</v>
      </c>
      <c r="I83" s="14">
        <f>G83*((10+10)/3)</f>
        <v>7089.8</v>
      </c>
    </row>
    <row r="84" spans="1:9" ht="31.5" hidden="1" customHeight="1">
      <c r="A84" s="31"/>
      <c r="B84" s="16" t="s">
        <v>131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1564.44</v>
      </c>
      <c r="H84" s="97">
        <f t="shared" si="12"/>
        <v>9.3866399999999999</v>
      </c>
      <c r="I84" s="14">
        <v>0</v>
      </c>
    </row>
    <row r="85" spans="1:9" ht="31.5" hidden="1" customHeight="1">
      <c r="A85" s="31"/>
      <c r="B85" s="16" t="s">
        <v>132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1906.89</v>
      </c>
      <c r="H85" s="97">
        <f t="shared" si="12"/>
        <v>11.44134</v>
      </c>
      <c r="I85" s="14">
        <v>0</v>
      </c>
    </row>
    <row r="86" spans="1:9" ht="31.5" hidden="1" customHeight="1">
      <c r="A86" s="31"/>
      <c r="B86" s="16" t="s">
        <v>133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664.35</v>
      </c>
      <c r="H86" s="97">
        <f t="shared" si="12"/>
        <v>3.9861000000000004</v>
      </c>
      <c r="I86" s="14">
        <v>0</v>
      </c>
    </row>
    <row r="87" spans="1:9" ht="31.5" hidden="1" customHeight="1">
      <c r="A87" s="31"/>
      <c r="B87" s="16" t="s">
        <v>134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778.85</v>
      </c>
      <c r="H87" s="97">
        <f t="shared" si="12"/>
        <v>4.6731000000000007</v>
      </c>
      <c r="I87" s="14">
        <v>0</v>
      </c>
    </row>
    <row r="88" spans="1:9" ht="15.75" hidden="1" customHeight="1">
      <c r="A88" s="31"/>
      <c r="B88" s="16" t="s">
        <v>135</v>
      </c>
      <c r="C88" s="18" t="s">
        <v>123</v>
      </c>
      <c r="D88" s="16" t="s">
        <v>66</v>
      </c>
      <c r="E88" s="20">
        <v>3</v>
      </c>
      <c r="F88" s="14">
        <v>3</v>
      </c>
      <c r="G88" s="14">
        <v>498.11</v>
      </c>
      <c r="H88" s="97">
        <f t="shared" si="12"/>
        <v>1.4943299999999999</v>
      </c>
      <c r="I88" s="14">
        <v>0</v>
      </c>
    </row>
    <row r="89" spans="1:9" ht="31.5" hidden="1" customHeight="1">
      <c r="A89" s="31"/>
      <c r="B89" s="16" t="s">
        <v>136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1264.3399999999999</v>
      </c>
      <c r="H89" s="97">
        <f t="shared" si="12"/>
        <v>7.5860399999999988</v>
      </c>
      <c r="I89" s="14">
        <v>0</v>
      </c>
    </row>
    <row r="90" spans="1:9" ht="15.75" hidden="1" customHeight="1">
      <c r="A90" s="31">
        <v>33</v>
      </c>
      <c r="B90" s="16" t="s">
        <v>137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12"/>
        <v>2.8108906600000001</v>
      </c>
      <c r="I90" s="14">
        <f t="shared" ref="I90" si="13">F90/2*G90</f>
        <v>1405.44533</v>
      </c>
    </row>
    <row r="91" spans="1:9" ht="15.75" hidden="1" customHeight="1">
      <c r="A91" s="54"/>
      <c r="B91" s="70" t="s">
        <v>120</v>
      </c>
      <c r="C91" s="70"/>
      <c r="D91" s="70"/>
      <c r="E91" s="70"/>
      <c r="F91" s="70"/>
      <c r="G91" s="70"/>
      <c r="H91" s="70"/>
      <c r="I91" s="20"/>
    </row>
    <row r="92" spans="1:9" ht="15.75" hidden="1" customHeight="1">
      <c r="A92" s="31">
        <v>15</v>
      </c>
      <c r="B92" s="81" t="s">
        <v>121</v>
      </c>
      <c r="C92" s="18"/>
      <c r="D92" s="16"/>
      <c r="E92" s="20"/>
      <c r="F92" s="14">
        <v>1</v>
      </c>
      <c r="G92" s="14">
        <v>14087.8</v>
      </c>
      <c r="H92" s="97">
        <f>G92*F92/1000</f>
        <v>14.0878</v>
      </c>
      <c r="I92" s="14">
        <f>G92</f>
        <v>14087.8</v>
      </c>
    </row>
    <row r="93" spans="1:9" ht="15.75" customHeight="1">
      <c r="A93" s="170" t="s">
        <v>160</v>
      </c>
      <c r="B93" s="171"/>
      <c r="C93" s="171"/>
      <c r="D93" s="171"/>
      <c r="E93" s="171"/>
      <c r="F93" s="171"/>
      <c r="G93" s="171"/>
      <c r="H93" s="171"/>
      <c r="I93" s="172"/>
    </row>
    <row r="94" spans="1:9" ht="15.75" customHeight="1">
      <c r="A94" s="31">
        <v>14</v>
      </c>
      <c r="B94" s="81" t="s">
        <v>138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15</v>
      </c>
      <c r="B95" s="16" t="s">
        <v>77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79</v>
      </c>
      <c r="C96" s="42"/>
      <c r="D96" s="17"/>
      <c r="E96" s="17"/>
      <c r="F96" s="17"/>
      <c r="G96" s="20"/>
      <c r="H96" s="20"/>
      <c r="I96" s="34">
        <f>I95+I94+I33+I31+I30+I26+I25+I24+I23+I22+I21+I20+I18+I17+I16</f>
        <v>19327.917990266666</v>
      </c>
    </row>
    <row r="97" spans="1:9" ht="15.75" customHeight="1">
      <c r="A97" s="173" t="s">
        <v>60</v>
      </c>
      <c r="B97" s="174"/>
      <c r="C97" s="174"/>
      <c r="D97" s="174"/>
      <c r="E97" s="174"/>
      <c r="F97" s="174"/>
      <c r="G97" s="174"/>
      <c r="H97" s="174"/>
      <c r="I97" s="175"/>
    </row>
    <row r="98" spans="1:9" ht="15.75" customHeight="1">
      <c r="A98" s="31">
        <v>16</v>
      </c>
      <c r="B98" s="125" t="s">
        <v>165</v>
      </c>
      <c r="C98" s="126" t="s">
        <v>166</v>
      </c>
      <c r="D98" s="122"/>
      <c r="E98" s="123"/>
      <c r="F98" s="123"/>
      <c r="G98" s="105">
        <v>1.4</v>
      </c>
      <c r="H98" s="124"/>
      <c r="I98" s="104">
        <f>G98*12</f>
        <v>16.799999999999997</v>
      </c>
    </row>
    <row r="99" spans="1:9" ht="15.75" customHeight="1">
      <c r="A99" s="31">
        <v>17</v>
      </c>
      <c r="B99" s="128" t="s">
        <v>213</v>
      </c>
      <c r="C99" s="129" t="s">
        <v>116</v>
      </c>
      <c r="D99" s="16" t="s">
        <v>250</v>
      </c>
      <c r="E99" s="20"/>
      <c r="F99" s="14">
        <v>1</v>
      </c>
      <c r="G99" s="14">
        <v>218.81</v>
      </c>
      <c r="H99" s="124"/>
      <c r="I99" s="104">
        <v>0</v>
      </c>
    </row>
    <row r="100" spans="1:9" ht="15.75" customHeight="1">
      <c r="A100" s="31">
        <v>18</v>
      </c>
      <c r="B100" s="128" t="s">
        <v>246</v>
      </c>
      <c r="C100" s="129" t="s">
        <v>247</v>
      </c>
      <c r="D100" s="16"/>
      <c r="E100" s="20"/>
      <c r="F100" s="14">
        <v>0.5</v>
      </c>
      <c r="G100" s="14">
        <v>1366.66</v>
      </c>
      <c r="H100" s="124"/>
      <c r="I100" s="104">
        <f>G100*0.5</f>
        <v>683.33</v>
      </c>
    </row>
    <row r="101" spans="1:9" ht="15.75" customHeight="1">
      <c r="A101" s="31">
        <v>19</v>
      </c>
      <c r="B101" s="128" t="s">
        <v>248</v>
      </c>
      <c r="C101" s="129" t="s">
        <v>31</v>
      </c>
      <c r="D101" s="16" t="s">
        <v>186</v>
      </c>
      <c r="E101" s="20"/>
      <c r="F101" s="14">
        <v>1</v>
      </c>
      <c r="G101" s="14">
        <v>2006</v>
      </c>
      <c r="H101" s="124"/>
      <c r="I101" s="104">
        <f>G101*1</f>
        <v>2006</v>
      </c>
    </row>
    <row r="102" spans="1:9" ht="33" customHeight="1">
      <c r="A102" s="31">
        <v>20</v>
      </c>
      <c r="B102" s="128" t="s">
        <v>224</v>
      </c>
      <c r="C102" s="129" t="s">
        <v>87</v>
      </c>
      <c r="D102" s="16" t="s">
        <v>249</v>
      </c>
      <c r="E102" s="20"/>
      <c r="F102" s="14">
        <v>3</v>
      </c>
      <c r="G102" s="14">
        <v>614.47</v>
      </c>
      <c r="H102" s="124"/>
      <c r="I102" s="104">
        <f>G102*1</f>
        <v>614.47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SUM(I98:I102)</f>
        <v>3320.6000000000004</v>
      </c>
    </row>
    <row r="104" spans="1:9" ht="15.75" customHeight="1">
      <c r="A104" s="31"/>
      <c r="B104" s="53" t="s">
        <v>78</v>
      </c>
      <c r="C104" s="17"/>
      <c r="D104" s="17"/>
      <c r="E104" s="17"/>
      <c r="F104" s="44"/>
      <c r="G104" s="45"/>
      <c r="H104" s="45"/>
      <c r="I104" s="19">
        <v>0</v>
      </c>
    </row>
    <row r="105" spans="1:9" ht="15.75" customHeight="1">
      <c r="A105" s="56"/>
      <c r="B105" s="48" t="s">
        <v>148</v>
      </c>
      <c r="C105" s="36"/>
      <c r="D105" s="36"/>
      <c r="E105" s="36"/>
      <c r="F105" s="36"/>
      <c r="G105" s="36"/>
      <c r="H105" s="36"/>
      <c r="I105" s="46">
        <f>I96+I103</f>
        <v>22648.517990266664</v>
      </c>
    </row>
    <row r="106" spans="1:9" ht="15.75">
      <c r="A106" s="159" t="s">
        <v>251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15.75">
      <c r="A107" s="72"/>
      <c r="B107" s="160" t="s">
        <v>252</v>
      </c>
      <c r="C107" s="160"/>
      <c r="D107" s="160"/>
      <c r="E107" s="160"/>
      <c r="F107" s="160"/>
      <c r="G107" s="160"/>
      <c r="H107" s="79"/>
      <c r="I107" s="3"/>
    </row>
    <row r="108" spans="1:9">
      <c r="A108" s="68"/>
      <c r="B108" s="158" t="s">
        <v>6</v>
      </c>
      <c r="C108" s="158"/>
      <c r="D108" s="158"/>
      <c r="E108" s="158"/>
      <c r="F108" s="158"/>
      <c r="G108" s="158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1" t="s">
        <v>7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1" t="s">
        <v>8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55" t="s">
        <v>61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.75">
      <c r="A113" s="11"/>
    </row>
    <row r="114" spans="1:9" ht="15.75">
      <c r="A114" s="156" t="s">
        <v>9</v>
      </c>
      <c r="B114" s="156"/>
      <c r="C114" s="156"/>
      <c r="D114" s="156"/>
      <c r="E114" s="156"/>
      <c r="F114" s="156"/>
      <c r="G114" s="156"/>
      <c r="H114" s="156"/>
      <c r="I114" s="156"/>
    </row>
    <row r="115" spans="1:9" ht="15.75">
      <c r="A115" s="4"/>
    </row>
    <row r="116" spans="1:9" ht="15.75">
      <c r="B116" s="69" t="s">
        <v>10</v>
      </c>
      <c r="C116" s="157" t="s">
        <v>196</v>
      </c>
      <c r="D116" s="157"/>
      <c r="E116" s="157"/>
      <c r="F116" s="157"/>
      <c r="I116" s="67"/>
    </row>
    <row r="117" spans="1:9">
      <c r="A117" s="68"/>
      <c r="C117" s="158" t="s">
        <v>11</v>
      </c>
      <c r="D117" s="158"/>
      <c r="E117" s="158"/>
      <c r="F117" s="158"/>
      <c r="I117" s="66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69" t="s">
        <v>13</v>
      </c>
      <c r="C119" s="152"/>
      <c r="D119" s="152"/>
      <c r="E119" s="152"/>
      <c r="F119" s="152"/>
      <c r="I119" s="67"/>
    </row>
    <row r="120" spans="1:9">
      <c r="A120" s="68"/>
      <c r="C120" s="153" t="s">
        <v>11</v>
      </c>
      <c r="D120" s="153"/>
      <c r="E120" s="153"/>
      <c r="F120" s="153"/>
      <c r="I120" s="66" t="s">
        <v>12</v>
      </c>
    </row>
    <row r="121" spans="1:9" ht="15.75">
      <c r="A121" s="4" t="s">
        <v>14</v>
      </c>
    </row>
    <row r="122" spans="1:9">
      <c r="A122" s="154" t="s">
        <v>15</v>
      </c>
      <c r="B122" s="154"/>
      <c r="C122" s="154"/>
      <c r="D122" s="154"/>
      <c r="E122" s="154"/>
      <c r="F122" s="154"/>
      <c r="G122" s="154"/>
      <c r="H122" s="154"/>
      <c r="I122" s="154"/>
    </row>
    <row r="123" spans="1:9" ht="45" customHeight="1">
      <c r="A123" s="151" t="s">
        <v>16</v>
      </c>
      <c r="B123" s="151"/>
      <c r="C123" s="151"/>
      <c r="D123" s="151"/>
      <c r="E123" s="151"/>
      <c r="F123" s="151"/>
      <c r="G123" s="151"/>
      <c r="H123" s="151"/>
      <c r="I123" s="151"/>
    </row>
    <row r="124" spans="1:9" ht="30" customHeight="1">
      <c r="A124" s="151" t="s">
        <v>17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30" customHeight="1">
      <c r="A125" s="151" t="s">
        <v>21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15" customHeight="1">
      <c r="A126" s="151" t="s">
        <v>20</v>
      </c>
      <c r="B126" s="151"/>
      <c r="C126" s="151"/>
      <c r="D126" s="151"/>
      <c r="E126" s="151"/>
      <c r="F126" s="151"/>
      <c r="G126" s="151"/>
      <c r="H126" s="151"/>
      <c r="I126" s="151"/>
    </row>
  </sheetData>
  <autoFilter ref="I12:I63"/>
  <mergeCells count="29">
    <mergeCell ref="A122:I122"/>
    <mergeCell ref="A123:I123"/>
    <mergeCell ref="A124:I124"/>
    <mergeCell ref="A125:I125"/>
    <mergeCell ref="A126:I126"/>
    <mergeCell ref="R68:U68"/>
    <mergeCell ref="C120:F120"/>
    <mergeCell ref="A97:I97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3:I93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7"/>
  <sheetViews>
    <sheetView workbookViewId="0">
      <selection activeCell="A113" sqref="A113:I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159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255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44439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197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93</v>
      </c>
      <c r="C19" s="82" t="s">
        <v>89</v>
      </c>
      <c r="D19" s="81" t="s">
        <v>94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95</v>
      </c>
      <c r="C20" s="82" t="s">
        <v>53</v>
      </c>
      <c r="D20" s="81" t="s">
        <v>94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6</v>
      </c>
      <c r="B21" s="81" t="s">
        <v>96</v>
      </c>
      <c r="C21" s="82" t="s">
        <v>92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7</v>
      </c>
      <c r="B22" s="81" t="s">
        <v>97</v>
      </c>
      <c r="C22" s="82" t="s">
        <v>92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98</v>
      </c>
      <c r="C23" s="82" t="s">
        <v>53</v>
      </c>
      <c r="D23" s="81" t="s">
        <v>94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99</v>
      </c>
      <c r="C24" s="82" t="s">
        <v>53</v>
      </c>
      <c r="D24" s="81" t="s">
        <v>94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100</v>
      </c>
      <c r="C25" s="82" t="s">
        <v>53</v>
      </c>
      <c r="D25" s="81" t="s">
        <v>94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140</v>
      </c>
      <c r="C26" s="82" t="s">
        <v>53</v>
      </c>
      <c r="D26" s="81" t="s">
        <v>94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hidden="1" customHeight="1">
      <c r="A27" s="31">
        <v>4</v>
      </c>
      <c r="B27" s="132" t="s">
        <v>171</v>
      </c>
      <c r="C27" s="133" t="s">
        <v>166</v>
      </c>
      <c r="D27" s="132" t="s">
        <v>174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77" t="s">
        <v>82</v>
      </c>
      <c r="B28" s="177"/>
      <c r="C28" s="177"/>
      <c r="D28" s="177"/>
      <c r="E28" s="177"/>
      <c r="F28" s="177"/>
      <c r="G28" s="177"/>
      <c r="H28" s="177"/>
      <c r="I28" s="177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4</v>
      </c>
      <c r="B30" s="81" t="s">
        <v>101</v>
      </c>
      <c r="C30" s="82" t="s">
        <v>102</v>
      </c>
      <c r="D30" s="81" t="s">
        <v>180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3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5</v>
      </c>
      <c r="B31" s="81" t="s">
        <v>104</v>
      </c>
      <c r="C31" s="82" t="s">
        <v>102</v>
      </c>
      <c r="D31" s="81" t="s">
        <v>172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102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6</v>
      </c>
      <c r="B33" s="81" t="s">
        <v>106</v>
      </c>
      <c r="C33" s="82" t="s">
        <v>40</v>
      </c>
      <c r="D33" s="81" t="s">
        <v>176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ref="H34:H35" si="3">SUM(F34*G34/1000)</f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3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4">SUM(F37*G37/1000)</f>
        <v>3.8007399999999998</v>
      </c>
      <c r="I37" s="14">
        <f t="shared" ref="I37:I42" si="5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108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4"/>
        <v>2.6845187400000001</v>
      </c>
      <c r="I38" s="14">
        <f t="shared" si="5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109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4"/>
        <v>2.3136214500000003</v>
      </c>
      <c r="I39" s="14">
        <f t="shared" si="5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102</v>
      </c>
      <c r="D40" s="81" t="s">
        <v>110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4"/>
        <v>8.6437883699999993</v>
      </c>
      <c r="I40" s="14">
        <f t="shared" si="5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111</v>
      </c>
      <c r="C41" s="82" t="s">
        <v>102</v>
      </c>
      <c r="D41" s="81" t="s">
        <v>112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4"/>
        <v>0.36487980000000003</v>
      </c>
      <c r="I41" s="14">
        <f t="shared" si="5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4"/>
        <v>0.49648500000000001</v>
      </c>
      <c r="I42" s="14">
        <f t="shared" si="5"/>
        <v>82.747500000000002</v>
      </c>
      <c r="J42" s="25"/>
      <c r="L42" s="21"/>
      <c r="M42" s="22"/>
      <c r="N42" s="23"/>
    </row>
    <row r="43" spans="1:14" ht="15.75" hidden="1" customHeight="1">
      <c r="A43" s="162" t="s">
        <v>145</v>
      </c>
      <c r="B43" s="163"/>
      <c r="C43" s="163"/>
      <c r="D43" s="163"/>
      <c r="E43" s="163"/>
      <c r="F43" s="163"/>
      <c r="G43" s="163"/>
      <c r="H43" s="163"/>
      <c r="I43" s="164"/>
      <c r="J43" s="25"/>
      <c r="L43" s="21"/>
      <c r="M43" s="22"/>
      <c r="N43" s="23"/>
    </row>
    <row r="44" spans="1:14" ht="15.75" hidden="1" customHeight="1">
      <c r="A44" s="42">
        <v>19</v>
      </c>
      <c r="B44" s="81" t="s">
        <v>113</v>
      </c>
      <c r="C44" s="82" t="s">
        <v>102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6">SUM(F44*G44/1000)</f>
        <v>2.6521417440000006</v>
      </c>
      <c r="I44" s="14">
        <f t="shared" ref="I44:I47" si="7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20</v>
      </c>
      <c r="B45" s="81" t="s">
        <v>35</v>
      </c>
      <c r="C45" s="82" t="s">
        <v>102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6"/>
        <v>2.8553184000000002E-2</v>
      </c>
      <c r="I45" s="14">
        <f t="shared" si="7"/>
        <v>14.276592000000001</v>
      </c>
      <c r="J45" s="25"/>
      <c r="L45" s="21"/>
      <c r="M45" s="22"/>
      <c r="N45" s="23"/>
    </row>
    <row r="46" spans="1:14" ht="15.75" hidden="1" customHeight="1">
      <c r="A46" s="42">
        <v>21</v>
      </c>
      <c r="B46" s="81" t="s">
        <v>36</v>
      </c>
      <c r="C46" s="82" t="s">
        <v>102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6"/>
        <v>2.2617645503999997</v>
      </c>
      <c r="I46" s="14">
        <f t="shared" si="7"/>
        <v>1130.8822751999999</v>
      </c>
      <c r="J46" s="25"/>
      <c r="L46" s="21"/>
      <c r="M46" s="22"/>
      <c r="N46" s="23"/>
    </row>
    <row r="47" spans="1:14" ht="15.75" hidden="1" customHeight="1">
      <c r="A47" s="42">
        <v>22</v>
      </c>
      <c r="B47" s="81" t="s">
        <v>37</v>
      </c>
      <c r="C47" s="82" t="s">
        <v>102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6"/>
        <v>2.7280312466000001</v>
      </c>
      <c r="I47" s="14">
        <f t="shared" si="7"/>
        <v>1364.0156233</v>
      </c>
      <c r="J47" s="25"/>
      <c r="L47" s="21"/>
      <c r="M47" s="22"/>
      <c r="N47" s="23"/>
    </row>
    <row r="48" spans="1:14" ht="15.75" hidden="1" customHeight="1">
      <c r="A48" s="42">
        <v>23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6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24</v>
      </c>
      <c r="B49" s="81" t="s">
        <v>56</v>
      </c>
      <c r="C49" s="82" t="s">
        <v>102</v>
      </c>
      <c r="D49" s="81" t="s">
        <v>142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6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25</v>
      </c>
      <c r="B50" s="81" t="s">
        <v>114</v>
      </c>
      <c r="C50" s="82" t="s">
        <v>102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6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26</v>
      </c>
      <c r="B51" s="81" t="s">
        <v>115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6"/>
        <v>0.69307200000000002</v>
      </c>
      <c r="I51" s="14">
        <f t="shared" ref="I51:I52" si="8">F51/2*G51</f>
        <v>346.536</v>
      </c>
      <c r="J51" s="25"/>
      <c r="L51" s="21"/>
      <c r="M51" s="22"/>
      <c r="N51" s="23"/>
    </row>
    <row r="52" spans="1:14" ht="15.75" hidden="1" customHeight="1">
      <c r="A52" s="42">
        <v>27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6"/>
        <v>0.1406626</v>
      </c>
      <c r="I52" s="14">
        <f t="shared" si="8"/>
        <v>70.331299999999999</v>
      </c>
      <c r="J52" s="25"/>
      <c r="L52" s="21"/>
      <c r="M52" s="22"/>
      <c r="N52" s="23"/>
    </row>
    <row r="53" spans="1:14" ht="15.75" hidden="1" customHeight="1">
      <c r="A53" s="42">
        <v>8</v>
      </c>
      <c r="B53" s="81" t="s">
        <v>141</v>
      </c>
      <c r="C53" s="82" t="s">
        <v>29</v>
      </c>
      <c r="D53" s="136">
        <v>44062</v>
      </c>
      <c r="E53" s="83">
        <v>36</v>
      </c>
      <c r="F53" s="84">
        <f>E53*3</f>
        <v>108</v>
      </c>
      <c r="G53" s="14">
        <v>175.6</v>
      </c>
      <c r="H53" s="85">
        <f t="shared" si="6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.75" hidden="1" customHeight="1">
      <c r="A54" s="42">
        <v>9</v>
      </c>
      <c r="B54" s="81" t="s">
        <v>41</v>
      </c>
      <c r="C54" s="82" t="s">
        <v>29</v>
      </c>
      <c r="D54" s="136">
        <v>44062</v>
      </c>
      <c r="E54" s="83">
        <v>36</v>
      </c>
      <c r="F54" s="84">
        <f>SUM(E54)*3</f>
        <v>108</v>
      </c>
      <c r="G54" s="14">
        <v>81.73</v>
      </c>
      <c r="H54" s="85">
        <f t="shared" si="6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hidden="1" customHeight="1">
      <c r="A55" s="162" t="s">
        <v>154</v>
      </c>
      <c r="B55" s="163"/>
      <c r="C55" s="163"/>
      <c r="D55" s="163"/>
      <c r="E55" s="163"/>
      <c r="F55" s="163"/>
      <c r="G55" s="163"/>
      <c r="H55" s="163"/>
      <c r="I55" s="164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149</v>
      </c>
      <c r="C57" s="82" t="s">
        <v>92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85</v>
      </c>
      <c r="C58" s="82" t="s">
        <v>150</v>
      </c>
      <c r="D58" s="81" t="s">
        <v>66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12</v>
      </c>
      <c r="B62" s="16" t="s">
        <v>47</v>
      </c>
      <c r="C62" s="18" t="s">
        <v>116</v>
      </c>
      <c r="D62" s="16" t="s">
        <v>66</v>
      </c>
      <c r="E62" s="20">
        <v>10</v>
      </c>
      <c r="F62" s="84">
        <v>10</v>
      </c>
      <c r="G62" s="14">
        <v>276.74</v>
      </c>
      <c r="H62" s="97">
        <f t="shared" ref="H62:H69" si="9">SUM(F62*G62/1000)</f>
        <v>2.7674000000000003</v>
      </c>
      <c r="I62" s="14">
        <f>G62</f>
        <v>276.74</v>
      </c>
    </row>
    <row r="63" spans="1:14" ht="15.75" hidden="1" customHeight="1">
      <c r="A63" s="31">
        <v>29</v>
      </c>
      <c r="B63" s="16" t="s">
        <v>48</v>
      </c>
      <c r="C63" s="18" t="s">
        <v>116</v>
      </c>
      <c r="D63" s="16" t="s">
        <v>66</v>
      </c>
      <c r="E63" s="20">
        <v>3</v>
      </c>
      <c r="F63" s="84">
        <v>3</v>
      </c>
      <c r="G63" s="14">
        <v>94.89</v>
      </c>
      <c r="H63" s="97">
        <f t="shared" si="9"/>
        <v>0.28467000000000003</v>
      </c>
      <c r="I63" s="14">
        <v>0</v>
      </c>
    </row>
    <row r="64" spans="1:14" ht="15.75" hidden="1" customHeight="1">
      <c r="A64" s="31">
        <v>28</v>
      </c>
      <c r="B64" s="16" t="s">
        <v>49</v>
      </c>
      <c r="C64" s="18" t="s">
        <v>117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9"/>
        <v>19.820369200000002</v>
      </c>
      <c r="I64" s="14">
        <f>F64*G64</f>
        <v>19820.369200000001</v>
      </c>
    </row>
    <row r="65" spans="1:22" ht="15.75" hidden="1" customHeight="1">
      <c r="A65" s="31">
        <v>29</v>
      </c>
      <c r="B65" s="16" t="s">
        <v>50</v>
      </c>
      <c r="C65" s="18" t="s">
        <v>118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9"/>
        <v>1.54341956</v>
      </c>
      <c r="I65" s="14">
        <f t="shared" ref="I65:I68" si="10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1">
        <v>30</v>
      </c>
      <c r="B66" s="16" t="s">
        <v>51</v>
      </c>
      <c r="C66" s="18" t="s">
        <v>76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9"/>
        <v>28.138677000000005</v>
      </c>
      <c r="I66" s="14">
        <f t="shared" si="10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1">
        <v>31</v>
      </c>
      <c r="B67" s="98" t="s">
        <v>119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9"/>
        <v>0.35113000000000005</v>
      </c>
      <c r="I67" s="14">
        <f t="shared" si="10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1">
        <v>32</v>
      </c>
      <c r="B68" s="98" t="s">
        <v>151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9"/>
        <v>0.327598</v>
      </c>
      <c r="I68" s="14">
        <f t="shared" si="10"/>
        <v>327.59800000000001</v>
      </c>
      <c r="J68" s="5"/>
      <c r="K68" s="5"/>
      <c r="L68" s="5"/>
      <c r="M68" s="5"/>
      <c r="N68" s="5"/>
      <c r="O68" s="5"/>
      <c r="P68" s="5"/>
      <c r="Q68" s="5"/>
      <c r="R68" s="153"/>
      <c r="S68" s="153"/>
      <c r="T68" s="153"/>
      <c r="U68" s="153"/>
    </row>
    <row r="69" spans="1:22" ht="15.75" hidden="1" customHeight="1">
      <c r="A69" s="31">
        <v>13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9"/>
        <v>0.18621000000000001</v>
      </c>
      <c r="I69" s="14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1"/>
      <c r="B70" s="143" t="s">
        <v>88</v>
      </c>
      <c r="C70" s="144"/>
      <c r="D70" s="145"/>
      <c r="E70" s="146"/>
      <c r="F70" s="147"/>
      <c r="G70" s="148"/>
      <c r="H70" s="141"/>
      <c r="I70" s="142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32.25" hidden="1" customHeight="1">
      <c r="A71" s="31">
        <v>10</v>
      </c>
      <c r="B71" s="145" t="s">
        <v>199</v>
      </c>
      <c r="C71" s="144" t="s">
        <v>200</v>
      </c>
      <c r="D71" s="145"/>
      <c r="E71" s="146">
        <v>1810.5</v>
      </c>
      <c r="F71" s="148">
        <f>E71*12</f>
        <v>21726</v>
      </c>
      <c r="G71" s="148">
        <v>2.4900000000000002</v>
      </c>
      <c r="H71" s="141"/>
      <c r="I71" s="142">
        <f>G71*F71/12</f>
        <v>4508.1450000000004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1"/>
      <c r="B72" s="50" t="s">
        <v>72</v>
      </c>
      <c r="C72" s="50"/>
      <c r="D72" s="50"/>
      <c r="E72" s="50"/>
      <c r="F72" s="20"/>
      <c r="G72" s="31"/>
      <c r="H72" s="31"/>
      <c r="I72" s="20"/>
    </row>
    <row r="73" spans="1:22" ht="15.75" hidden="1" customHeight="1">
      <c r="A73" s="31"/>
      <c r="B73" s="16" t="s">
        <v>122</v>
      </c>
      <c r="C73" s="18" t="s">
        <v>123</v>
      </c>
      <c r="D73" s="39" t="s">
        <v>66</v>
      </c>
      <c r="E73" s="20">
        <v>3</v>
      </c>
      <c r="F73" s="14">
        <v>3</v>
      </c>
      <c r="G73" s="14">
        <v>976.4</v>
      </c>
      <c r="H73" s="97">
        <f t="shared" ref="H73:H77" si="11">SUM(F73*G73/1000)</f>
        <v>2.9291999999999998</v>
      </c>
      <c r="I73" s="14">
        <v>0</v>
      </c>
    </row>
    <row r="74" spans="1:22" ht="15.75" hidden="1" customHeight="1">
      <c r="A74" s="31"/>
      <c r="B74" s="16" t="s">
        <v>124</v>
      </c>
      <c r="C74" s="18" t="s">
        <v>125</v>
      </c>
      <c r="D74" s="16"/>
      <c r="E74" s="20">
        <v>1</v>
      </c>
      <c r="F74" s="14">
        <v>1</v>
      </c>
      <c r="G74" s="14">
        <v>750</v>
      </c>
      <c r="H74" s="97">
        <f t="shared" si="11"/>
        <v>0.75</v>
      </c>
      <c r="I74" s="14">
        <v>0</v>
      </c>
    </row>
    <row r="75" spans="1:22" ht="15.75" hidden="1" customHeight="1">
      <c r="A75" s="31"/>
      <c r="B75" s="16" t="s">
        <v>73</v>
      </c>
      <c r="C75" s="18" t="s">
        <v>30</v>
      </c>
      <c r="D75" s="39" t="s">
        <v>66</v>
      </c>
      <c r="E75" s="20">
        <v>3</v>
      </c>
      <c r="F75" s="14">
        <f>E75/10</f>
        <v>0.3</v>
      </c>
      <c r="G75" s="14">
        <v>624.16999999999996</v>
      </c>
      <c r="H75" s="97">
        <f t="shared" si="11"/>
        <v>0.18725099999999997</v>
      </c>
      <c r="I75" s="14">
        <v>0</v>
      </c>
    </row>
    <row r="76" spans="1:22" ht="15.75" hidden="1" customHeight="1">
      <c r="A76" s="31"/>
      <c r="B76" s="16" t="s">
        <v>74</v>
      </c>
      <c r="C76" s="18" t="s">
        <v>29</v>
      </c>
      <c r="D76" s="39" t="s">
        <v>66</v>
      </c>
      <c r="E76" s="20">
        <v>1</v>
      </c>
      <c r="F76" s="14">
        <v>1</v>
      </c>
      <c r="G76" s="14">
        <v>1061.4100000000001</v>
      </c>
      <c r="H76" s="97">
        <f t="shared" si="11"/>
        <v>1.0614100000000002</v>
      </c>
      <c r="I76" s="14">
        <v>0</v>
      </c>
    </row>
    <row r="77" spans="1:22" ht="15.75" hidden="1" customHeight="1">
      <c r="A77" s="31">
        <v>17</v>
      </c>
      <c r="B77" s="16" t="s">
        <v>86</v>
      </c>
      <c r="C77" s="18" t="s">
        <v>29</v>
      </c>
      <c r="D77" s="39" t="s">
        <v>66</v>
      </c>
      <c r="E77" s="20">
        <v>1</v>
      </c>
      <c r="F77" s="84">
        <f>SUM(E77)</f>
        <v>1</v>
      </c>
      <c r="G77" s="14">
        <v>446.12</v>
      </c>
      <c r="H77" s="97">
        <f t="shared" si="11"/>
        <v>0.44612000000000002</v>
      </c>
      <c r="I77" s="14">
        <v>0</v>
      </c>
    </row>
    <row r="78" spans="1:22" ht="15.75" hidden="1" customHeight="1">
      <c r="A78" s="31"/>
      <c r="B78" s="51" t="s">
        <v>75</v>
      </c>
      <c r="C78" s="40"/>
      <c r="D78" s="31"/>
      <c r="E78" s="31"/>
      <c r="F78" s="20"/>
      <c r="G78" s="38"/>
      <c r="H78" s="38"/>
      <c r="I78" s="20"/>
    </row>
    <row r="79" spans="1:22" ht="15.75" hidden="1" customHeight="1">
      <c r="A79" s="31">
        <v>39</v>
      </c>
      <c r="B79" s="53" t="s">
        <v>126</v>
      </c>
      <c r="C79" s="18" t="s">
        <v>76</v>
      </c>
      <c r="D79" s="16"/>
      <c r="E79" s="20"/>
      <c r="F79" s="14">
        <v>1.35</v>
      </c>
      <c r="G79" s="14">
        <v>3433.68</v>
      </c>
      <c r="H79" s="97">
        <f t="shared" ref="H79" si="12">SUM(F79*G79/1000)</f>
        <v>4.6354679999999995</v>
      </c>
      <c r="I79" s="14">
        <v>0</v>
      </c>
    </row>
    <row r="80" spans="1:22" ht="14.25" hidden="1" customHeight="1">
      <c r="A80" s="31"/>
      <c r="B80" s="70" t="s">
        <v>88</v>
      </c>
      <c r="C80" s="64"/>
      <c r="D80" s="33"/>
      <c r="E80" s="33"/>
      <c r="F80" s="13"/>
      <c r="G80" s="38"/>
      <c r="H80" s="38"/>
      <c r="I80" s="20"/>
    </row>
    <row r="81" spans="1:9" ht="31.5" hidden="1" customHeight="1">
      <c r="A81" s="31"/>
      <c r="B81" s="16" t="s">
        <v>127</v>
      </c>
      <c r="C81" s="18" t="s">
        <v>87</v>
      </c>
      <c r="D81" s="16" t="s">
        <v>66</v>
      </c>
      <c r="E81" s="20">
        <v>6</v>
      </c>
      <c r="F81" s="14">
        <f>E81</f>
        <v>6</v>
      </c>
      <c r="G81" s="14">
        <v>297.44</v>
      </c>
      <c r="H81" s="97">
        <f t="shared" ref="H81:H90" si="13">SUM(F81*G81/1000)</f>
        <v>1.7846399999999998</v>
      </c>
      <c r="I81" s="14">
        <v>0</v>
      </c>
    </row>
    <row r="82" spans="1:9" ht="14.25" hidden="1" customHeight="1">
      <c r="A82" s="31">
        <v>10</v>
      </c>
      <c r="B82" s="16" t="s">
        <v>128</v>
      </c>
      <c r="C82" s="18" t="s">
        <v>80</v>
      </c>
      <c r="D82" s="16" t="s">
        <v>66</v>
      </c>
      <c r="E82" s="20">
        <v>12</v>
      </c>
      <c r="F82" s="14">
        <f>E82</f>
        <v>12</v>
      </c>
      <c r="G82" s="14">
        <v>122.35</v>
      </c>
      <c r="H82" s="97">
        <f t="shared" si="13"/>
        <v>1.4681999999999997</v>
      </c>
      <c r="I82" s="14">
        <f>G82*7</f>
        <v>856.44999999999993</v>
      </c>
    </row>
    <row r="83" spans="1:9" ht="27.75" hidden="1" customHeight="1">
      <c r="A83" s="31">
        <v>10</v>
      </c>
      <c r="B83" s="16" t="s">
        <v>129</v>
      </c>
      <c r="C83" s="18" t="s">
        <v>130</v>
      </c>
      <c r="D83" s="16" t="s">
        <v>66</v>
      </c>
      <c r="E83" s="20">
        <v>9</v>
      </c>
      <c r="F83" s="14">
        <f>E83/3</f>
        <v>3</v>
      </c>
      <c r="G83" s="14">
        <v>1063.47</v>
      </c>
      <c r="H83" s="97">
        <f t="shared" si="13"/>
        <v>3.19041</v>
      </c>
      <c r="I83" s="14">
        <f>G83*((10+10)/3)</f>
        <v>7089.8</v>
      </c>
    </row>
    <row r="84" spans="1:9" ht="34.5" hidden="1" customHeight="1">
      <c r="A84" s="31"/>
      <c r="B84" s="16" t="s">
        <v>131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1564.44</v>
      </c>
      <c r="H84" s="97">
        <f t="shared" si="13"/>
        <v>9.3866399999999999</v>
      </c>
      <c r="I84" s="14">
        <v>0</v>
      </c>
    </row>
    <row r="85" spans="1:9" ht="34.5" hidden="1" customHeight="1">
      <c r="A85" s="31"/>
      <c r="B85" s="16" t="s">
        <v>132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1906.89</v>
      </c>
      <c r="H85" s="97">
        <f t="shared" si="13"/>
        <v>11.44134</v>
      </c>
      <c r="I85" s="14">
        <v>0</v>
      </c>
    </row>
    <row r="86" spans="1:9" ht="38.25" hidden="1" customHeight="1">
      <c r="A86" s="31"/>
      <c r="B86" s="16" t="s">
        <v>133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664.35</v>
      </c>
      <c r="H86" s="97">
        <f t="shared" si="13"/>
        <v>3.9861000000000004</v>
      </c>
      <c r="I86" s="14">
        <v>0</v>
      </c>
    </row>
    <row r="87" spans="1:9" ht="31.5" hidden="1" customHeight="1">
      <c r="A87" s="31"/>
      <c r="B87" s="16" t="s">
        <v>134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778.85</v>
      </c>
      <c r="H87" s="97">
        <f t="shared" si="13"/>
        <v>4.6731000000000007</v>
      </c>
      <c r="I87" s="14">
        <v>0</v>
      </c>
    </row>
    <row r="88" spans="1:9" ht="30" hidden="1" customHeight="1">
      <c r="A88" s="31"/>
      <c r="B88" s="16" t="s">
        <v>135</v>
      </c>
      <c r="C88" s="18" t="s">
        <v>123</v>
      </c>
      <c r="D88" s="16" t="s">
        <v>66</v>
      </c>
      <c r="E88" s="20">
        <v>3</v>
      </c>
      <c r="F88" s="14">
        <v>3</v>
      </c>
      <c r="G88" s="14">
        <v>498.11</v>
      </c>
      <c r="H88" s="97">
        <f t="shared" si="13"/>
        <v>1.4943299999999999</v>
      </c>
      <c r="I88" s="14">
        <v>0</v>
      </c>
    </row>
    <row r="89" spans="1:9" ht="24.75" hidden="1" customHeight="1">
      <c r="A89" s="31"/>
      <c r="B89" s="16" t="s">
        <v>136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1264.3399999999999</v>
      </c>
      <c r="H89" s="97">
        <f t="shared" si="13"/>
        <v>7.5860399999999988</v>
      </c>
      <c r="I89" s="14">
        <v>0</v>
      </c>
    </row>
    <row r="90" spans="1:9" ht="21" hidden="1" customHeight="1">
      <c r="A90" s="31">
        <v>33</v>
      </c>
      <c r="B90" s="16" t="s">
        <v>137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13"/>
        <v>2.8108906600000001</v>
      </c>
      <c r="I90" s="14">
        <f t="shared" ref="I90" si="14">F90/2*G90</f>
        <v>1405.44533</v>
      </c>
    </row>
    <row r="91" spans="1:9" ht="16.5" hidden="1" customHeight="1">
      <c r="A91" s="54"/>
      <c r="B91" s="70" t="s">
        <v>120</v>
      </c>
      <c r="C91" s="70"/>
      <c r="D91" s="70"/>
      <c r="E91" s="70"/>
      <c r="F91" s="70"/>
      <c r="G91" s="70"/>
      <c r="H91" s="70"/>
      <c r="I91" s="20"/>
    </row>
    <row r="92" spans="1:9" ht="16.5" hidden="1" customHeight="1">
      <c r="A92" s="31">
        <v>15</v>
      </c>
      <c r="B92" s="81" t="s">
        <v>121</v>
      </c>
      <c r="C92" s="18"/>
      <c r="D92" s="16"/>
      <c r="E92" s="20"/>
      <c r="F92" s="14">
        <v>1</v>
      </c>
      <c r="G92" s="14">
        <v>14087.8</v>
      </c>
      <c r="H92" s="97">
        <f>G92*F92/1000</f>
        <v>14.0878</v>
      </c>
      <c r="I92" s="14">
        <f>G92</f>
        <v>14087.8</v>
      </c>
    </row>
    <row r="93" spans="1:9" ht="15.75" customHeight="1">
      <c r="A93" s="170" t="s">
        <v>160</v>
      </c>
      <c r="B93" s="171"/>
      <c r="C93" s="171"/>
      <c r="D93" s="171"/>
      <c r="E93" s="171"/>
      <c r="F93" s="171"/>
      <c r="G93" s="171"/>
      <c r="H93" s="171"/>
      <c r="I93" s="172"/>
    </row>
    <row r="94" spans="1:9" ht="15.75" customHeight="1">
      <c r="A94" s="31">
        <v>7</v>
      </c>
      <c r="B94" s="81" t="s">
        <v>138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8</v>
      </c>
      <c r="B95" s="16" t="s">
        <v>77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79</v>
      </c>
      <c r="C96" s="42"/>
      <c r="D96" s="17"/>
      <c r="E96" s="17"/>
      <c r="F96" s="17"/>
      <c r="G96" s="20"/>
      <c r="H96" s="20"/>
      <c r="I96" s="34">
        <f>I95+I94+I33+I31+I30+I18+I17+I16</f>
        <v>18379.536290266667</v>
      </c>
    </row>
    <row r="97" spans="1:9" ht="15.75" customHeight="1">
      <c r="A97" s="173" t="s">
        <v>60</v>
      </c>
      <c r="B97" s="174"/>
      <c r="C97" s="174"/>
      <c r="D97" s="174"/>
      <c r="E97" s="174"/>
      <c r="F97" s="174"/>
      <c r="G97" s="174"/>
      <c r="H97" s="174"/>
      <c r="I97" s="175"/>
    </row>
    <row r="98" spans="1:9" ht="15.75" customHeight="1">
      <c r="A98" s="43">
        <v>9</v>
      </c>
      <c r="B98" s="125" t="s">
        <v>165</v>
      </c>
      <c r="C98" s="126" t="s">
        <v>166</v>
      </c>
      <c r="D98" s="122"/>
      <c r="E98" s="123"/>
      <c r="F98" s="123"/>
      <c r="G98" s="105">
        <v>1.4</v>
      </c>
      <c r="H98" s="124"/>
      <c r="I98" s="104">
        <f>G98*12</f>
        <v>16.799999999999997</v>
      </c>
    </row>
    <row r="99" spans="1:9" ht="14.25" customHeight="1">
      <c r="A99" s="31">
        <v>10</v>
      </c>
      <c r="B99" s="16" t="s">
        <v>203</v>
      </c>
      <c r="C99" s="18" t="s">
        <v>182</v>
      </c>
      <c r="D99" s="16" t="s">
        <v>259</v>
      </c>
      <c r="E99" s="20"/>
      <c r="F99" s="14">
        <v>23</v>
      </c>
      <c r="G99" s="14">
        <v>295.36</v>
      </c>
      <c r="H99" s="124"/>
      <c r="I99" s="104">
        <f>G99*17</f>
        <v>5021.12</v>
      </c>
    </row>
    <row r="100" spans="1:9" ht="19.5" customHeight="1">
      <c r="A100" s="31">
        <v>11</v>
      </c>
      <c r="B100" s="128" t="s">
        <v>256</v>
      </c>
      <c r="C100" s="150" t="s">
        <v>257</v>
      </c>
      <c r="D100" s="16"/>
      <c r="E100" s="20"/>
      <c r="F100" s="14">
        <v>0.06</v>
      </c>
      <c r="G100" s="14">
        <v>4113.16</v>
      </c>
      <c r="H100" s="124"/>
      <c r="I100" s="104">
        <f>G100*0.06</f>
        <v>246.78959999999998</v>
      </c>
    </row>
    <row r="101" spans="1:9" ht="20.25" customHeight="1">
      <c r="A101" s="31">
        <v>12</v>
      </c>
      <c r="B101" s="128" t="s">
        <v>258</v>
      </c>
      <c r="C101" s="129" t="s">
        <v>28</v>
      </c>
      <c r="D101" s="16"/>
      <c r="E101" s="20"/>
      <c r="F101" s="14">
        <v>0.20799999999999999</v>
      </c>
      <c r="G101" s="14">
        <v>4683.09</v>
      </c>
      <c r="H101" s="124"/>
      <c r="I101" s="104">
        <f>G101*0.208</f>
        <v>974.08271999999999</v>
      </c>
    </row>
    <row r="102" spans="1:9" ht="16.5" customHeight="1">
      <c r="A102" s="31">
        <v>13</v>
      </c>
      <c r="B102" s="128" t="s">
        <v>230</v>
      </c>
      <c r="C102" s="129" t="s">
        <v>28</v>
      </c>
      <c r="D102" s="16"/>
      <c r="E102" s="20"/>
      <c r="F102" s="14">
        <f>0.502+1.04</f>
        <v>1.542</v>
      </c>
      <c r="G102" s="14">
        <v>241.69</v>
      </c>
      <c r="H102" s="124"/>
      <c r="I102" s="104">
        <f>G102*1.004</f>
        <v>242.65675999999999</v>
      </c>
    </row>
    <row r="103" spans="1:9" ht="17.25" customHeight="1">
      <c r="A103" s="31">
        <v>14</v>
      </c>
      <c r="B103" s="128" t="s">
        <v>246</v>
      </c>
      <c r="C103" s="129" t="s">
        <v>247</v>
      </c>
      <c r="D103" s="16" t="s">
        <v>260</v>
      </c>
      <c r="E103" s="20"/>
      <c r="F103" s="14">
        <v>1</v>
      </c>
      <c r="G103" s="14">
        <v>1366.66</v>
      </c>
      <c r="H103" s="124"/>
      <c r="I103" s="104">
        <f>G103*0.5</f>
        <v>683.33</v>
      </c>
    </row>
    <row r="104" spans="1:9" ht="15.75" customHeight="1">
      <c r="A104" s="31"/>
      <c r="B104" s="47" t="s">
        <v>52</v>
      </c>
      <c r="C104" s="43"/>
      <c r="D104" s="55"/>
      <c r="E104" s="55"/>
      <c r="F104" s="43">
        <v>1</v>
      </c>
      <c r="G104" s="43"/>
      <c r="H104" s="43"/>
      <c r="I104" s="34">
        <f>SUM(I98:I103)</f>
        <v>7184.7790800000002</v>
      </c>
    </row>
    <row r="105" spans="1:9" ht="15.75" customHeight="1">
      <c r="A105" s="31"/>
      <c r="B105" s="53" t="s">
        <v>78</v>
      </c>
      <c r="C105" s="17"/>
      <c r="D105" s="17"/>
      <c r="E105" s="17"/>
      <c r="F105" s="44"/>
      <c r="G105" s="45"/>
      <c r="H105" s="45"/>
      <c r="I105" s="19">
        <v>0</v>
      </c>
    </row>
    <row r="106" spans="1:9" ht="15.75" customHeight="1">
      <c r="A106" s="56"/>
      <c r="B106" s="48" t="s">
        <v>148</v>
      </c>
      <c r="C106" s="36"/>
      <c r="D106" s="36"/>
      <c r="E106" s="36"/>
      <c r="F106" s="36"/>
      <c r="G106" s="36"/>
      <c r="H106" s="36"/>
      <c r="I106" s="46">
        <f>I96+I104</f>
        <v>25564.315370266668</v>
      </c>
    </row>
    <row r="107" spans="1:9" ht="15.75">
      <c r="A107" s="159" t="s">
        <v>261</v>
      </c>
      <c r="B107" s="159"/>
      <c r="C107" s="159"/>
      <c r="D107" s="159"/>
      <c r="E107" s="159"/>
      <c r="F107" s="159"/>
      <c r="G107" s="159"/>
      <c r="H107" s="159"/>
      <c r="I107" s="159"/>
    </row>
    <row r="108" spans="1:9" ht="15.75">
      <c r="A108" s="72"/>
      <c r="B108" s="160" t="s">
        <v>262</v>
      </c>
      <c r="C108" s="160"/>
      <c r="D108" s="160"/>
      <c r="E108" s="160"/>
      <c r="F108" s="160"/>
      <c r="G108" s="160"/>
      <c r="H108" s="79"/>
      <c r="I108" s="3"/>
    </row>
    <row r="109" spans="1:9">
      <c r="A109" s="68"/>
      <c r="B109" s="158" t="s">
        <v>6</v>
      </c>
      <c r="C109" s="158"/>
      <c r="D109" s="158"/>
      <c r="E109" s="158"/>
      <c r="F109" s="158"/>
      <c r="G109" s="158"/>
      <c r="H109" s="26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161" t="s">
        <v>7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61" t="s">
        <v>8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15.75">
      <c r="A113" s="155" t="s">
        <v>61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15.75">
      <c r="A114" s="11"/>
    </row>
    <row r="115" spans="1:9" ht="15.75">
      <c r="A115" s="156" t="s">
        <v>9</v>
      </c>
      <c r="B115" s="156"/>
      <c r="C115" s="156"/>
      <c r="D115" s="156"/>
      <c r="E115" s="156"/>
      <c r="F115" s="156"/>
      <c r="G115" s="156"/>
      <c r="H115" s="156"/>
      <c r="I115" s="156"/>
    </row>
    <row r="116" spans="1:9" ht="15.75">
      <c r="A116" s="4"/>
    </row>
    <row r="117" spans="1:9" ht="15.75">
      <c r="B117" s="69" t="s">
        <v>10</v>
      </c>
      <c r="C117" s="157" t="s">
        <v>196</v>
      </c>
      <c r="D117" s="157"/>
      <c r="E117" s="157"/>
      <c r="F117" s="157"/>
      <c r="I117" s="67"/>
    </row>
    <row r="118" spans="1:9">
      <c r="A118" s="68"/>
      <c r="C118" s="158" t="s">
        <v>11</v>
      </c>
      <c r="D118" s="158"/>
      <c r="E118" s="158"/>
      <c r="F118" s="158"/>
      <c r="I118" s="66" t="s">
        <v>12</v>
      </c>
    </row>
    <row r="119" spans="1:9" ht="15.75">
      <c r="A119" s="27"/>
      <c r="C119" s="12"/>
      <c r="D119" s="12"/>
      <c r="E119" s="12"/>
      <c r="G119" s="12"/>
      <c r="H119" s="12"/>
    </row>
    <row r="120" spans="1:9" ht="15.75">
      <c r="B120" s="69" t="s">
        <v>13</v>
      </c>
      <c r="C120" s="152"/>
      <c r="D120" s="152"/>
      <c r="E120" s="152"/>
      <c r="F120" s="152"/>
      <c r="I120" s="67"/>
    </row>
    <row r="121" spans="1:9">
      <c r="A121" s="68"/>
      <c r="C121" s="153" t="s">
        <v>11</v>
      </c>
      <c r="D121" s="153"/>
      <c r="E121" s="153"/>
      <c r="F121" s="153"/>
      <c r="I121" s="66" t="s">
        <v>12</v>
      </c>
    </row>
    <row r="122" spans="1:9" ht="15.75">
      <c r="A122" s="4" t="s">
        <v>14</v>
      </c>
    </row>
    <row r="123" spans="1:9">
      <c r="A123" s="154" t="s">
        <v>15</v>
      </c>
      <c r="B123" s="154"/>
      <c r="C123" s="154"/>
      <c r="D123" s="154"/>
      <c r="E123" s="154"/>
      <c r="F123" s="154"/>
      <c r="G123" s="154"/>
      <c r="H123" s="154"/>
      <c r="I123" s="154"/>
    </row>
    <row r="124" spans="1:9" ht="45" customHeight="1">
      <c r="A124" s="151" t="s">
        <v>16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30" customHeight="1">
      <c r="A125" s="151" t="s">
        <v>17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30" customHeight="1">
      <c r="A126" s="151" t="s">
        <v>21</v>
      </c>
      <c r="B126" s="151"/>
      <c r="C126" s="151"/>
      <c r="D126" s="151"/>
      <c r="E126" s="151"/>
      <c r="F126" s="151"/>
      <c r="G126" s="151"/>
      <c r="H126" s="151"/>
      <c r="I126" s="151"/>
    </row>
    <row r="127" spans="1:9" ht="15" customHeight="1">
      <c r="A127" s="151" t="s">
        <v>20</v>
      </c>
      <c r="B127" s="151"/>
      <c r="C127" s="151"/>
      <c r="D127" s="151"/>
      <c r="E127" s="151"/>
      <c r="F127" s="151"/>
      <c r="G127" s="151"/>
      <c r="H127" s="151"/>
      <c r="I127" s="151"/>
    </row>
  </sheetData>
  <autoFilter ref="I12:I63"/>
  <mergeCells count="29">
    <mergeCell ref="A123:I123"/>
    <mergeCell ref="A124:I124"/>
    <mergeCell ref="A125:I125"/>
    <mergeCell ref="A126:I126"/>
    <mergeCell ref="A127:I127"/>
    <mergeCell ref="R68:U68"/>
    <mergeCell ref="C121:F121"/>
    <mergeCell ref="A97:I97"/>
    <mergeCell ref="A107:I107"/>
    <mergeCell ref="B108:G108"/>
    <mergeCell ref="B109:G109"/>
    <mergeCell ref="A111:I111"/>
    <mergeCell ref="A112:I112"/>
    <mergeCell ref="A113:I113"/>
    <mergeCell ref="A115:I115"/>
    <mergeCell ref="C117:F117"/>
    <mergeCell ref="C118:F118"/>
    <mergeCell ref="C120:F120"/>
    <mergeCell ref="A93:I93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6"/>
  <sheetViews>
    <sheetView topLeftCell="A70" zoomScaleNormal="100" workbookViewId="0">
      <selection activeCell="G119" sqref="G11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5.14062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168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161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139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263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44469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67" t="s">
        <v>197</v>
      </c>
      <c r="B8" s="167"/>
      <c r="C8" s="167"/>
      <c r="D8" s="167"/>
      <c r="E8" s="167"/>
      <c r="F8" s="167"/>
      <c r="G8" s="167"/>
      <c r="H8" s="167"/>
      <c r="I8" s="16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144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89.25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6" t="s">
        <v>59</v>
      </c>
      <c r="B14" s="176"/>
      <c r="C14" s="176"/>
      <c r="D14" s="176"/>
      <c r="E14" s="176"/>
      <c r="F14" s="176"/>
      <c r="G14" s="176"/>
      <c r="H14" s="176"/>
      <c r="I14" s="176"/>
      <c r="J14" s="8"/>
      <c r="K14" s="8"/>
      <c r="L14" s="8"/>
      <c r="M14" s="8"/>
    </row>
    <row r="15" spans="1:13" ht="15.75" customHeight="1">
      <c r="A15" s="177" t="s">
        <v>4</v>
      </c>
      <c r="B15" s="177"/>
      <c r="C15" s="177"/>
      <c r="D15" s="177"/>
      <c r="E15" s="177"/>
      <c r="F15" s="177"/>
      <c r="G15" s="177"/>
      <c r="H15" s="177"/>
      <c r="I15" s="177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92</v>
      </c>
      <c r="D16" s="81" t="s">
        <v>172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1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90</v>
      </c>
      <c r="C17" s="82" t="s">
        <v>92</v>
      </c>
      <c r="D17" s="81" t="s">
        <v>180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8"/>
      <c r="K17" s="8"/>
      <c r="L17" s="8"/>
      <c r="M17" s="8"/>
    </row>
    <row r="18" spans="1:13" ht="15.75" customHeight="1">
      <c r="A18" s="31">
        <v>3</v>
      </c>
      <c r="B18" s="81" t="s">
        <v>91</v>
      </c>
      <c r="C18" s="82" t="s">
        <v>92</v>
      </c>
      <c r="D18" s="81" t="s">
        <v>173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customHeight="1">
      <c r="A19" s="31">
        <v>4</v>
      </c>
      <c r="B19" s="132" t="s">
        <v>96</v>
      </c>
      <c r="C19" s="133" t="s">
        <v>92</v>
      </c>
      <c r="D19" s="132" t="s">
        <v>179</v>
      </c>
      <c r="E19" s="137">
        <v>19.62</v>
      </c>
      <c r="F19" s="135">
        <v>0.39200000000000002</v>
      </c>
      <c r="G19" s="135">
        <v>271.12</v>
      </c>
      <c r="H19" s="85">
        <f t="shared" ref="H19:H28" si="1">SUM(F19*G19/1000)</f>
        <v>0.10627904000000001</v>
      </c>
      <c r="I19" s="14">
        <f>G19*F19/2</f>
        <v>53.139520000000005</v>
      </c>
      <c r="J19" s="24"/>
      <c r="K19" s="8"/>
      <c r="L19" s="8"/>
      <c r="M19" s="8"/>
    </row>
    <row r="20" spans="1:13" ht="15.75" hidden="1" customHeight="1">
      <c r="A20" s="31">
        <v>4</v>
      </c>
      <c r="B20" s="132" t="s">
        <v>97</v>
      </c>
      <c r="C20" s="133" t="s">
        <v>92</v>
      </c>
      <c r="D20" s="132" t="s">
        <v>42</v>
      </c>
      <c r="E20" s="137">
        <v>8.68</v>
      </c>
      <c r="F20" s="135">
        <v>0.17399999999999999</v>
      </c>
      <c r="G20" s="135">
        <v>268.92</v>
      </c>
      <c r="H20" s="85">
        <f t="shared" si="1"/>
        <v>4.679208E-2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95</v>
      </c>
      <c r="C21" s="82" t="s">
        <v>53</v>
      </c>
      <c r="D21" s="81" t="s">
        <v>94</v>
      </c>
      <c r="E21" s="20">
        <v>4.5</v>
      </c>
      <c r="F21" s="86">
        <v>0.05</v>
      </c>
      <c r="G21" s="84">
        <v>484.94</v>
      </c>
      <c r="H21" s="85">
        <f t="shared" si="1"/>
        <v>2.4247000000000001E-2</v>
      </c>
      <c r="I21" s="14">
        <v>0</v>
      </c>
      <c r="J21" s="24"/>
      <c r="K21" s="8"/>
      <c r="L21" s="8"/>
      <c r="M21" s="8"/>
    </row>
    <row r="22" spans="1:13" ht="15.75" customHeight="1">
      <c r="A22" s="31">
        <v>5</v>
      </c>
      <c r="B22" s="132" t="s">
        <v>97</v>
      </c>
      <c r="C22" s="133" t="s">
        <v>92</v>
      </c>
      <c r="D22" s="132" t="s">
        <v>179</v>
      </c>
      <c r="E22" s="137">
        <v>8.68</v>
      </c>
      <c r="F22" s="135">
        <v>0.17399999999999999</v>
      </c>
      <c r="G22" s="135">
        <v>268.92</v>
      </c>
      <c r="H22" s="85">
        <f t="shared" si="1"/>
        <v>4.679208E-2</v>
      </c>
      <c r="I22" s="14">
        <f>G22*F22/2</f>
        <v>23.396039999999999</v>
      </c>
      <c r="J22" s="24"/>
      <c r="K22" s="8"/>
      <c r="L22" s="8"/>
      <c r="M22" s="8"/>
    </row>
    <row r="23" spans="1:13" ht="15.75" hidden="1" customHeight="1">
      <c r="A23" s="31">
        <v>5</v>
      </c>
      <c r="B23" s="81" t="s">
        <v>97</v>
      </c>
      <c r="C23" s="82" t="s">
        <v>92</v>
      </c>
      <c r="D23" s="81" t="s">
        <v>179</v>
      </c>
      <c r="E23" s="83">
        <v>8.68</v>
      </c>
      <c r="F23" s="84">
        <f>SUM(E23*12/100)</f>
        <v>1.0415999999999999</v>
      </c>
      <c r="G23" s="84">
        <v>268.92</v>
      </c>
      <c r="H23" s="85">
        <f t="shared" si="1"/>
        <v>0.28010707199999996</v>
      </c>
      <c r="I23" s="14">
        <f>G23*F23/2</f>
        <v>140.05353599999998</v>
      </c>
      <c r="J23" s="24"/>
      <c r="K23" s="8"/>
      <c r="L23" s="8"/>
      <c r="M23" s="8"/>
    </row>
    <row r="24" spans="1:13" ht="15.75" hidden="1" customHeight="1">
      <c r="A24" s="31">
        <v>8</v>
      </c>
      <c r="B24" s="81" t="s">
        <v>98</v>
      </c>
      <c r="C24" s="82" t="s">
        <v>53</v>
      </c>
      <c r="D24" s="81" t="s">
        <v>94</v>
      </c>
      <c r="E24" s="83">
        <v>215</v>
      </c>
      <c r="F24" s="84">
        <f>SUM(E24/100)</f>
        <v>2.15</v>
      </c>
      <c r="G24" s="84">
        <v>335.05</v>
      </c>
      <c r="H24" s="85">
        <f t="shared" si="1"/>
        <v>0.72035749999999998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9</v>
      </c>
      <c r="B25" s="81" t="s">
        <v>99</v>
      </c>
      <c r="C25" s="82" t="s">
        <v>53</v>
      </c>
      <c r="D25" s="81" t="s">
        <v>94</v>
      </c>
      <c r="E25" s="87">
        <v>17.64</v>
      </c>
      <c r="F25" s="84">
        <f>SUM(E25/100)</f>
        <v>0.1764</v>
      </c>
      <c r="G25" s="84">
        <v>55.1</v>
      </c>
      <c r="H25" s="85">
        <f t="shared" si="1"/>
        <v>9.7196399999999999E-3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10</v>
      </c>
      <c r="B26" s="81" t="s">
        <v>100</v>
      </c>
      <c r="C26" s="82" t="s">
        <v>53</v>
      </c>
      <c r="D26" s="81" t="s">
        <v>94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1"/>
        <v>9.3319200000000005E-2</v>
      </c>
      <c r="I26" s="14">
        <v>0</v>
      </c>
      <c r="J26" s="24"/>
      <c r="K26" s="8"/>
      <c r="L26" s="8"/>
      <c r="M26" s="8"/>
    </row>
    <row r="27" spans="1:13" ht="15.75" hidden="1" customHeight="1">
      <c r="A27" s="31">
        <v>11</v>
      </c>
      <c r="B27" s="81" t="s">
        <v>140</v>
      </c>
      <c r="C27" s="82" t="s">
        <v>53</v>
      </c>
      <c r="D27" s="81" t="s">
        <v>94</v>
      </c>
      <c r="E27" s="87">
        <v>9.4499999999999993</v>
      </c>
      <c r="F27" s="84">
        <v>0.09</v>
      </c>
      <c r="G27" s="84">
        <v>268.92</v>
      </c>
      <c r="H27" s="85">
        <f t="shared" si="1"/>
        <v>2.42028E-2</v>
      </c>
      <c r="I27" s="14">
        <v>0</v>
      </c>
      <c r="J27" s="24"/>
      <c r="K27" s="8"/>
      <c r="L27" s="8"/>
      <c r="M27" s="8"/>
    </row>
    <row r="28" spans="1:13" ht="15.75" hidden="1" customHeight="1">
      <c r="A28" s="31">
        <v>6</v>
      </c>
      <c r="B28" s="132" t="s">
        <v>171</v>
      </c>
      <c r="C28" s="133" t="s">
        <v>166</v>
      </c>
      <c r="D28" s="132" t="s">
        <v>174</v>
      </c>
      <c r="E28" s="134">
        <v>2.48</v>
      </c>
      <c r="F28" s="135">
        <f>E28*258</f>
        <v>639.84</v>
      </c>
      <c r="G28" s="135">
        <v>10.39</v>
      </c>
      <c r="H28" s="85">
        <f t="shared" si="1"/>
        <v>6.6479376000000014</v>
      </c>
      <c r="I28" s="14">
        <f>F28/12*G28</f>
        <v>553.99480000000005</v>
      </c>
      <c r="J28" s="24"/>
      <c r="K28" s="8"/>
      <c r="L28" s="8"/>
      <c r="M28" s="8"/>
    </row>
    <row r="29" spans="1:13" ht="15.75" customHeight="1">
      <c r="A29" s="177" t="s">
        <v>82</v>
      </c>
      <c r="B29" s="177"/>
      <c r="C29" s="177"/>
      <c r="D29" s="177"/>
      <c r="E29" s="177"/>
      <c r="F29" s="177"/>
      <c r="G29" s="177"/>
      <c r="H29" s="177"/>
      <c r="I29" s="177"/>
      <c r="J29" s="24"/>
      <c r="K29" s="8"/>
      <c r="L29" s="8"/>
      <c r="M29" s="8"/>
    </row>
    <row r="30" spans="1:13" ht="15.75" customHeight="1">
      <c r="A30" s="42"/>
      <c r="B30" s="52" t="s">
        <v>27</v>
      </c>
      <c r="C30" s="52"/>
      <c r="D30" s="52"/>
      <c r="E30" s="52"/>
      <c r="F30" s="52"/>
      <c r="G30" s="52"/>
      <c r="H30" s="52"/>
      <c r="I30" s="20"/>
      <c r="J30" s="24"/>
      <c r="K30" s="8"/>
      <c r="L30" s="8"/>
      <c r="M30" s="8"/>
    </row>
    <row r="31" spans="1:13" ht="15.75" customHeight="1">
      <c r="A31" s="42">
        <v>6</v>
      </c>
      <c r="B31" s="81" t="s">
        <v>101</v>
      </c>
      <c r="C31" s="82" t="s">
        <v>102</v>
      </c>
      <c r="D31" s="81" t="s">
        <v>180</v>
      </c>
      <c r="E31" s="84">
        <v>288.33999999999997</v>
      </c>
      <c r="F31" s="84">
        <f>SUM(E31*52/1000)</f>
        <v>14.993679999999998</v>
      </c>
      <c r="G31" s="84">
        <v>193.97</v>
      </c>
      <c r="H31" s="85">
        <f t="shared" ref="H31:H36" si="2">SUM(F31*G31/1000)</f>
        <v>2.9083241095999997</v>
      </c>
      <c r="I31" s="14">
        <f>F31/6*G31</f>
        <v>484.7206849333333</v>
      </c>
      <c r="J31" s="24"/>
      <c r="K31" s="8"/>
      <c r="L31" s="8"/>
      <c r="M31" s="8"/>
    </row>
    <row r="32" spans="1:13" ht="31.5" customHeight="1">
      <c r="A32" s="42">
        <v>7</v>
      </c>
      <c r="B32" s="81" t="s">
        <v>104</v>
      </c>
      <c r="C32" s="82" t="s">
        <v>102</v>
      </c>
      <c r="D32" s="81" t="s">
        <v>172</v>
      </c>
      <c r="E32" s="84">
        <v>34.200000000000003</v>
      </c>
      <c r="F32" s="84">
        <f>SUM(E32*78/1000)</f>
        <v>2.6676000000000002</v>
      </c>
      <c r="G32" s="84">
        <v>321.82</v>
      </c>
      <c r="H32" s="85">
        <f t="shared" si="2"/>
        <v>0.85848703199999998</v>
      </c>
      <c r="I32" s="14">
        <f t="shared" ref="I32:I34" si="3">F32/6*G32</f>
        <v>143.08117200000001</v>
      </c>
      <c r="J32" s="24"/>
      <c r="K32" s="8"/>
      <c r="L32" s="8"/>
      <c r="M32" s="8"/>
    </row>
    <row r="33" spans="1:14" ht="15.75" hidden="1" customHeight="1">
      <c r="A33" s="42">
        <v>16</v>
      </c>
      <c r="B33" s="81" t="s">
        <v>26</v>
      </c>
      <c r="C33" s="82" t="s">
        <v>102</v>
      </c>
      <c r="D33" s="81" t="s">
        <v>54</v>
      </c>
      <c r="E33" s="84">
        <f>E31</f>
        <v>288.33999999999997</v>
      </c>
      <c r="F33" s="84">
        <f>SUM(E33/1000)</f>
        <v>0.28833999999999999</v>
      </c>
      <c r="G33" s="84">
        <v>3758.28</v>
      </c>
      <c r="H33" s="85">
        <f t="shared" si="2"/>
        <v>1.0836624552</v>
      </c>
      <c r="I33" s="14">
        <f>F33*G33</f>
        <v>1083.6624552000001</v>
      </c>
      <c r="J33" s="24"/>
      <c r="K33" s="8"/>
      <c r="L33" s="8"/>
      <c r="M33" s="8"/>
    </row>
    <row r="34" spans="1:14" ht="15.75" customHeight="1">
      <c r="A34" s="42">
        <v>8</v>
      </c>
      <c r="B34" s="81" t="s">
        <v>106</v>
      </c>
      <c r="C34" s="82" t="s">
        <v>40</v>
      </c>
      <c r="D34" s="81" t="s">
        <v>176</v>
      </c>
      <c r="E34" s="84">
        <v>3</v>
      </c>
      <c r="F34" s="84">
        <f>E34*155/100</f>
        <v>4.6500000000000004</v>
      </c>
      <c r="G34" s="84">
        <v>1620.15</v>
      </c>
      <c r="H34" s="85">
        <f t="shared" si="2"/>
        <v>7.5336975000000015</v>
      </c>
      <c r="I34" s="14">
        <f t="shared" si="3"/>
        <v>1255.61625</v>
      </c>
      <c r="J34" s="24"/>
      <c r="K34" s="8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2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2"/>
        <v>2.8279200000000002</v>
      </c>
      <c r="I36" s="14">
        <v>0</v>
      </c>
      <c r="J36" s="25"/>
    </row>
    <row r="37" spans="1:14" ht="15.75" hidden="1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hidden="1" customHeight="1">
      <c r="A38" s="35">
        <v>6</v>
      </c>
      <c r="B38" s="81" t="s">
        <v>25</v>
      </c>
      <c r="C38" s="82" t="s">
        <v>31</v>
      </c>
      <c r="D38" s="81"/>
      <c r="E38" s="83"/>
      <c r="F38" s="84">
        <v>2</v>
      </c>
      <c r="G38" s="84">
        <v>1900.37</v>
      </c>
      <c r="H38" s="85">
        <f t="shared" ref="H38:H43" si="4">SUM(F38*G38/1000)</f>
        <v>3.8007399999999998</v>
      </c>
      <c r="I38" s="14">
        <f t="shared" ref="I38:I43" si="5">F38/6*G38</f>
        <v>633.45666666666659</v>
      </c>
      <c r="J38" s="25"/>
    </row>
    <row r="39" spans="1:14" ht="15.75" hidden="1" customHeight="1">
      <c r="A39" s="35">
        <v>7</v>
      </c>
      <c r="B39" s="81" t="s">
        <v>67</v>
      </c>
      <c r="C39" s="82" t="s">
        <v>28</v>
      </c>
      <c r="D39" s="81" t="s">
        <v>108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4"/>
        <v>2.6845187400000001</v>
      </c>
      <c r="I39" s="14">
        <f t="shared" si="5"/>
        <v>447.41978999999998</v>
      </c>
      <c r="J39" s="25"/>
    </row>
    <row r="40" spans="1:14" ht="15.75" hidden="1" customHeight="1">
      <c r="A40" s="35">
        <v>8</v>
      </c>
      <c r="B40" s="81" t="s">
        <v>68</v>
      </c>
      <c r="C40" s="82" t="s">
        <v>28</v>
      </c>
      <c r="D40" s="81" t="s">
        <v>109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4"/>
        <v>2.3136214500000003</v>
      </c>
      <c r="I40" s="14">
        <f t="shared" si="5"/>
        <v>385.60357500000003</v>
      </c>
      <c r="J40" s="25"/>
    </row>
    <row r="41" spans="1:14" ht="47.25" hidden="1" customHeight="1">
      <c r="A41" s="35">
        <v>9</v>
      </c>
      <c r="B41" s="81" t="s">
        <v>81</v>
      </c>
      <c r="C41" s="82" t="s">
        <v>102</v>
      </c>
      <c r="D41" s="81" t="s">
        <v>110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4"/>
        <v>8.6437883699999993</v>
      </c>
      <c r="I41" s="14">
        <f t="shared" si="5"/>
        <v>1440.6313950000001</v>
      </c>
      <c r="J41" s="25"/>
      <c r="L41" s="21"/>
      <c r="M41" s="22"/>
      <c r="N41" s="23"/>
    </row>
    <row r="42" spans="1:14" ht="15.75" hidden="1" customHeight="1">
      <c r="A42" s="35">
        <v>10</v>
      </c>
      <c r="B42" s="81" t="s">
        <v>111</v>
      </c>
      <c r="C42" s="82" t="s">
        <v>102</v>
      </c>
      <c r="D42" s="81" t="s">
        <v>112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4"/>
        <v>0.36487980000000003</v>
      </c>
      <c r="I42" s="14">
        <f t="shared" si="5"/>
        <v>60.813300000000005</v>
      </c>
      <c r="J42" s="25"/>
      <c r="L42" s="21"/>
      <c r="M42" s="22"/>
      <c r="N42" s="23"/>
    </row>
    <row r="43" spans="1:14" ht="15.75" hidden="1" customHeight="1">
      <c r="A43" s="35">
        <v>11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4"/>
        <v>0.49648500000000001</v>
      </c>
      <c r="I43" s="14">
        <f t="shared" si="5"/>
        <v>82.747500000000002</v>
      </c>
      <c r="J43" s="25"/>
      <c r="L43" s="21"/>
      <c r="M43" s="22"/>
      <c r="N43" s="23"/>
    </row>
    <row r="44" spans="1:14" ht="15.75" customHeight="1">
      <c r="A44" s="162" t="s">
        <v>145</v>
      </c>
      <c r="B44" s="163"/>
      <c r="C44" s="163"/>
      <c r="D44" s="163"/>
      <c r="E44" s="163"/>
      <c r="F44" s="163"/>
      <c r="G44" s="163"/>
      <c r="H44" s="163"/>
      <c r="I44" s="164"/>
      <c r="J44" s="25"/>
      <c r="L44" s="21"/>
      <c r="M44" s="22"/>
      <c r="N44" s="23"/>
    </row>
    <row r="45" spans="1:14" ht="15.75" customHeight="1">
      <c r="A45" s="42">
        <v>9</v>
      </c>
      <c r="B45" s="81" t="s">
        <v>113</v>
      </c>
      <c r="C45" s="82" t="s">
        <v>102</v>
      </c>
      <c r="D45" s="81" t="s">
        <v>179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6">SUM(F45*G45/1000)</f>
        <v>2.6521417440000006</v>
      </c>
      <c r="I45" s="14">
        <f t="shared" ref="I45:I48" si="7">F45/2*G45</f>
        <v>1326.0708720000002</v>
      </c>
      <c r="J45" s="25"/>
      <c r="L45" s="21"/>
      <c r="M45" s="22"/>
      <c r="N45" s="23"/>
    </row>
    <row r="46" spans="1:14" ht="15.75" customHeight="1">
      <c r="A46" s="42">
        <v>10</v>
      </c>
      <c r="B46" s="81" t="s">
        <v>35</v>
      </c>
      <c r="C46" s="82" t="s">
        <v>102</v>
      </c>
      <c r="D46" s="81" t="s">
        <v>179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6"/>
        <v>2.8553184000000002E-2</v>
      </c>
      <c r="I46" s="14">
        <f t="shared" si="7"/>
        <v>14.276592000000001</v>
      </c>
      <c r="J46" s="25"/>
      <c r="L46" s="21"/>
      <c r="M46" s="22"/>
      <c r="N46" s="23"/>
    </row>
    <row r="47" spans="1:14" ht="15.75" customHeight="1">
      <c r="A47" s="42">
        <v>11</v>
      </c>
      <c r="B47" s="81" t="s">
        <v>36</v>
      </c>
      <c r="C47" s="82" t="s">
        <v>102</v>
      </c>
      <c r="D47" s="81" t="s">
        <v>179</v>
      </c>
      <c r="E47" s="83">
        <v>660.84</v>
      </c>
      <c r="F47" s="84">
        <f>SUM(E47*2/1000)</f>
        <v>1.32168</v>
      </c>
      <c r="G47" s="14">
        <v>1711.28</v>
      </c>
      <c r="H47" s="85">
        <f t="shared" si="6"/>
        <v>2.2617645503999997</v>
      </c>
      <c r="I47" s="14">
        <f t="shared" si="7"/>
        <v>1130.8822751999999</v>
      </c>
      <c r="J47" s="25"/>
      <c r="L47" s="21"/>
      <c r="M47" s="22"/>
      <c r="N47" s="23"/>
    </row>
    <row r="48" spans="1:14" ht="15.75" customHeight="1">
      <c r="A48" s="42">
        <v>12</v>
      </c>
      <c r="B48" s="81" t="s">
        <v>37</v>
      </c>
      <c r="C48" s="82" t="s">
        <v>102</v>
      </c>
      <c r="D48" s="81" t="s">
        <v>179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6"/>
        <v>2.7280312466000001</v>
      </c>
      <c r="I48" s="14">
        <f t="shared" si="7"/>
        <v>1364.0156233</v>
      </c>
      <c r="J48" s="25"/>
      <c r="L48" s="21"/>
      <c r="M48" s="22"/>
      <c r="N48" s="23"/>
    </row>
    <row r="49" spans="1:14" ht="15.75" customHeight="1">
      <c r="A49" s="42">
        <v>13</v>
      </c>
      <c r="B49" s="81" t="s">
        <v>33</v>
      </c>
      <c r="C49" s="82" t="s">
        <v>34</v>
      </c>
      <c r="D49" s="81" t="s">
        <v>179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6"/>
        <v>3.1061108E-2</v>
      </c>
      <c r="I49" s="14">
        <f>F49/2*G49</f>
        <v>15.530554</v>
      </c>
      <c r="J49" s="25"/>
      <c r="L49" s="21"/>
      <c r="M49" s="22"/>
      <c r="N49" s="23"/>
    </row>
    <row r="50" spans="1:14" ht="15.75" customHeight="1">
      <c r="A50" s="42">
        <v>14</v>
      </c>
      <c r="B50" s="81" t="s">
        <v>56</v>
      </c>
      <c r="C50" s="82" t="s">
        <v>102</v>
      </c>
      <c r="D50" s="81" t="s">
        <v>179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6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customHeight="1">
      <c r="A51" s="42">
        <v>15</v>
      </c>
      <c r="B51" s="81" t="s">
        <v>114</v>
      </c>
      <c r="C51" s="82" t="s">
        <v>102</v>
      </c>
      <c r="D51" s="81" t="s">
        <v>179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6"/>
        <v>2.48555876</v>
      </c>
      <c r="I51" s="14">
        <f>F51/2*G51</f>
        <v>1242.7793799999999</v>
      </c>
      <c r="J51" s="25"/>
      <c r="L51" s="21"/>
      <c r="M51" s="22"/>
      <c r="N51" s="23"/>
    </row>
    <row r="52" spans="1:14" ht="31.5" customHeight="1">
      <c r="A52" s="42">
        <v>16</v>
      </c>
      <c r="B52" s="81" t="s">
        <v>115</v>
      </c>
      <c r="C52" s="82" t="s">
        <v>38</v>
      </c>
      <c r="D52" s="81" t="s">
        <v>179</v>
      </c>
      <c r="E52" s="83">
        <v>9</v>
      </c>
      <c r="F52" s="84">
        <f>SUM(E52*2/100)</f>
        <v>0.18</v>
      </c>
      <c r="G52" s="14">
        <v>3850.4</v>
      </c>
      <c r="H52" s="85">
        <f t="shared" si="6"/>
        <v>0.69307200000000002</v>
      </c>
      <c r="I52" s="14">
        <f t="shared" ref="I52:I53" si="8">F52/2*G52</f>
        <v>346.536</v>
      </c>
      <c r="J52" s="25"/>
      <c r="L52" s="21"/>
      <c r="M52" s="22"/>
      <c r="N52" s="23"/>
    </row>
    <row r="53" spans="1:14" ht="15.75" customHeight="1">
      <c r="A53" s="42">
        <v>17</v>
      </c>
      <c r="B53" s="81" t="s">
        <v>39</v>
      </c>
      <c r="C53" s="82" t="s">
        <v>40</v>
      </c>
      <c r="D53" s="81" t="s">
        <v>179</v>
      </c>
      <c r="E53" s="83">
        <v>1</v>
      </c>
      <c r="F53" s="84">
        <v>0.02</v>
      </c>
      <c r="G53" s="14">
        <v>7033.13</v>
      </c>
      <c r="H53" s="85">
        <f t="shared" si="6"/>
        <v>0.1406626</v>
      </c>
      <c r="I53" s="14">
        <f t="shared" si="8"/>
        <v>70.331299999999999</v>
      </c>
      <c r="J53" s="25"/>
      <c r="L53" s="21"/>
      <c r="M53" s="22"/>
      <c r="N53" s="23"/>
    </row>
    <row r="54" spans="1:14" ht="15.75" hidden="1" customHeight="1">
      <c r="A54" s="42">
        <v>10</v>
      </c>
      <c r="B54" s="81" t="s">
        <v>141</v>
      </c>
      <c r="C54" s="82" t="s">
        <v>29</v>
      </c>
      <c r="D54" s="81" t="s">
        <v>70</v>
      </c>
      <c r="E54" s="83">
        <v>36</v>
      </c>
      <c r="F54" s="84">
        <f>E54*3</f>
        <v>108</v>
      </c>
      <c r="G54" s="14">
        <v>175.6</v>
      </c>
      <c r="H54" s="85">
        <f t="shared" si="6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hidden="1" customHeight="1">
      <c r="A55" s="42">
        <v>11</v>
      </c>
      <c r="B55" s="81" t="s">
        <v>41</v>
      </c>
      <c r="C55" s="82" t="s">
        <v>29</v>
      </c>
      <c r="D55" s="81" t="s">
        <v>70</v>
      </c>
      <c r="E55" s="83">
        <v>36</v>
      </c>
      <c r="F55" s="84">
        <f>SUM(E55)*3</f>
        <v>108</v>
      </c>
      <c r="G55" s="14">
        <v>81.73</v>
      </c>
      <c r="H55" s="85">
        <f t="shared" si="6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62" t="s">
        <v>146</v>
      </c>
      <c r="B56" s="163"/>
      <c r="C56" s="163"/>
      <c r="D56" s="163"/>
      <c r="E56" s="163"/>
      <c r="F56" s="163"/>
      <c r="G56" s="163"/>
      <c r="H56" s="163"/>
      <c r="I56" s="164"/>
      <c r="J56" s="25"/>
      <c r="L56" s="21"/>
      <c r="M56" s="22"/>
      <c r="N56" s="23"/>
    </row>
    <row r="57" spans="1:14" ht="15.75" hidden="1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hidden="1" customHeight="1">
      <c r="A58" s="42">
        <v>12</v>
      </c>
      <c r="B58" s="81" t="s">
        <v>149</v>
      </c>
      <c r="C58" s="82" t="s">
        <v>92</v>
      </c>
      <c r="D58" s="81" t="s">
        <v>71</v>
      </c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F58/6*G58</f>
        <v>1606.7914919999998</v>
      </c>
      <c r="J58" s="25"/>
      <c r="L58" s="21"/>
      <c r="M58" s="22"/>
      <c r="N58" s="23"/>
    </row>
    <row r="59" spans="1:14" ht="15.75" hidden="1" customHeight="1">
      <c r="A59" s="42">
        <v>13</v>
      </c>
      <c r="B59" s="81" t="s">
        <v>85</v>
      </c>
      <c r="C59" s="82" t="s">
        <v>150</v>
      </c>
      <c r="D59" s="81" t="s">
        <v>66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</f>
        <v>1501</v>
      </c>
      <c r="J59" s="25"/>
      <c r="L59" s="21"/>
      <c r="M59" s="22"/>
      <c r="N59" s="23"/>
    </row>
    <row r="60" spans="1:14" ht="15.75" hidden="1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15.7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15.75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15.75" hidden="1" customHeight="1">
      <c r="A63" s="42">
        <v>12</v>
      </c>
      <c r="B63" s="16" t="s">
        <v>47</v>
      </c>
      <c r="C63" s="18" t="s">
        <v>116</v>
      </c>
      <c r="D63" s="16" t="s">
        <v>66</v>
      </c>
      <c r="E63" s="20">
        <v>10</v>
      </c>
      <c r="F63" s="84">
        <v>10</v>
      </c>
      <c r="G63" s="14">
        <v>276.74</v>
      </c>
      <c r="H63" s="97">
        <f t="shared" ref="H63:H70" si="9">SUM(F63*G63/1000)</f>
        <v>2.7674000000000003</v>
      </c>
      <c r="I63" s="14">
        <f>G63</f>
        <v>276.74</v>
      </c>
    </row>
    <row r="64" spans="1:14" ht="15.75" hidden="1" customHeight="1">
      <c r="A64" s="31">
        <v>29</v>
      </c>
      <c r="B64" s="16" t="s">
        <v>48</v>
      </c>
      <c r="C64" s="18" t="s">
        <v>116</v>
      </c>
      <c r="D64" s="16" t="s">
        <v>66</v>
      </c>
      <c r="E64" s="20">
        <v>3</v>
      </c>
      <c r="F64" s="84">
        <v>3</v>
      </c>
      <c r="G64" s="14">
        <v>94.89</v>
      </c>
      <c r="H64" s="97">
        <f t="shared" si="9"/>
        <v>0.28467000000000003</v>
      </c>
      <c r="I64" s="14">
        <v>0</v>
      </c>
    </row>
    <row r="65" spans="1:22" ht="15.75" hidden="1" customHeight="1">
      <c r="A65" s="31">
        <v>28</v>
      </c>
      <c r="B65" s="16" t="s">
        <v>49</v>
      </c>
      <c r="C65" s="18" t="s">
        <v>117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9"/>
        <v>19.820369200000002</v>
      </c>
      <c r="I65" s="14">
        <f>F65*G65</f>
        <v>19820.369200000001</v>
      </c>
    </row>
    <row r="66" spans="1:22" ht="15.75" hidden="1" customHeight="1">
      <c r="A66" s="31">
        <v>29</v>
      </c>
      <c r="B66" s="16" t="s">
        <v>50</v>
      </c>
      <c r="C66" s="18" t="s">
        <v>118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9"/>
        <v>1.54341956</v>
      </c>
      <c r="I66" s="14">
        <f t="shared" ref="I66:I69" si="10">F66*G66</f>
        <v>1543.41956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1">
        <v>30</v>
      </c>
      <c r="B67" s="16" t="s">
        <v>51</v>
      </c>
      <c r="C67" s="18" t="s">
        <v>76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9"/>
        <v>28.138677000000005</v>
      </c>
      <c r="I67" s="14">
        <f t="shared" si="10"/>
        <v>28138.677000000003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1">
        <v>31</v>
      </c>
      <c r="B68" s="98" t="s">
        <v>119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9"/>
        <v>0.35113000000000005</v>
      </c>
      <c r="I68" s="14">
        <f t="shared" si="10"/>
        <v>351.13000000000005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31">
        <v>32</v>
      </c>
      <c r="B69" s="98" t="s">
        <v>151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9"/>
        <v>0.327598</v>
      </c>
      <c r="I69" s="14">
        <f t="shared" si="10"/>
        <v>327.59800000000001</v>
      </c>
      <c r="J69" s="5"/>
      <c r="K69" s="5"/>
      <c r="L69" s="5"/>
      <c r="M69" s="5"/>
      <c r="N69" s="5"/>
      <c r="O69" s="5"/>
      <c r="P69" s="5"/>
      <c r="Q69" s="5"/>
      <c r="R69" s="153"/>
      <c r="S69" s="153"/>
      <c r="T69" s="153"/>
      <c r="U69" s="153"/>
    </row>
    <row r="70" spans="1:22" ht="15.75" customHeight="1">
      <c r="A70" s="31">
        <v>18</v>
      </c>
      <c r="B70" s="16" t="s">
        <v>57</v>
      </c>
      <c r="C70" s="18" t="s">
        <v>58</v>
      </c>
      <c r="D70" s="16" t="s">
        <v>181</v>
      </c>
      <c r="E70" s="20">
        <v>3</v>
      </c>
      <c r="F70" s="84">
        <f>SUM(E70)</f>
        <v>3</v>
      </c>
      <c r="G70" s="14">
        <v>62.07</v>
      </c>
      <c r="H70" s="97">
        <f t="shared" si="9"/>
        <v>0.18621000000000001</v>
      </c>
      <c r="I70" s="14">
        <f>G70*3</f>
        <v>186.21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31"/>
      <c r="B71" s="50" t="s">
        <v>72</v>
      </c>
      <c r="C71" s="50"/>
      <c r="D71" s="50"/>
      <c r="E71" s="50"/>
      <c r="F71" s="20"/>
      <c r="G71" s="31"/>
      <c r="H71" s="31"/>
      <c r="I71" s="20"/>
    </row>
    <row r="72" spans="1:22" ht="15.75" hidden="1" customHeight="1">
      <c r="A72" s="31"/>
      <c r="B72" s="16" t="s">
        <v>122</v>
      </c>
      <c r="C72" s="18" t="s">
        <v>123</v>
      </c>
      <c r="D72" s="39" t="s">
        <v>66</v>
      </c>
      <c r="E72" s="20">
        <v>3</v>
      </c>
      <c r="F72" s="14">
        <v>3</v>
      </c>
      <c r="G72" s="14">
        <v>976.4</v>
      </c>
      <c r="H72" s="97">
        <f t="shared" ref="H72:H76" si="11">SUM(F72*G72/1000)</f>
        <v>2.9291999999999998</v>
      </c>
      <c r="I72" s="14">
        <v>0</v>
      </c>
    </row>
    <row r="73" spans="1:22" ht="15.75" hidden="1" customHeight="1">
      <c r="A73" s="31"/>
      <c r="B73" s="16" t="s">
        <v>124</v>
      </c>
      <c r="C73" s="18" t="s">
        <v>125</v>
      </c>
      <c r="D73" s="16"/>
      <c r="E73" s="20">
        <v>1</v>
      </c>
      <c r="F73" s="14">
        <v>1</v>
      </c>
      <c r="G73" s="14">
        <v>750</v>
      </c>
      <c r="H73" s="97">
        <f t="shared" si="11"/>
        <v>0.75</v>
      </c>
      <c r="I73" s="14">
        <v>0</v>
      </c>
    </row>
    <row r="74" spans="1:22" ht="15.75" hidden="1" customHeight="1">
      <c r="A74" s="31"/>
      <c r="B74" s="16" t="s">
        <v>73</v>
      </c>
      <c r="C74" s="18" t="s">
        <v>30</v>
      </c>
      <c r="D74" s="39" t="s">
        <v>66</v>
      </c>
      <c r="E74" s="20">
        <v>3</v>
      </c>
      <c r="F74" s="14">
        <f>E74/10</f>
        <v>0.3</v>
      </c>
      <c r="G74" s="14">
        <v>624.16999999999996</v>
      </c>
      <c r="H74" s="97">
        <f t="shared" si="11"/>
        <v>0.18725099999999997</v>
      </c>
      <c r="I74" s="14">
        <v>0</v>
      </c>
    </row>
    <row r="75" spans="1:22" ht="15.75" hidden="1" customHeight="1">
      <c r="A75" s="31"/>
      <c r="B75" s="16" t="s">
        <v>74</v>
      </c>
      <c r="C75" s="18" t="s">
        <v>29</v>
      </c>
      <c r="D75" s="39" t="s">
        <v>66</v>
      </c>
      <c r="E75" s="20">
        <v>1</v>
      </c>
      <c r="F75" s="14">
        <v>1</v>
      </c>
      <c r="G75" s="14">
        <v>1061.4100000000001</v>
      </c>
      <c r="H75" s="97">
        <f t="shared" si="11"/>
        <v>1.0614100000000002</v>
      </c>
      <c r="I75" s="14">
        <v>0</v>
      </c>
    </row>
    <row r="76" spans="1:22" ht="15.75" hidden="1" customHeight="1">
      <c r="A76" s="31">
        <v>17</v>
      </c>
      <c r="B76" s="16" t="s">
        <v>86</v>
      </c>
      <c r="C76" s="18" t="s">
        <v>29</v>
      </c>
      <c r="D76" s="39" t="s">
        <v>66</v>
      </c>
      <c r="E76" s="20">
        <v>1</v>
      </c>
      <c r="F76" s="84">
        <f>SUM(E76)</f>
        <v>1</v>
      </c>
      <c r="G76" s="14">
        <v>446.12</v>
      </c>
      <c r="H76" s="97">
        <f t="shared" si="11"/>
        <v>0.44612000000000002</v>
      </c>
      <c r="I76" s="14">
        <v>0</v>
      </c>
    </row>
    <row r="77" spans="1:22" ht="15.75" hidden="1" customHeight="1">
      <c r="A77" s="31"/>
      <c r="B77" s="51" t="s">
        <v>75</v>
      </c>
      <c r="C77" s="40"/>
      <c r="D77" s="31"/>
      <c r="E77" s="31"/>
      <c r="F77" s="20"/>
      <c r="G77" s="38"/>
      <c r="H77" s="38"/>
      <c r="I77" s="20"/>
    </row>
    <row r="78" spans="1:22" ht="15.75" hidden="1" customHeight="1">
      <c r="A78" s="31">
        <v>39</v>
      </c>
      <c r="B78" s="53" t="s">
        <v>126</v>
      </c>
      <c r="C78" s="18" t="s">
        <v>76</v>
      </c>
      <c r="D78" s="16"/>
      <c r="E78" s="20"/>
      <c r="F78" s="14">
        <v>1.35</v>
      </c>
      <c r="G78" s="14">
        <v>3433.68</v>
      </c>
      <c r="H78" s="97">
        <f t="shared" ref="H78" si="12">SUM(F78*G78/1000)</f>
        <v>4.6354679999999995</v>
      </c>
      <c r="I78" s="14">
        <v>0</v>
      </c>
    </row>
    <row r="79" spans="1:22" ht="15.75" hidden="1" customHeight="1">
      <c r="A79" s="31"/>
      <c r="B79" s="70" t="s">
        <v>88</v>
      </c>
      <c r="C79" s="64"/>
      <c r="D79" s="33"/>
      <c r="E79" s="33"/>
      <c r="F79" s="13"/>
      <c r="G79" s="38"/>
      <c r="H79" s="38"/>
      <c r="I79" s="20"/>
    </row>
    <row r="80" spans="1:22" ht="31.5" hidden="1" customHeight="1">
      <c r="A80" s="31"/>
      <c r="B80" s="16" t="s">
        <v>127</v>
      </c>
      <c r="C80" s="18" t="s">
        <v>87</v>
      </c>
      <c r="D80" s="16" t="s">
        <v>66</v>
      </c>
      <c r="E80" s="20">
        <v>6</v>
      </c>
      <c r="F80" s="14">
        <f>E80</f>
        <v>6</v>
      </c>
      <c r="G80" s="14">
        <v>297.44</v>
      </c>
      <c r="H80" s="97">
        <f t="shared" ref="H80:H89" si="13">SUM(F80*G80/1000)</f>
        <v>1.7846399999999998</v>
      </c>
      <c r="I80" s="14">
        <v>0</v>
      </c>
    </row>
    <row r="81" spans="1:9" ht="15.75" hidden="1" customHeight="1">
      <c r="A81" s="31">
        <v>20</v>
      </c>
      <c r="B81" s="16" t="s">
        <v>128</v>
      </c>
      <c r="C81" s="18" t="s">
        <v>80</v>
      </c>
      <c r="D81" s="16" t="s">
        <v>183</v>
      </c>
      <c r="E81" s="20">
        <v>12</v>
      </c>
      <c r="F81" s="14">
        <f>E81</f>
        <v>12</v>
      </c>
      <c r="G81" s="14">
        <v>122.35</v>
      </c>
      <c r="H81" s="97">
        <f t="shared" si="13"/>
        <v>1.4681999999999997</v>
      </c>
      <c r="I81" s="14">
        <f>G81*9</f>
        <v>1101.1499999999999</v>
      </c>
    </row>
    <row r="82" spans="1:9" ht="15.75" hidden="1" customHeight="1">
      <c r="A82" s="31">
        <v>10</v>
      </c>
      <c r="B82" s="16" t="s">
        <v>129</v>
      </c>
      <c r="C82" s="18" t="s">
        <v>130</v>
      </c>
      <c r="D82" s="16" t="s">
        <v>66</v>
      </c>
      <c r="E82" s="20">
        <v>9</v>
      </c>
      <c r="F82" s="14">
        <f>E82/3</f>
        <v>3</v>
      </c>
      <c r="G82" s="14">
        <v>1063.47</v>
      </c>
      <c r="H82" s="97">
        <f t="shared" si="13"/>
        <v>3.19041</v>
      </c>
      <c r="I82" s="14">
        <f>G82*((10+10)/3)</f>
        <v>7089.8</v>
      </c>
    </row>
    <row r="83" spans="1:9" ht="31.5" hidden="1" customHeight="1">
      <c r="A83" s="31"/>
      <c r="B83" s="16" t="s">
        <v>131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1564.44</v>
      </c>
      <c r="H83" s="97">
        <f t="shared" si="13"/>
        <v>9.3866399999999999</v>
      </c>
      <c r="I83" s="14">
        <v>0</v>
      </c>
    </row>
    <row r="84" spans="1:9" ht="31.5" hidden="1" customHeight="1">
      <c r="A84" s="31"/>
      <c r="B84" s="16" t="s">
        <v>132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1906.89</v>
      </c>
      <c r="H84" s="97">
        <f t="shared" si="13"/>
        <v>11.44134</v>
      </c>
      <c r="I84" s="14">
        <v>0</v>
      </c>
    </row>
    <row r="85" spans="1:9" ht="31.5" hidden="1" customHeight="1">
      <c r="A85" s="31"/>
      <c r="B85" s="16" t="s">
        <v>133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664.35</v>
      </c>
      <c r="H85" s="97">
        <f t="shared" si="13"/>
        <v>3.9861000000000004</v>
      </c>
      <c r="I85" s="14">
        <v>0</v>
      </c>
    </row>
    <row r="86" spans="1:9" ht="31.5" hidden="1" customHeight="1">
      <c r="A86" s="31"/>
      <c r="B86" s="16" t="s">
        <v>134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778.85</v>
      </c>
      <c r="H86" s="97">
        <f t="shared" si="13"/>
        <v>4.6731000000000007</v>
      </c>
      <c r="I86" s="14">
        <v>0</v>
      </c>
    </row>
    <row r="87" spans="1:9" ht="15.75" hidden="1" customHeight="1">
      <c r="A87" s="31"/>
      <c r="B87" s="16" t="s">
        <v>135</v>
      </c>
      <c r="C87" s="18" t="s">
        <v>123</v>
      </c>
      <c r="D87" s="16" t="s">
        <v>66</v>
      </c>
      <c r="E87" s="20">
        <v>3</v>
      </c>
      <c r="F87" s="14">
        <v>3</v>
      </c>
      <c r="G87" s="14">
        <v>498.11</v>
      </c>
      <c r="H87" s="97">
        <f t="shared" si="13"/>
        <v>1.4943299999999999</v>
      </c>
      <c r="I87" s="14">
        <v>0</v>
      </c>
    </row>
    <row r="88" spans="1:9" ht="31.5" hidden="1" customHeight="1">
      <c r="A88" s="31"/>
      <c r="B88" s="16" t="s">
        <v>136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1264.3399999999999</v>
      </c>
      <c r="H88" s="97">
        <f t="shared" si="13"/>
        <v>7.5860399999999988</v>
      </c>
      <c r="I88" s="14">
        <v>0</v>
      </c>
    </row>
    <row r="89" spans="1:9" ht="15.75" hidden="1" customHeight="1">
      <c r="A89" s="31">
        <v>33</v>
      </c>
      <c r="B89" s="16" t="s">
        <v>137</v>
      </c>
      <c r="C89" s="18" t="s">
        <v>28</v>
      </c>
      <c r="D89" s="16" t="s">
        <v>42</v>
      </c>
      <c r="E89" s="20">
        <v>823</v>
      </c>
      <c r="F89" s="14">
        <f>E89*2/1000</f>
        <v>1.6459999999999999</v>
      </c>
      <c r="G89" s="14">
        <v>1707.71</v>
      </c>
      <c r="H89" s="97">
        <f t="shared" si="13"/>
        <v>2.8108906600000001</v>
      </c>
      <c r="I89" s="14">
        <f t="shared" ref="I89" si="14">F89/2*G89</f>
        <v>1405.44533</v>
      </c>
    </row>
    <row r="90" spans="1:9" ht="16.5" hidden="1" customHeight="1">
      <c r="A90" s="54"/>
      <c r="B90" s="70" t="s">
        <v>120</v>
      </c>
      <c r="C90" s="70"/>
      <c r="D90" s="70"/>
      <c r="E90" s="70"/>
      <c r="F90" s="70"/>
      <c r="G90" s="70"/>
      <c r="H90" s="70"/>
      <c r="I90" s="20"/>
    </row>
    <row r="91" spans="1:9" ht="14.25" hidden="1" customHeight="1">
      <c r="A91" s="31">
        <v>21</v>
      </c>
      <c r="B91" s="81" t="s">
        <v>121</v>
      </c>
      <c r="C91" s="18"/>
      <c r="D91" s="16"/>
      <c r="E91" s="20"/>
      <c r="F91" s="14">
        <v>1</v>
      </c>
      <c r="G91" s="14">
        <v>660</v>
      </c>
      <c r="H91" s="97">
        <f>G91*F91/1000</f>
        <v>0.66</v>
      </c>
      <c r="I91" s="14">
        <f>G91</f>
        <v>660</v>
      </c>
    </row>
    <row r="92" spans="1:9" ht="15.75" customHeight="1">
      <c r="A92" s="170" t="s">
        <v>147</v>
      </c>
      <c r="B92" s="171"/>
      <c r="C92" s="171"/>
      <c r="D92" s="171"/>
      <c r="E92" s="171"/>
      <c r="F92" s="171"/>
      <c r="G92" s="171"/>
      <c r="H92" s="171"/>
      <c r="I92" s="172"/>
    </row>
    <row r="93" spans="1:9" ht="15.75" customHeight="1">
      <c r="A93" s="31">
        <v>19</v>
      </c>
      <c r="B93" s="81" t="s">
        <v>138</v>
      </c>
      <c r="C93" s="18" t="s">
        <v>55</v>
      </c>
      <c r="D93" s="99"/>
      <c r="E93" s="14">
        <v>1810.5</v>
      </c>
      <c r="F93" s="14">
        <f>SUM(E93*12)</f>
        <v>21726</v>
      </c>
      <c r="G93" s="14">
        <v>2.95</v>
      </c>
      <c r="H93" s="97">
        <f>SUM(F93*G93/1000)</f>
        <v>64.091700000000003</v>
      </c>
      <c r="I93" s="14">
        <f>F93/12*G93</f>
        <v>5340.9750000000004</v>
      </c>
    </row>
    <row r="94" spans="1:9" ht="15.75" customHeight="1">
      <c r="A94" s="31">
        <v>20</v>
      </c>
      <c r="B94" s="16" t="s">
        <v>77</v>
      </c>
      <c r="C94" s="18" t="s">
        <v>55</v>
      </c>
      <c r="D94" s="99"/>
      <c r="E94" s="83">
        <v>1810.5</v>
      </c>
      <c r="F94" s="14">
        <f>E94*12</f>
        <v>21726</v>
      </c>
      <c r="G94" s="14">
        <v>3.05</v>
      </c>
      <c r="H94" s="97">
        <f>F94*G94/1000</f>
        <v>66.264300000000006</v>
      </c>
      <c r="I94" s="14">
        <f>F94/12*G94</f>
        <v>5522.0249999999996</v>
      </c>
    </row>
    <row r="95" spans="1:9" ht="15.75" customHeight="1">
      <c r="A95" s="54"/>
      <c r="B95" s="41" t="s">
        <v>79</v>
      </c>
      <c r="C95" s="42"/>
      <c r="D95" s="17"/>
      <c r="E95" s="17"/>
      <c r="F95" s="17"/>
      <c r="G95" s="20"/>
      <c r="H95" s="20"/>
      <c r="I95" s="34">
        <f>I94+I93+I70+I53+I52+I51+I50+I49+I48+I47+I46+I45+I34+I32+I31+I22+I19+I18+I17+I16</f>
        <v>25561.087886766662</v>
      </c>
    </row>
    <row r="96" spans="1:9" ht="15.75" customHeight="1">
      <c r="A96" s="173" t="s">
        <v>60</v>
      </c>
      <c r="B96" s="174"/>
      <c r="C96" s="174"/>
      <c r="D96" s="174"/>
      <c r="E96" s="174"/>
      <c r="F96" s="174"/>
      <c r="G96" s="174"/>
      <c r="H96" s="174"/>
      <c r="I96" s="175"/>
    </row>
    <row r="97" spans="1:9" ht="15.75" customHeight="1">
      <c r="A97" s="101">
        <v>21</v>
      </c>
      <c r="B97" s="39" t="s">
        <v>165</v>
      </c>
      <c r="C97" s="130" t="s">
        <v>166</v>
      </c>
      <c r="D97" s="65"/>
      <c r="E97" s="38"/>
      <c r="F97" s="38">
        <v>1</v>
      </c>
      <c r="G97" s="105">
        <v>1.4</v>
      </c>
      <c r="H97" s="100">
        <f t="shared" ref="H97" si="15">G97*F97/1000</f>
        <v>1.4E-3</v>
      </c>
      <c r="I97" s="102">
        <f>G97*12</f>
        <v>16.799999999999997</v>
      </c>
    </row>
    <row r="98" spans="1:9" ht="18" customHeight="1">
      <c r="A98" s="101">
        <v>22</v>
      </c>
      <c r="B98" s="16" t="s">
        <v>203</v>
      </c>
      <c r="C98" s="18" t="s">
        <v>182</v>
      </c>
      <c r="D98" s="16" t="s">
        <v>269</v>
      </c>
      <c r="E98" s="20"/>
      <c r="F98" s="14">
        <v>27</v>
      </c>
      <c r="G98" s="14">
        <v>295.36</v>
      </c>
      <c r="H98" s="100"/>
      <c r="I98" s="102">
        <f>G98*4</f>
        <v>1181.44</v>
      </c>
    </row>
    <row r="99" spans="1:9" ht="15.75" customHeight="1">
      <c r="A99" s="101">
        <v>23</v>
      </c>
      <c r="B99" s="16" t="s">
        <v>264</v>
      </c>
      <c r="C99" s="18" t="s">
        <v>191</v>
      </c>
      <c r="D99" s="16"/>
      <c r="E99" s="20"/>
      <c r="F99" s="14">
        <v>1</v>
      </c>
      <c r="G99" s="14">
        <v>236.08</v>
      </c>
      <c r="H99" s="100"/>
      <c r="I99" s="102">
        <f>G99*1</f>
        <v>236.08</v>
      </c>
    </row>
    <row r="100" spans="1:9" ht="36" customHeight="1">
      <c r="A100" s="101">
        <v>24</v>
      </c>
      <c r="B100" s="128" t="s">
        <v>265</v>
      </c>
      <c r="C100" s="129" t="s">
        <v>257</v>
      </c>
      <c r="D100" s="16" t="s">
        <v>267</v>
      </c>
      <c r="E100" s="20"/>
      <c r="F100" s="14">
        <v>0.19</v>
      </c>
      <c r="G100" s="14">
        <v>5273.1</v>
      </c>
      <c r="H100" s="100"/>
      <c r="I100" s="102">
        <f>G100*0.19</f>
        <v>1001.8890000000001</v>
      </c>
    </row>
    <row r="101" spans="1:9" ht="15.75" customHeight="1">
      <c r="A101" s="101">
        <v>25</v>
      </c>
      <c r="B101" s="128" t="s">
        <v>266</v>
      </c>
      <c r="C101" s="129" t="s">
        <v>116</v>
      </c>
      <c r="D101" s="16" t="s">
        <v>268</v>
      </c>
      <c r="E101" s="20"/>
      <c r="F101" s="14">
        <v>1</v>
      </c>
      <c r="G101" s="14">
        <v>420</v>
      </c>
      <c r="H101" s="100"/>
      <c r="I101" s="102">
        <f>G101*1</f>
        <v>420</v>
      </c>
    </row>
    <row r="102" spans="1:9" ht="15.75" customHeight="1">
      <c r="A102" s="101">
        <v>26</v>
      </c>
      <c r="B102" s="128" t="s">
        <v>219</v>
      </c>
      <c r="C102" s="129" t="s">
        <v>40</v>
      </c>
      <c r="D102" s="16" t="s">
        <v>179</v>
      </c>
      <c r="E102" s="20"/>
      <c r="F102" s="14">
        <v>0.03</v>
      </c>
      <c r="G102" s="14">
        <v>28224.75</v>
      </c>
      <c r="H102" s="100"/>
      <c r="I102" s="102">
        <v>0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SUM(I97:I101)</f>
        <v>2856.2089999999998</v>
      </c>
    </row>
    <row r="104" spans="1:9" ht="15.75" customHeight="1">
      <c r="A104" s="31"/>
      <c r="B104" s="53" t="s">
        <v>78</v>
      </c>
      <c r="C104" s="17"/>
      <c r="D104" s="17"/>
      <c r="E104" s="17"/>
      <c r="F104" s="44"/>
      <c r="G104" s="45"/>
      <c r="H104" s="45"/>
      <c r="I104" s="19">
        <v>0</v>
      </c>
    </row>
    <row r="105" spans="1:9">
      <c r="A105" s="56"/>
      <c r="B105" s="48" t="s">
        <v>148</v>
      </c>
      <c r="C105" s="36"/>
      <c r="D105" s="36"/>
      <c r="E105" s="36"/>
      <c r="F105" s="36"/>
      <c r="G105" s="36"/>
      <c r="H105" s="36"/>
      <c r="I105" s="46">
        <f>I95+I103</f>
        <v>28417.29688676666</v>
      </c>
    </row>
    <row r="106" spans="1:9" ht="15.75">
      <c r="A106" s="159" t="s">
        <v>270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15.75">
      <c r="A107" s="72"/>
      <c r="B107" s="160" t="s">
        <v>271</v>
      </c>
      <c r="C107" s="160"/>
      <c r="D107" s="160"/>
      <c r="E107" s="160"/>
      <c r="F107" s="160"/>
      <c r="G107" s="160"/>
      <c r="H107" s="79"/>
      <c r="I107" s="3"/>
    </row>
    <row r="108" spans="1:9">
      <c r="A108" s="68"/>
      <c r="B108" s="158" t="s">
        <v>6</v>
      </c>
      <c r="C108" s="158"/>
      <c r="D108" s="158"/>
      <c r="E108" s="158"/>
      <c r="F108" s="158"/>
      <c r="G108" s="158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1" t="s">
        <v>7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1" t="s">
        <v>8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55" t="s">
        <v>61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.75">
      <c r="A113" s="11"/>
    </row>
    <row r="114" spans="1:9" ht="15.75">
      <c r="A114" s="156" t="s">
        <v>9</v>
      </c>
      <c r="B114" s="156"/>
      <c r="C114" s="156"/>
      <c r="D114" s="156"/>
      <c r="E114" s="156"/>
      <c r="F114" s="156"/>
      <c r="G114" s="156"/>
      <c r="H114" s="156"/>
      <c r="I114" s="156"/>
    </row>
    <row r="115" spans="1:9" ht="15.75">
      <c r="A115" s="4"/>
    </row>
    <row r="116" spans="1:9" ht="15.75">
      <c r="B116" s="69" t="s">
        <v>10</v>
      </c>
      <c r="C116" s="157" t="s">
        <v>196</v>
      </c>
      <c r="D116" s="157"/>
      <c r="E116" s="157"/>
      <c r="F116" s="157"/>
      <c r="I116" s="67"/>
    </row>
    <row r="117" spans="1:9">
      <c r="A117" s="68"/>
      <c r="C117" s="158" t="s">
        <v>11</v>
      </c>
      <c r="D117" s="158"/>
      <c r="E117" s="158"/>
      <c r="F117" s="158"/>
      <c r="I117" s="66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69" t="s">
        <v>13</v>
      </c>
      <c r="C119" s="152"/>
      <c r="D119" s="152"/>
      <c r="E119" s="152"/>
      <c r="F119" s="152"/>
      <c r="I119" s="67"/>
    </row>
    <row r="120" spans="1:9">
      <c r="A120" s="68"/>
      <c r="C120" s="153" t="s">
        <v>11</v>
      </c>
      <c r="D120" s="153"/>
      <c r="E120" s="153"/>
      <c r="F120" s="153"/>
      <c r="I120" s="66" t="s">
        <v>12</v>
      </c>
    </row>
    <row r="121" spans="1:9" ht="15.75">
      <c r="A121" s="4" t="s">
        <v>14</v>
      </c>
    </row>
    <row r="122" spans="1:9" ht="45" customHeight="1">
      <c r="A122" s="154" t="s">
        <v>15</v>
      </c>
      <c r="B122" s="154"/>
      <c r="C122" s="154"/>
      <c r="D122" s="154"/>
      <c r="E122" s="154"/>
      <c r="F122" s="154"/>
      <c r="G122" s="154"/>
      <c r="H122" s="154"/>
      <c r="I122" s="154"/>
    </row>
    <row r="123" spans="1:9" ht="30" customHeight="1">
      <c r="A123" s="151" t="s">
        <v>16</v>
      </c>
      <c r="B123" s="151"/>
      <c r="C123" s="151"/>
      <c r="D123" s="151"/>
      <c r="E123" s="151"/>
      <c r="F123" s="151"/>
      <c r="G123" s="151"/>
      <c r="H123" s="151"/>
      <c r="I123" s="151"/>
    </row>
    <row r="124" spans="1:9" ht="30" customHeight="1">
      <c r="A124" s="151" t="s">
        <v>17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15" customHeight="1">
      <c r="A125" s="151" t="s">
        <v>21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15.75">
      <c r="A126" s="151" t="s">
        <v>20</v>
      </c>
      <c r="B126" s="151"/>
      <c r="C126" s="151"/>
      <c r="D126" s="151"/>
      <c r="E126" s="151"/>
      <c r="F126" s="151"/>
      <c r="G126" s="151"/>
      <c r="H126" s="151"/>
      <c r="I126" s="151"/>
    </row>
  </sheetData>
  <autoFilter ref="I12:I64"/>
  <mergeCells count="29">
    <mergeCell ref="A122:I122"/>
    <mergeCell ref="A123:I123"/>
    <mergeCell ref="A124:I124"/>
    <mergeCell ref="A125:I125"/>
    <mergeCell ref="A126:I126"/>
    <mergeCell ref="R69:U69"/>
    <mergeCell ref="C120:F120"/>
    <mergeCell ref="A96:I96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2:I92"/>
    <mergeCell ref="A3:I3"/>
    <mergeCell ref="A4:I4"/>
    <mergeCell ref="A5:I5"/>
    <mergeCell ref="A8:I8"/>
    <mergeCell ref="A10:I10"/>
    <mergeCell ref="A14:I14"/>
    <mergeCell ref="A15:I15"/>
    <mergeCell ref="A29:I29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13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2021-02-18T13:36:57Z</cp:lastPrinted>
  <dcterms:created xsi:type="dcterms:W3CDTF">2016-03-25T08:33:47Z</dcterms:created>
  <dcterms:modified xsi:type="dcterms:W3CDTF">2022-01-18T08:11:00Z</dcterms:modified>
</cp:coreProperties>
</file>