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975" windowHeight="5565"/>
  </bookViews>
  <sheets>
    <sheet name="Шахт.,7" sheetId="1" r:id="rId1"/>
  </sheets>
  <definedNames>
    <definedName name="_xlnm.Print_Area" localSheetId="0">'Шахт.,7'!$A$1:$U$136</definedName>
  </definedNames>
  <calcPr calcId="124519"/>
</workbook>
</file>

<file path=xl/calcChain.xml><?xml version="1.0" encoding="utf-8"?>
<calcChain xmlns="http://schemas.openxmlformats.org/spreadsheetml/2006/main">
  <c r="K37" i="1"/>
  <c r="R120"/>
  <c r="Q120"/>
  <c r="P120"/>
  <c r="O120"/>
  <c r="N120"/>
  <c r="Q104"/>
  <c r="P104"/>
  <c r="O104"/>
  <c r="N104"/>
  <c r="Q101"/>
  <c r="P101"/>
  <c r="O101"/>
  <c r="N101"/>
  <c r="N100"/>
  <c r="Q85"/>
  <c r="Q86"/>
  <c r="P86"/>
  <c r="O86"/>
  <c r="N86"/>
  <c r="Q72"/>
  <c r="P72"/>
  <c r="O72"/>
  <c r="N72"/>
  <c r="P58"/>
  <c r="P57"/>
  <c r="Q53"/>
  <c r="Q32"/>
  <c r="P32"/>
  <c r="O32"/>
  <c r="N32"/>
  <c r="Q29"/>
  <c r="P29"/>
  <c r="O29"/>
  <c r="N29"/>
  <c r="Q28"/>
  <c r="P28"/>
  <c r="O28"/>
  <c r="N28"/>
  <c r="Q27"/>
  <c r="P27"/>
  <c r="O27"/>
  <c r="N27"/>
  <c r="N26"/>
  <c r="Q25"/>
  <c r="P25"/>
  <c r="O25"/>
  <c r="N25"/>
  <c r="Q24"/>
  <c r="P24"/>
  <c r="O24"/>
  <c r="N24"/>
  <c r="N21"/>
  <c r="N20"/>
  <c r="N19"/>
  <c r="N18"/>
  <c r="N17"/>
  <c r="Q16"/>
  <c r="O16"/>
  <c r="Q15"/>
  <c r="P15"/>
  <c r="O15"/>
  <c r="N15"/>
  <c r="N14"/>
  <c r="Q13"/>
  <c r="P13"/>
  <c r="O13"/>
  <c r="N13"/>
  <c r="Q12"/>
  <c r="P12"/>
  <c r="O12"/>
  <c r="N12"/>
  <c r="Q11"/>
  <c r="P11"/>
  <c r="O11"/>
  <c r="N11"/>
  <c r="H117"/>
  <c r="U117"/>
  <c r="U116"/>
  <c r="U115"/>
  <c r="M116"/>
  <c r="M115"/>
  <c r="H116"/>
  <c r="H115"/>
  <c r="M114"/>
  <c r="M113"/>
  <c r="M90"/>
  <c r="M104"/>
  <c r="M101"/>
  <c r="M86"/>
  <c r="M84"/>
  <c r="M83"/>
  <c r="M82"/>
  <c r="M81"/>
  <c r="M80"/>
  <c r="M72"/>
  <c r="L58"/>
  <c r="L57"/>
  <c r="M53"/>
  <c r="M32"/>
  <c r="M29"/>
  <c r="M28"/>
  <c r="M27"/>
  <c r="F28"/>
  <c r="M25"/>
  <c r="M24"/>
  <c r="M16"/>
  <c r="M15"/>
  <c r="M13"/>
  <c r="M12"/>
  <c r="M11"/>
  <c r="L114"/>
  <c r="L113"/>
  <c r="U114"/>
  <c r="H114"/>
  <c r="U113"/>
  <c r="H113"/>
  <c r="M120" l="1"/>
  <c r="L112"/>
  <c r="U112" s="1"/>
  <c r="H112"/>
  <c r="L111"/>
  <c r="L86"/>
  <c r="L72"/>
  <c r="L65"/>
  <c r="L56"/>
  <c r="L44"/>
  <c r="L35"/>
  <c r="U37"/>
  <c r="H37"/>
  <c r="F16" l="1"/>
  <c r="K16" s="1"/>
  <c r="I16"/>
  <c r="F100"/>
  <c r="U100"/>
  <c r="H100"/>
  <c r="K86"/>
  <c r="J86"/>
  <c r="I86"/>
  <c r="K72"/>
  <c r="K65"/>
  <c r="K44"/>
  <c r="K35"/>
  <c r="U111"/>
  <c r="J111"/>
  <c r="H111"/>
  <c r="J72"/>
  <c r="J65"/>
  <c r="J58"/>
  <c r="J57"/>
  <c r="J44"/>
  <c r="J35"/>
  <c r="F58"/>
  <c r="I79"/>
  <c r="I78"/>
  <c r="U98"/>
  <c r="U95"/>
  <c r="U94"/>
  <c r="U90"/>
  <c r="U89"/>
  <c r="U88"/>
  <c r="U86"/>
  <c r="U85"/>
  <c r="U84"/>
  <c r="U83"/>
  <c r="U82"/>
  <c r="U81"/>
  <c r="U80"/>
  <c r="U79"/>
  <c r="U78"/>
  <c r="U74"/>
  <c r="U71"/>
  <c r="U58"/>
  <c r="U57"/>
  <c r="U56"/>
  <c r="U31"/>
  <c r="U30"/>
  <c r="U28"/>
  <c r="U27"/>
  <c r="U26"/>
  <c r="U25"/>
  <c r="U24"/>
  <c r="U21"/>
  <c r="U20"/>
  <c r="U19"/>
  <c r="U18"/>
  <c r="U17"/>
  <c r="U14"/>
  <c r="H94"/>
  <c r="H89"/>
  <c r="H88"/>
  <c r="I72"/>
  <c r="U72" s="1"/>
  <c r="H72"/>
  <c r="F71"/>
  <c r="H71" s="1"/>
  <c r="I65"/>
  <c r="U65" s="1"/>
  <c r="F57"/>
  <c r="F53"/>
  <c r="I53" s="1"/>
  <c r="F50"/>
  <c r="L50" s="1"/>
  <c r="U50" s="1"/>
  <c r="F48"/>
  <c r="L48" s="1"/>
  <c r="U48" s="1"/>
  <c r="I44"/>
  <c r="U44" s="1"/>
  <c r="F42"/>
  <c r="I35"/>
  <c r="U35" s="1"/>
  <c r="H27"/>
  <c r="F19"/>
  <c r="I42" l="1"/>
  <c r="L42"/>
  <c r="J53"/>
  <c r="U53" s="1"/>
  <c r="J42"/>
  <c r="K42"/>
  <c r="U16"/>
  <c r="C133"/>
  <c r="H53"/>
  <c r="F85"/>
  <c r="F36"/>
  <c r="E13"/>
  <c r="F13" s="1"/>
  <c r="L13" l="1"/>
  <c r="K13"/>
  <c r="J13"/>
  <c r="I36"/>
  <c r="L36"/>
  <c r="K36"/>
  <c r="J36"/>
  <c r="U42"/>
  <c r="I13"/>
  <c r="H124"/>
  <c r="H123"/>
  <c r="F120"/>
  <c r="H119"/>
  <c r="E104"/>
  <c r="H107" s="1"/>
  <c r="F102"/>
  <c r="H102" s="1"/>
  <c r="F101"/>
  <c r="H98"/>
  <c r="H96"/>
  <c r="F95"/>
  <c r="H93"/>
  <c r="H92"/>
  <c r="H90"/>
  <c r="H85"/>
  <c r="F84"/>
  <c r="H84" s="1"/>
  <c r="F83"/>
  <c r="H83" s="1"/>
  <c r="F82"/>
  <c r="H82" s="1"/>
  <c r="F81"/>
  <c r="H81" s="1"/>
  <c r="F80"/>
  <c r="H80" s="1"/>
  <c r="H79"/>
  <c r="H78"/>
  <c r="H76"/>
  <c r="H75"/>
  <c r="F74"/>
  <c r="H74" s="1"/>
  <c r="H69"/>
  <c r="F67"/>
  <c r="H67" s="1"/>
  <c r="H65"/>
  <c r="H64"/>
  <c r="F63"/>
  <c r="F62"/>
  <c r="H62" s="1"/>
  <c r="H59"/>
  <c r="H57"/>
  <c r="H56"/>
  <c r="F55"/>
  <c r="F54"/>
  <c r="F52"/>
  <c r="F51"/>
  <c r="H50"/>
  <c r="F49"/>
  <c r="H48"/>
  <c r="H45"/>
  <c r="H44"/>
  <c r="F43"/>
  <c r="H42"/>
  <c r="F41"/>
  <c r="H41" s="1"/>
  <c r="F40"/>
  <c r="H40" s="1"/>
  <c r="F39"/>
  <c r="H39" s="1"/>
  <c r="F38"/>
  <c r="H36"/>
  <c r="H35"/>
  <c r="F32"/>
  <c r="H31"/>
  <c r="H30"/>
  <c r="F29"/>
  <c r="H28"/>
  <c r="F26"/>
  <c r="H26" s="1"/>
  <c r="F25"/>
  <c r="H25" s="1"/>
  <c r="F24"/>
  <c r="H24" s="1"/>
  <c r="F21"/>
  <c r="H21" s="1"/>
  <c r="F18"/>
  <c r="H18" s="1"/>
  <c r="F17"/>
  <c r="H17" s="1"/>
  <c r="F15"/>
  <c r="F14"/>
  <c r="H14" s="1"/>
  <c r="H13"/>
  <c r="F12"/>
  <c r="F11"/>
  <c r="L12" l="1"/>
  <c r="K12"/>
  <c r="J12"/>
  <c r="I11"/>
  <c r="L11"/>
  <c r="K11"/>
  <c r="J11"/>
  <c r="I15"/>
  <c r="L15"/>
  <c r="K15"/>
  <c r="J15"/>
  <c r="I29"/>
  <c r="L29"/>
  <c r="K29"/>
  <c r="J29"/>
  <c r="L38"/>
  <c r="J38"/>
  <c r="K38"/>
  <c r="H52"/>
  <c r="L52"/>
  <c r="U52" s="1"/>
  <c r="H55"/>
  <c r="L55"/>
  <c r="U55" s="1"/>
  <c r="U13"/>
  <c r="L32"/>
  <c r="K32"/>
  <c r="J32"/>
  <c r="L43"/>
  <c r="K43"/>
  <c r="J43"/>
  <c r="H49"/>
  <c r="L49"/>
  <c r="U49" s="1"/>
  <c r="H51"/>
  <c r="L51"/>
  <c r="U51" s="1"/>
  <c r="H54"/>
  <c r="L54"/>
  <c r="U54" s="1"/>
  <c r="L63"/>
  <c r="J63"/>
  <c r="K63"/>
  <c r="I101"/>
  <c r="L101"/>
  <c r="K101"/>
  <c r="J101"/>
  <c r="U36"/>
  <c r="H38"/>
  <c r="I38"/>
  <c r="U38" s="1"/>
  <c r="H63"/>
  <c r="I63"/>
  <c r="H43"/>
  <c r="I43"/>
  <c r="U43" s="1"/>
  <c r="H32"/>
  <c r="I32"/>
  <c r="U32" s="1"/>
  <c r="I12"/>
  <c r="U12" s="1"/>
  <c r="H95"/>
  <c r="H12"/>
  <c r="H101"/>
  <c r="H103" s="1"/>
  <c r="H15"/>
  <c r="H58"/>
  <c r="H60" s="1"/>
  <c r="H11"/>
  <c r="H16"/>
  <c r="H29"/>
  <c r="H33" s="1"/>
  <c r="F104"/>
  <c r="H19"/>
  <c r="H46"/>
  <c r="H99"/>
  <c r="U101" l="1"/>
  <c r="U103" s="1"/>
  <c r="U63"/>
  <c r="U99" s="1"/>
  <c r="U60"/>
  <c r="J120"/>
  <c r="I104"/>
  <c r="L104"/>
  <c r="L120" s="1"/>
  <c r="K104"/>
  <c r="K120" s="1"/>
  <c r="J104"/>
  <c r="U29"/>
  <c r="U33" s="1"/>
  <c r="U15"/>
  <c r="U11"/>
  <c r="U46"/>
  <c r="H104"/>
  <c r="H105" s="1"/>
  <c r="H106" s="1"/>
  <c r="H108" s="1"/>
  <c r="G120" s="1"/>
  <c r="H120" s="1"/>
  <c r="H22"/>
  <c r="U22" l="1"/>
  <c r="U104"/>
  <c r="U105" s="1"/>
  <c r="I120"/>
  <c r="U106" l="1"/>
  <c r="U120" l="1"/>
  <c r="C132" s="1"/>
  <c r="C136" l="1"/>
</calcChain>
</file>

<file path=xl/sharedStrings.xml><?xml version="1.0" encoding="utf-8"?>
<sst xmlns="http://schemas.openxmlformats.org/spreadsheetml/2006/main" count="369" uniqueCount="261">
  <si>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</si>
  <si>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</si>
  <si>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</si>
  <si>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</si>
  <si>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</si>
  <si>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</si>
  <si>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</si>
  <si>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</si>
  <si>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</si>
  <si>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</si>
  <si>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</si>
  <si>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</si>
  <si>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</si>
  <si>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</si>
  <si>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</si>
  <si>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</si>
  <si>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</si>
  <si>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</si>
  <si>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</si>
  <si>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</si>
  <si>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</si>
  <si>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</si>
  <si>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</si>
  <si>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</si>
  <si>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</si>
  <si>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</si>
  <si>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</si>
  <si>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</si>
  <si>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</si>
  <si>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</si>
  <si>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</si>
  <si>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</si>
  <si>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</si>
  <si>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</si>
  <si>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</si>
  <si>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</si>
  <si>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</si>
  <si>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</si>
  <si>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</si>
  <si>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</si>
  <si>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</si>
  <si>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</si>
  <si>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2 раза в неделю 52 раза в сезон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</si>
  <si>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</si>
  <si>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</si>
  <si>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</si>
  <si>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</si>
  <si>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</si>
  <si>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</si>
  <si>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</si>
  <si>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</si>
  <si>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</si>
  <si>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</si>
  <si>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</si>
  <si>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</si>
  <si>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</si>
  <si>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</si>
  <si>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</si>
  <si>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</si>
  <si>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</si>
  <si>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</si>
  <si>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</si>
  <si>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</si>
  <si>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</si>
  <si>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</si>
  <si>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</si>
  <si>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</si>
  <si>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</si>
  <si>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</si>
  <si>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</si>
  <si>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</si>
  <si>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</si>
  <si>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ТЭР 54-003</t>
  </si>
  <si>
    <t xml:space="preserve">Подметание снега с тротуара-,крылец,конт площадок </t>
  </si>
  <si>
    <t>155 раз за сезон</t>
  </si>
  <si>
    <t>Вывоз снега</t>
  </si>
  <si>
    <t>Погрузка снега универсальным погрузчиком</t>
  </si>
  <si>
    <t>ТЭР 54-022</t>
  </si>
  <si>
    <t>Очистка территории 1-го класса с усовершенствованным покрытием под скребок: тротуар,</t>
  </si>
  <si>
    <t xml:space="preserve">2раза в месяц    12 раз за сезон      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</si>
  <si>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</si>
  <si>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</si>
  <si>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</si>
  <si>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</si>
  <si>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</si>
  <si>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>Очистка отмостки от снега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</si>
  <si>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</si>
  <si>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</si>
  <si>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</si>
  <si>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</si>
  <si>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</si>
  <si>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</si>
  <si>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</si>
  <si>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</si>
  <si>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42-003</t>
  </si>
  <si>
    <t>Осмотр деревянных конструкций стропил</t>
  </si>
  <si>
    <t>100 м3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</si>
  <si>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</si>
  <si>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</si>
  <si>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</si>
  <si>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</si>
  <si>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</si>
  <si>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</si>
  <si>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</si>
  <si>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</si>
  <si>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</si>
  <si>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</si>
  <si>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</si>
  <si>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2-1-1а</t>
  </si>
  <si>
    <t xml:space="preserve">Проверка дымоходов </t>
  </si>
  <si>
    <t>шт</t>
  </si>
  <si>
    <t>2-1-1б</t>
  </si>
  <si>
    <t>Проверка вентканалов</t>
  </si>
  <si>
    <t xml:space="preserve">Электротехнические измерения </t>
  </si>
  <si>
    <t>1 раза в 3 года</t>
  </si>
  <si>
    <t>Кровля</t>
  </si>
  <si>
    <t>ТЭР 17-071</t>
  </si>
  <si>
    <t>Очистка кровли от мусора</t>
  </si>
  <si>
    <t>ТЭР 54-041 и 42</t>
  </si>
  <si>
    <t xml:space="preserve"> Очистка края кровли от слежавшегося снега со сбрасыванием сосулек (10% от S кровли) </t>
  </si>
  <si>
    <t xml:space="preserve">6 раз за сезон </t>
  </si>
  <si>
    <t xml:space="preserve">пр.ТЭР 54-041 </t>
  </si>
  <si>
    <t xml:space="preserve"> -от слежавшегося снега со сбрасыванием сосулек</t>
  </si>
  <si>
    <t>Осмотр и очистка оголовков дымоходов и вентканалов от наледи и снега (по необходимости) зимой</t>
  </si>
  <si>
    <t>Чердак, подвал, технический этаж</t>
  </si>
  <si>
    <t>ТЭР 51-034</t>
  </si>
  <si>
    <t xml:space="preserve"> - очистка от мусора</t>
  </si>
  <si>
    <t xml:space="preserve"> - дератизация</t>
  </si>
  <si>
    <t>м2</t>
  </si>
  <si>
    <t>12 раз в год</t>
  </si>
  <si>
    <t>ТЭР 11-014</t>
  </si>
  <si>
    <t xml:space="preserve"> - закрытие проемов металлическими листами</t>
  </si>
  <si>
    <t>Лестничная клетка</t>
  </si>
  <si>
    <t>ТЭР 15-018</t>
  </si>
  <si>
    <t xml:space="preserve"> - установка пружин на входных дверях</t>
  </si>
  <si>
    <t>ТЭР 15-028</t>
  </si>
  <si>
    <t xml:space="preserve"> - утепление входных дверей</t>
  </si>
  <si>
    <t>10шт</t>
  </si>
  <si>
    <t>ТЭР 31-057</t>
  </si>
  <si>
    <t xml:space="preserve"> - утепление трубопроводов в тамбуре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</si>
  <si>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</si>
  <si>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</si>
  <si>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</si>
  <si>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</si>
  <si>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</si>
  <si>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</si>
  <si>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</si>
  <si>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</si>
  <si>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</si>
  <si>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</si>
  <si>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</si>
  <si>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</si>
  <si>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</si>
  <si>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</si>
  <si>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</si>
  <si>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</si>
  <si>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</si>
  <si>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</si>
  <si>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</si>
  <si>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</si>
  <si>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</si>
  <si>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</si>
  <si>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33-021</t>
  </si>
  <si>
    <t>Смена магнитных пускателей</t>
  </si>
  <si>
    <t>ТЭР 33-025</t>
  </si>
  <si>
    <t>Смена выключателей</t>
  </si>
  <si>
    <t>ТЭР 33-028</t>
  </si>
  <si>
    <t>Смена патронов</t>
  </si>
  <si>
    <t>ТЭР 33-049</t>
  </si>
  <si>
    <t>Замена ламп ДРЛ</t>
  </si>
  <si>
    <t>2-2-1-3-3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</si>
  <si>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</si>
  <si>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</si>
  <si>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</si>
  <si>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</si>
  <si>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</si>
  <si>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</si>
  <si>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</si>
  <si>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ТЭР 17-013</t>
  </si>
  <si>
    <t>Ремонт рулонной кровли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</si>
  <si>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</si>
  <si>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</si>
  <si>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</si>
  <si>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</si>
  <si>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</si>
  <si>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</si>
  <si>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</si>
  <si>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</si>
  <si>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</si>
  <si>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</si>
  <si>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>Обслуживание внутридомовое газовое оборудование</t>
  </si>
  <si>
    <t>плита</t>
  </si>
  <si>
    <t>водонагреватель</t>
  </si>
  <si>
    <t>Генеральный директор ООО "Жилсервис"_______Ю.Л.Куканов</t>
  </si>
  <si>
    <t xml:space="preserve">1 раз в год     </t>
  </si>
  <si>
    <t>1 раз в месяц</t>
  </si>
  <si>
    <t>ТЭР 51-022</t>
  </si>
  <si>
    <t xml:space="preserve">Влажная протирка шкафов для щитов </t>
  </si>
  <si>
    <t>ТЭР 55-003</t>
  </si>
  <si>
    <t>Очистка урн от мусора</t>
  </si>
  <si>
    <t>30 раз за сезон</t>
  </si>
  <si>
    <t>Осмотр кровли металлической</t>
  </si>
  <si>
    <t>ТЭР 42-001</t>
  </si>
  <si>
    <t>Очистка чердака от мусора</t>
  </si>
  <si>
    <t>Дератизация</t>
  </si>
  <si>
    <t>Вода для промывки системы отопления</t>
  </si>
  <si>
    <t>Спуск воды после промывки системы отопления в канализацию</t>
  </si>
  <si>
    <t>Обслуживание прибора учета тепловой энергии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</si>
  <si>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</si>
  <si>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</si>
  <si>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</si>
  <si>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</si>
  <si>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</si>
  <si>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</si>
  <si>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</si>
  <si>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</si>
  <si>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</si>
  <si>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</si>
  <si>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</si>
  <si>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1 раз в 2 месяца</t>
  </si>
  <si>
    <t xml:space="preserve">1 раз в год  </t>
  </si>
  <si>
    <t>35 раз за сезон</t>
  </si>
  <si>
    <t>4 раза в год</t>
  </si>
  <si>
    <t>пр.ТЭР 33-024</t>
  </si>
  <si>
    <t>Смена светодиодных светильников</t>
  </si>
  <si>
    <t>счет-фактура</t>
  </si>
  <si>
    <t>Стоимость светодиодного светильника</t>
  </si>
  <si>
    <t>руб.</t>
  </si>
  <si>
    <t>ТЭР 33-043</t>
  </si>
  <si>
    <t>Смена плавкой вставки в электрощите</t>
  </si>
  <si>
    <t>3 раза в год</t>
  </si>
  <si>
    <t>согласно договору</t>
  </si>
  <si>
    <t>калькуляция</t>
  </si>
  <si>
    <t>Работа автовышки</t>
  </si>
  <si>
    <t>маш/час</t>
  </si>
  <si>
    <t>договор</t>
  </si>
  <si>
    <t>ТО внутридомового газ.оборудования</t>
  </si>
  <si>
    <t>10 м</t>
  </si>
  <si>
    <t>Баланс выполненных работ на 01.01.2015 г. ( -долг за предприятием, +долг за населением)</t>
  </si>
  <si>
    <t>Стоимость (руб.)</t>
  </si>
  <si>
    <t>Вывоз снега с придомовой территории</t>
  </si>
  <si>
    <t>5 этажей, 4 подъезда</t>
  </si>
  <si>
    <t>Ремонт силового предохранительного шкафа (без стоимости материалов)</t>
  </si>
  <si>
    <t>ТЭР 33-032</t>
  </si>
  <si>
    <t>прим.ТЭР 31-055</t>
  </si>
  <si>
    <t>Установка и снятие насоса в подвале для откачки воды</t>
  </si>
  <si>
    <t>подвал</t>
  </si>
  <si>
    <t>ТЭР 31-056</t>
  </si>
  <si>
    <t>Обслуживание насоса во время откачки воды</t>
  </si>
  <si>
    <t>1 мЗ</t>
  </si>
  <si>
    <t>Ремонт и регулировка доводчика (без стоимости доводчика)</t>
  </si>
  <si>
    <t>1шт.</t>
  </si>
  <si>
    <t>Ремонт и регулировка доводчика (со стоимостью доводчика)</t>
  </si>
  <si>
    <t>Выполне  ние       май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</si>
  <si>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Советская, 41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 xml:space="preserve">за период с 01.01.15г. По 31.09.15 г. </t>
    </r>
  </si>
  <si>
    <t>Начислено за содержание и текущий ремонт за январь,февраль, март, апрель, май, июнь, июль, август, сентябрь 2015  г.</t>
  </si>
  <si>
    <t>Выполнено работ по содержанию за январь, февраль, март, апрель, май, июнь, июль, август, сентябрь 2015 г.</t>
  </si>
  <si>
    <t>Выполнено работ по текущему ремонту за январь, февраль, март, апрель, май, июнь, июль, август, сентябрь    2015 г.</t>
  </si>
  <si>
    <t>Фактически оплачено за январь, февраль, март, апрель, май, июнь, июль, август, сентябрь       2015 г.</t>
  </si>
  <si>
    <t>Просроченная задолженность по Вашему дому по статье "Содержание и текущий ремонт МКД" на конец сентября 2015 г., составляет:</t>
  </si>
  <si>
    <t>Баланс выполненных работ на 01.10.2015 г. ( -долг за предприятием, +долг за населением)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</si>
</sst>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indexed="21"/>
        <bgColor indexed="30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164" fontId="0" fillId="0" borderId="0" xfId="0" applyNumberFormat="1"/>
    <xf numFmtId="2" fontId="0" fillId="0" borderId="0" xfId="0" applyNumberForma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0" fillId="11" borderId="0" xfId="0" applyFill="1"/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/>
    </xf>
    <xf numFmtId="4" fontId="1" fillId="8" borderId="9" xfId="0" applyNumberFormat="1" applyFont="1" applyFill="1" applyBorder="1" applyAlignment="1">
      <alignment vertical="center"/>
    </xf>
    <xf numFmtId="0" fontId="1" fillId="8" borderId="3" xfId="0" applyFon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9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1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vertical="center"/>
    </xf>
    <xf numFmtId="4" fontId="3" fillId="2" borderId="9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4" fontId="3" fillId="10" borderId="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4" fontId="15" fillId="4" borderId="2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4" fontId="3" fillId="11" borderId="1" xfId="0" applyNumberFormat="1" applyFont="1" applyFill="1" applyBorder="1" applyAlignment="1">
      <alignment horizontal="center" vertical="center" wrapText="1"/>
    </xf>
    <xf numFmtId="4" fontId="3" fillId="11" borderId="1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vertical="center"/>
    </xf>
    <xf numFmtId="4" fontId="14" fillId="4" borderId="3" xfId="0" applyNumberFormat="1" applyFont="1" applyFill="1" applyBorder="1" applyAlignment="1">
      <alignment horizontal="center" vertical="center" wrapText="1"/>
    </xf>
    <xf numFmtId="4" fontId="1" fillId="4" borderId="17" xfId="0" applyNumberFormat="1" applyFont="1" applyFill="1" applyBorder="1" applyAlignment="1">
      <alignment horizontal="center" vertical="center"/>
    </xf>
    <xf numFmtId="4" fontId="1" fillId="4" borderId="16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4" fontId="1" fillId="4" borderId="9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4" fontId="1" fillId="7" borderId="3" xfId="0" applyNumberFormat="1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 wrapText="1"/>
    </xf>
    <xf numFmtId="4" fontId="3" fillId="11" borderId="3" xfId="0" applyNumberFormat="1" applyFont="1" applyFill="1" applyBorder="1" applyAlignment="1">
      <alignment horizontal="center" vertical="center" wrapText="1"/>
    </xf>
    <xf numFmtId="4" fontId="3" fillId="11" borderId="3" xfId="0" applyNumberFormat="1" applyFont="1" applyFill="1" applyBorder="1" applyAlignment="1">
      <alignment horizontal="center" vertical="center"/>
    </xf>
    <xf numFmtId="4" fontId="3" fillId="10" borderId="9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4" fontId="1" fillId="5" borderId="3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" fontId="1" fillId="4" borderId="3" xfId="0" applyNumberFormat="1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6" fillId="2" borderId="8" xfId="0" applyNumberFormat="1" applyFont="1" applyFill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horizontal="center" vertical="center"/>
    </xf>
    <xf numFmtId="4" fontId="16" fillId="4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/>
    </xf>
    <xf numFmtId="4" fontId="16" fillId="2" borderId="10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Border="1"/>
    <xf numFmtId="4" fontId="1" fillId="0" borderId="11" xfId="0" applyNumberFormat="1" applyFont="1" applyBorder="1" applyAlignment="1">
      <alignment horizontal="center" vertical="top" wrapText="1"/>
    </xf>
    <xf numFmtId="4" fontId="1" fillId="0" borderId="11" xfId="0" applyNumberFormat="1" applyFont="1" applyBorder="1"/>
    <xf numFmtId="4" fontId="1" fillId="0" borderId="11" xfId="0" applyNumberFormat="1" applyFont="1" applyBorder="1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 applyProtection="1">
      <alignment horizontal="left" vertical="top" wrapText="1"/>
      <protection hidden="1"/>
    </xf>
    <xf numFmtId="2" fontId="1" fillId="0" borderId="3" xfId="0" applyNumberFormat="1" applyFont="1" applyFill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vertical="top" wrapText="1"/>
    </xf>
    <xf numFmtId="4" fontId="1" fillId="0" borderId="3" xfId="0" applyNumberFormat="1" applyFont="1" applyBorder="1"/>
    <xf numFmtId="4" fontId="1" fillId="0" borderId="3" xfId="0" applyNumberFormat="1" applyFont="1" applyFill="1" applyBorder="1" applyAlignment="1" applyProtection="1">
      <alignment horizontal="left" vertical="top" wrapText="1"/>
      <protection hidden="1"/>
    </xf>
    <xf numFmtId="4" fontId="1" fillId="0" borderId="3" xfId="0" applyNumberFormat="1" applyFont="1" applyBorder="1" applyAlignment="1">
      <alignment horizontal="center"/>
    </xf>
    <xf numFmtId="4" fontId="17" fillId="0" borderId="0" xfId="0" applyNumberFormat="1" applyFont="1"/>
    <xf numFmtId="0" fontId="17" fillId="0" borderId="0" xfId="0" applyFont="1"/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8" fillId="0" borderId="0" xfId="0" applyFont="1" applyAlignment="1"/>
    <xf numFmtId="0" fontId="1" fillId="4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3" fontId="1" fillId="8" borderId="9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16" fillId="8" borderId="3" xfId="0" applyNumberFormat="1" applyFont="1" applyFill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center" vertical="center"/>
    </xf>
    <xf numFmtId="0" fontId="1" fillId="13" borderId="3" xfId="0" applyNumberFormat="1" applyFont="1" applyFill="1" applyBorder="1" applyAlignment="1" applyProtection="1">
      <alignment horizontal="center" vertical="center"/>
    </xf>
    <xf numFmtId="0" fontId="1" fillId="13" borderId="3" xfId="0" applyNumberFormat="1" applyFont="1" applyFill="1" applyBorder="1" applyAlignment="1" applyProtection="1">
      <alignment horizontal="left" vertical="center" wrapText="1"/>
    </xf>
    <xf numFmtId="0" fontId="1" fillId="13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U140"/>
  <sheetViews>
    <sheetView tabSelected="1" view="pageBreakPreview" zoomScaleNormal="75" zoomScaleSheetLayoutView="100" workbookViewId="0">
      <pane ySplit="7" topLeftCell="A134" activePane="bottomLeft" state="frozen"/>
      <selection activeCell="B1" sqref="B1"/>
      <selection pane="bottomLeft" activeCell="C130" sqref="C130:F130"/>
    </sheetView>
  </sheetViews>
  <sheetFormatPr defaultRowHeight="12.75"/>
  <cols>
    <col min="1" max="1" width="12.42578125" customWidth="1"/>
    <col min="2" max="2" width="42.85546875" customWidth="1"/>
    <col min="3" max="3" width="9.28515625" customWidth="1"/>
    <col min="4" max="4" width="21.85546875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" customWidth="1"/>
    <col min="10" max="10" width="10.140625" customWidth="1"/>
    <col min="11" max="11" width="9.85546875" customWidth="1"/>
    <col min="12" max="12" width="10.28515625" customWidth="1"/>
    <col min="13" max="13" width="10.85546875" customWidth="1"/>
    <col min="14" max="14" width="9.42578125" customWidth="1"/>
    <col min="15" max="15" width="10.28515625" customWidth="1"/>
    <col min="16" max="16" width="9.85546875" customWidth="1"/>
    <col min="17" max="17" width="10" customWidth="1"/>
    <col min="18" max="18" width="9.7109375" hidden="1" customWidth="1"/>
    <col min="19" max="19" width="10.28515625" hidden="1" customWidth="1"/>
    <col min="20" max="20" width="9.42578125" hidden="1" customWidth="1"/>
    <col min="21" max="21" width="12.5703125" customWidth="1"/>
  </cols>
  <sheetData>
    <row r="1" spans="1:21" ht="14.25" customHeight="1"/>
    <row r="3" spans="1:21" ht="18">
      <c r="A3" s="158"/>
      <c r="B3" s="183" t="s">
        <v>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31"/>
      <c r="N3" s="131"/>
      <c r="O3" s="131"/>
      <c r="P3" s="131"/>
      <c r="Q3" s="131"/>
      <c r="R3" s="131"/>
      <c r="S3" s="131"/>
      <c r="T3" s="131"/>
      <c r="U3" s="131"/>
    </row>
    <row r="4" spans="1:21" ht="33.75" customHeight="1">
      <c r="A4" s="131"/>
      <c r="B4" s="184" t="s">
        <v>1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31"/>
      <c r="N4" s="131"/>
      <c r="O4" s="131"/>
      <c r="P4" s="131"/>
      <c r="Q4" s="131"/>
      <c r="R4" s="131"/>
      <c r="S4" s="131"/>
      <c r="T4" s="131"/>
      <c r="U4" s="131"/>
    </row>
    <row r="5" spans="1:21" ht="18">
      <c r="A5" s="131"/>
      <c r="B5" s="184" t="s">
        <v>254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31"/>
      <c r="N5" s="131"/>
      <c r="O5" s="131"/>
      <c r="P5" s="131"/>
      <c r="Q5" s="131"/>
      <c r="R5" s="131"/>
      <c r="S5" s="131"/>
      <c r="T5" s="131"/>
      <c r="U5" s="131"/>
    </row>
    <row r="6" spans="1:21" ht="15">
      <c r="A6" s="131"/>
      <c r="B6" s="185" t="s">
        <v>241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31"/>
      <c r="N6" s="131"/>
      <c r="O6" s="131"/>
      <c r="P6" s="131"/>
      <c r="Q6" s="131"/>
      <c r="R6" s="131"/>
      <c r="S6" s="131"/>
      <c r="T6" s="131"/>
      <c r="U6" s="131"/>
    </row>
    <row r="7" spans="1:21" ht="46.5" customHeight="1">
      <c r="A7" s="28" t="s">
        <v>2</v>
      </c>
      <c r="B7" s="28" t="s">
        <v>3</v>
      </c>
      <c r="C7" s="28" t="s">
        <v>4</v>
      </c>
      <c r="D7" s="28" t="s">
        <v>5</v>
      </c>
      <c r="E7" s="28" t="s">
        <v>6</v>
      </c>
      <c r="F7" s="28" t="s">
        <v>7</v>
      </c>
      <c r="G7" s="28" t="s">
        <v>8</v>
      </c>
      <c r="H7" s="29" t="s">
        <v>9</v>
      </c>
      <c r="I7" s="27" t="s">
        <v>208</v>
      </c>
      <c r="J7" s="27" t="s">
        <v>209</v>
      </c>
      <c r="K7" s="27" t="s">
        <v>210</v>
      </c>
      <c r="L7" s="27" t="s">
        <v>211</v>
      </c>
      <c r="M7" s="27" t="s">
        <v>253</v>
      </c>
      <c r="N7" s="27" t="s">
        <v>212</v>
      </c>
      <c r="O7" s="27" t="s">
        <v>213</v>
      </c>
      <c r="P7" s="27" t="s">
        <v>214</v>
      </c>
      <c r="Q7" s="27" t="s">
        <v>215</v>
      </c>
      <c r="R7" s="27" t="s">
        <v>216</v>
      </c>
      <c r="S7" s="27" t="s">
        <v>217</v>
      </c>
      <c r="T7" s="27" t="s">
        <v>218</v>
      </c>
      <c r="U7" s="27" t="s">
        <v>239</v>
      </c>
    </row>
    <row r="8" spans="1:21">
      <c r="A8" s="30">
        <v>1</v>
      </c>
      <c r="B8" s="8">
        <v>2</v>
      </c>
      <c r="C8" s="30">
        <v>3</v>
      </c>
      <c r="D8" s="8">
        <v>4</v>
      </c>
      <c r="E8" s="8">
        <v>5</v>
      </c>
      <c r="F8" s="30">
        <v>6</v>
      </c>
      <c r="G8" s="30">
        <v>7</v>
      </c>
      <c r="H8" s="159">
        <v>8</v>
      </c>
      <c r="I8" s="160">
        <v>10</v>
      </c>
      <c r="J8" s="160">
        <v>11</v>
      </c>
      <c r="K8" s="160">
        <v>12</v>
      </c>
      <c r="L8" s="160">
        <v>13</v>
      </c>
      <c r="M8" s="161">
        <v>14</v>
      </c>
      <c r="N8" s="160">
        <v>15</v>
      </c>
      <c r="O8" s="160">
        <v>16</v>
      </c>
      <c r="P8" s="160">
        <v>17</v>
      </c>
      <c r="Q8" s="160">
        <v>18</v>
      </c>
      <c r="R8" s="160">
        <v>19</v>
      </c>
      <c r="S8" s="160">
        <v>20</v>
      </c>
      <c r="T8" s="160">
        <v>21</v>
      </c>
      <c r="U8" s="160">
        <v>22</v>
      </c>
    </row>
    <row r="9" spans="1:21" ht="38.25">
      <c r="A9" s="30"/>
      <c r="B9" s="10" t="s">
        <v>10</v>
      </c>
      <c r="C9" s="30"/>
      <c r="D9" s="11"/>
      <c r="E9" s="11"/>
      <c r="F9" s="30"/>
      <c r="G9" s="30"/>
      <c r="H9" s="31"/>
      <c r="I9" s="32"/>
      <c r="J9" s="32"/>
      <c r="K9" s="32"/>
      <c r="L9" s="32"/>
      <c r="M9" s="33"/>
      <c r="N9" s="34"/>
      <c r="O9" s="34"/>
      <c r="P9" s="34"/>
      <c r="Q9" s="34"/>
      <c r="R9" s="34"/>
      <c r="S9" s="34"/>
      <c r="T9" s="34"/>
      <c r="U9" s="34"/>
    </row>
    <row r="10" spans="1:21">
      <c r="A10" s="30"/>
      <c r="B10" s="10" t="s">
        <v>11</v>
      </c>
      <c r="C10" s="30"/>
      <c r="D10" s="11"/>
      <c r="E10" s="11"/>
      <c r="F10" s="30"/>
      <c r="G10" s="30"/>
      <c r="H10" s="31"/>
      <c r="I10" s="32"/>
      <c r="J10" s="32"/>
      <c r="K10" s="32"/>
      <c r="L10" s="32"/>
      <c r="M10" s="33"/>
      <c r="N10" s="34"/>
      <c r="O10" s="34"/>
      <c r="P10" s="34"/>
      <c r="Q10" s="34"/>
      <c r="R10" s="34"/>
      <c r="S10" s="34"/>
      <c r="T10" s="34"/>
      <c r="U10" s="34"/>
    </row>
    <row r="11" spans="1:21" ht="25.5">
      <c r="A11" s="30" t="s">
        <v>12</v>
      </c>
      <c r="B11" s="11" t="s">
        <v>13</v>
      </c>
      <c r="C11" s="30" t="s">
        <v>14</v>
      </c>
      <c r="D11" s="11" t="s">
        <v>15</v>
      </c>
      <c r="E11" s="35">
        <v>70.7</v>
      </c>
      <c r="F11" s="36">
        <f>SUM(E11*156/100)</f>
        <v>110.292</v>
      </c>
      <c r="G11" s="36">
        <v>187.48</v>
      </c>
      <c r="H11" s="37">
        <f t="shared" ref="H11:H21" si="0">SUM(F11*G11/1000)</f>
        <v>20.677544159999997</v>
      </c>
      <c r="I11" s="38">
        <f>F11/12*G11</f>
        <v>1723.12868</v>
      </c>
      <c r="J11" s="38">
        <f>F11/12*G11</f>
        <v>1723.12868</v>
      </c>
      <c r="K11" s="38">
        <f>F11/12*G11</f>
        <v>1723.12868</v>
      </c>
      <c r="L11" s="38">
        <f>F11/12*G11</f>
        <v>1723.12868</v>
      </c>
      <c r="M11" s="38">
        <f>F11/12*G11</f>
        <v>1723.12868</v>
      </c>
      <c r="N11" s="38">
        <f>F11/12*G11</f>
        <v>1723.12868</v>
      </c>
      <c r="O11" s="38">
        <f>F11/12*G11</f>
        <v>1723.12868</v>
      </c>
      <c r="P11" s="38">
        <f>F11/12*G11</f>
        <v>1723.12868</v>
      </c>
      <c r="Q11" s="38">
        <f>F11/12*G11</f>
        <v>1723.12868</v>
      </c>
      <c r="R11" s="38">
        <v>0</v>
      </c>
      <c r="S11" s="38">
        <v>0</v>
      </c>
      <c r="T11" s="38">
        <v>0</v>
      </c>
      <c r="U11" s="38">
        <f t="shared" ref="U11:U21" si="1">SUM(I11:T11)</f>
        <v>15508.15812</v>
      </c>
    </row>
    <row r="12" spans="1:21" ht="25.5">
      <c r="A12" s="30" t="s">
        <v>12</v>
      </c>
      <c r="B12" s="11" t="s">
        <v>16</v>
      </c>
      <c r="C12" s="30" t="s">
        <v>14</v>
      </c>
      <c r="D12" s="11" t="s">
        <v>17</v>
      </c>
      <c r="E12" s="35">
        <v>282.8</v>
      </c>
      <c r="F12" s="36">
        <f>SUM(E12*104/100)</f>
        <v>294.11200000000002</v>
      </c>
      <c r="G12" s="36">
        <v>187.48</v>
      </c>
      <c r="H12" s="37">
        <f t="shared" si="0"/>
        <v>55.140117760000003</v>
      </c>
      <c r="I12" s="38">
        <f>F12/12*G12</f>
        <v>4595.0098133333331</v>
      </c>
      <c r="J12" s="38">
        <f>F12/12*G12</f>
        <v>4595.0098133333331</v>
      </c>
      <c r="K12" s="38">
        <f>F12/12*G12</f>
        <v>4595.0098133333331</v>
      </c>
      <c r="L12" s="38">
        <f>F12/12*G12</f>
        <v>4595.0098133333331</v>
      </c>
      <c r="M12" s="38">
        <f>F12/12*G12</f>
        <v>4595.0098133333331</v>
      </c>
      <c r="N12" s="38">
        <f>F12/12*G12</f>
        <v>4595.0098133333331</v>
      </c>
      <c r="O12" s="38">
        <f>F12/12*G12</f>
        <v>4595.0098133333331</v>
      </c>
      <c r="P12" s="38">
        <f>F12/12*G12</f>
        <v>4595.0098133333331</v>
      </c>
      <c r="Q12" s="38">
        <f>F12/12*G12</f>
        <v>4595.0098133333331</v>
      </c>
      <c r="R12" s="38">
        <v>0</v>
      </c>
      <c r="S12" s="38">
        <v>0</v>
      </c>
      <c r="T12" s="38">
        <v>0</v>
      </c>
      <c r="U12" s="38">
        <f t="shared" si="1"/>
        <v>41355.088319999995</v>
      </c>
    </row>
    <row r="13" spans="1:21" ht="25.5">
      <c r="A13" s="30" t="s">
        <v>18</v>
      </c>
      <c r="B13" s="11" t="s">
        <v>19</v>
      </c>
      <c r="C13" s="30" t="s">
        <v>14</v>
      </c>
      <c r="D13" s="11" t="s">
        <v>20</v>
      </c>
      <c r="E13" s="35">
        <f>SUM(E11+E12)</f>
        <v>353.5</v>
      </c>
      <c r="F13" s="36">
        <f>SUM(E13*24/100)</f>
        <v>84.84</v>
      </c>
      <c r="G13" s="36">
        <v>539.30999999999995</v>
      </c>
      <c r="H13" s="37">
        <f t="shared" si="0"/>
        <v>45.755060399999998</v>
      </c>
      <c r="I13" s="38">
        <f>F13/12*G13</f>
        <v>3812.9216999999999</v>
      </c>
      <c r="J13" s="38">
        <f>F13/12*G13</f>
        <v>3812.9216999999999</v>
      </c>
      <c r="K13" s="38">
        <f>F13/12*G13</f>
        <v>3812.9216999999999</v>
      </c>
      <c r="L13" s="38">
        <f>F13/12*G13</f>
        <v>3812.9216999999999</v>
      </c>
      <c r="M13" s="38">
        <f>F13/12*G13</f>
        <v>3812.9216999999999</v>
      </c>
      <c r="N13" s="38">
        <f>F13/12*G13</f>
        <v>3812.9216999999999</v>
      </c>
      <c r="O13" s="38">
        <f>F13/12*G13</f>
        <v>3812.9216999999999</v>
      </c>
      <c r="P13" s="38">
        <f>F13/12*G13</f>
        <v>3812.9216999999999</v>
      </c>
      <c r="Q13" s="38">
        <f>F13/12*G13</f>
        <v>3812.9216999999999</v>
      </c>
      <c r="R13" s="38">
        <v>0</v>
      </c>
      <c r="S13" s="38">
        <v>0</v>
      </c>
      <c r="T13" s="38">
        <v>0</v>
      </c>
      <c r="U13" s="38">
        <f t="shared" si="1"/>
        <v>34316.295299999998</v>
      </c>
    </row>
    <row r="14" spans="1:21">
      <c r="A14" s="30" t="s">
        <v>21</v>
      </c>
      <c r="B14" s="11" t="s">
        <v>22</v>
      </c>
      <c r="C14" s="30" t="s">
        <v>23</v>
      </c>
      <c r="D14" s="11" t="s">
        <v>194</v>
      </c>
      <c r="E14" s="35">
        <v>40</v>
      </c>
      <c r="F14" s="36">
        <f>SUM(E14/10)</f>
        <v>4</v>
      </c>
      <c r="G14" s="36">
        <v>181.91</v>
      </c>
      <c r="H14" s="37">
        <f t="shared" si="0"/>
        <v>0.72763999999999995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f>F14*G14</f>
        <v>727.64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f t="shared" si="1"/>
        <v>727.64</v>
      </c>
    </row>
    <row r="15" spans="1:21">
      <c r="A15" s="30" t="s">
        <v>24</v>
      </c>
      <c r="B15" s="11" t="s">
        <v>25</v>
      </c>
      <c r="C15" s="30" t="s">
        <v>14</v>
      </c>
      <c r="D15" s="11" t="s">
        <v>195</v>
      </c>
      <c r="E15" s="35">
        <v>10.5</v>
      </c>
      <c r="F15" s="36">
        <f>SUM(E15*12/100)</f>
        <v>1.26</v>
      </c>
      <c r="G15" s="36">
        <v>232.92</v>
      </c>
      <c r="H15" s="37">
        <f t="shared" si="0"/>
        <v>0.2934792</v>
      </c>
      <c r="I15" s="38">
        <f>F15/12*G15</f>
        <v>24.456599999999998</v>
      </c>
      <c r="J15" s="38">
        <f>F15/12*G15</f>
        <v>24.456599999999998</v>
      </c>
      <c r="K15" s="38">
        <f>F15/12*G15</f>
        <v>24.456599999999998</v>
      </c>
      <c r="L15" s="38">
        <f>F15/12*G15</f>
        <v>24.456599999999998</v>
      </c>
      <c r="M15" s="38">
        <f>F15/12*G15</f>
        <v>24.456599999999998</v>
      </c>
      <c r="N15" s="38">
        <f>F15/12*G15</f>
        <v>24.456599999999998</v>
      </c>
      <c r="O15" s="38">
        <f>F15/12*G15</f>
        <v>24.456599999999998</v>
      </c>
      <c r="P15" s="38">
        <f>F15/12*G15</f>
        <v>24.456599999999998</v>
      </c>
      <c r="Q15" s="38">
        <f>F15/12*G15</f>
        <v>24.456599999999998</v>
      </c>
      <c r="R15" s="38">
        <v>0</v>
      </c>
      <c r="S15" s="38">
        <v>0</v>
      </c>
      <c r="T15" s="38">
        <v>0</v>
      </c>
      <c r="U15" s="38">
        <f t="shared" si="1"/>
        <v>220.10940000000002</v>
      </c>
    </row>
    <row r="16" spans="1:21">
      <c r="A16" s="30" t="s">
        <v>26</v>
      </c>
      <c r="B16" s="11" t="s">
        <v>27</v>
      </c>
      <c r="C16" s="30" t="s">
        <v>14</v>
      </c>
      <c r="D16" s="11" t="s">
        <v>219</v>
      </c>
      <c r="E16" s="35">
        <v>2.7</v>
      </c>
      <c r="F16" s="36">
        <f>SUM(E16*6/100)</f>
        <v>0.16200000000000003</v>
      </c>
      <c r="G16" s="36">
        <v>231.03</v>
      </c>
      <c r="H16" s="37">
        <f t="shared" si="0"/>
        <v>3.7426860000000006E-2</v>
      </c>
      <c r="I16" s="38">
        <f>F16/6*G16</f>
        <v>6.2378100000000014</v>
      </c>
      <c r="J16" s="38">
        <v>0</v>
      </c>
      <c r="K16" s="38">
        <f>F16/6*G16</f>
        <v>6.2378100000000014</v>
      </c>
      <c r="L16" s="38">
        <v>0</v>
      </c>
      <c r="M16" s="38">
        <f>F16/6*G16</f>
        <v>6.2378100000000014</v>
      </c>
      <c r="N16" s="38">
        <v>0</v>
      </c>
      <c r="O16" s="38">
        <f>F16/6*G16</f>
        <v>6.2378100000000014</v>
      </c>
      <c r="P16" s="38">
        <v>0</v>
      </c>
      <c r="Q16" s="38">
        <f>F16/6*G16</f>
        <v>6.2378100000000014</v>
      </c>
      <c r="R16" s="38">
        <v>0</v>
      </c>
      <c r="S16" s="38">
        <v>0</v>
      </c>
      <c r="T16" s="38">
        <v>0</v>
      </c>
      <c r="U16" s="38">
        <f t="shared" si="1"/>
        <v>31.189050000000009</v>
      </c>
    </row>
    <row r="17" spans="1:21">
      <c r="A17" s="30" t="s">
        <v>28</v>
      </c>
      <c r="B17" s="11" t="s">
        <v>29</v>
      </c>
      <c r="C17" s="30" t="s">
        <v>30</v>
      </c>
      <c r="D17" s="11" t="s">
        <v>194</v>
      </c>
      <c r="E17" s="35">
        <v>357</v>
      </c>
      <c r="F17" s="36">
        <f>SUM(E17/100)</f>
        <v>3.57</v>
      </c>
      <c r="G17" s="36">
        <v>287.83999999999997</v>
      </c>
      <c r="H17" s="37">
        <f t="shared" si="0"/>
        <v>1.0275887999999997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f>F17*G17</f>
        <v>1027.5887999999998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f t="shared" si="1"/>
        <v>1027.5887999999998</v>
      </c>
    </row>
    <row r="18" spans="1:21">
      <c r="A18" s="30" t="s">
        <v>31</v>
      </c>
      <c r="B18" s="11" t="s">
        <v>32</v>
      </c>
      <c r="C18" s="30" t="s">
        <v>30</v>
      </c>
      <c r="D18" s="11" t="s">
        <v>194</v>
      </c>
      <c r="E18" s="40">
        <v>38.64</v>
      </c>
      <c r="F18" s="36">
        <f>SUM(E18/100)</f>
        <v>0.38640000000000002</v>
      </c>
      <c r="G18" s="36">
        <v>47.34</v>
      </c>
      <c r="H18" s="37">
        <f t="shared" si="0"/>
        <v>1.8292176E-2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f>F18*G18</f>
        <v>18.292176000000001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f t="shared" si="1"/>
        <v>18.292176000000001</v>
      </c>
    </row>
    <row r="19" spans="1:21">
      <c r="A19" s="30" t="s">
        <v>33</v>
      </c>
      <c r="B19" s="11" t="s">
        <v>34</v>
      </c>
      <c r="C19" s="30" t="s">
        <v>30</v>
      </c>
      <c r="D19" s="11" t="s">
        <v>220</v>
      </c>
      <c r="E19" s="35">
        <v>15</v>
      </c>
      <c r="F19" s="36">
        <f>E19/100</f>
        <v>0.15</v>
      </c>
      <c r="G19" s="36">
        <v>416.62</v>
      </c>
      <c r="H19" s="37">
        <f t="shared" si="0"/>
        <v>6.2492999999999993E-2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f>F19*G19</f>
        <v>62.492999999999995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f t="shared" si="1"/>
        <v>62.492999999999995</v>
      </c>
    </row>
    <row r="20" spans="1:21">
      <c r="A20" s="30" t="s">
        <v>196</v>
      </c>
      <c r="B20" s="11" t="s">
        <v>197</v>
      </c>
      <c r="C20" s="30" t="s">
        <v>14</v>
      </c>
      <c r="D20" s="11" t="s">
        <v>49</v>
      </c>
      <c r="E20" s="35">
        <v>14.25</v>
      </c>
      <c r="F20" s="36">
        <v>0.1</v>
      </c>
      <c r="G20" s="36">
        <v>231.03</v>
      </c>
      <c r="H20" s="37">
        <v>3.1E-2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f>F20*G20</f>
        <v>23.103000000000002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f t="shared" si="1"/>
        <v>23.103000000000002</v>
      </c>
    </row>
    <row r="21" spans="1:21">
      <c r="A21" s="30" t="s">
        <v>35</v>
      </c>
      <c r="B21" s="11" t="s">
        <v>36</v>
      </c>
      <c r="C21" s="30" t="s">
        <v>30</v>
      </c>
      <c r="D21" s="11" t="s">
        <v>194</v>
      </c>
      <c r="E21" s="35">
        <v>6.38</v>
      </c>
      <c r="F21" s="36">
        <f>SUM(E21/100)</f>
        <v>6.3799999999999996E-2</v>
      </c>
      <c r="G21" s="36">
        <v>556.74</v>
      </c>
      <c r="H21" s="37">
        <f t="shared" si="0"/>
        <v>3.5520012000000004E-2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f>F21*G21</f>
        <v>35.520012000000001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f t="shared" si="1"/>
        <v>35.520012000000001</v>
      </c>
    </row>
    <row r="22" spans="1:21" s="22" customFormat="1">
      <c r="A22" s="41"/>
      <c r="B22" s="23" t="s">
        <v>37</v>
      </c>
      <c r="C22" s="42"/>
      <c r="D22" s="23"/>
      <c r="E22" s="43"/>
      <c r="F22" s="44"/>
      <c r="G22" s="44"/>
      <c r="H22" s="45">
        <f>SUM(H11:H21)</f>
        <v>123.806162368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99">
        <f>SUM(U11:U21)</f>
        <v>93325.477177999986</v>
      </c>
    </row>
    <row r="23" spans="1:21">
      <c r="A23" s="30"/>
      <c r="B23" s="13" t="s">
        <v>38</v>
      </c>
      <c r="C23" s="30"/>
      <c r="D23" s="11"/>
      <c r="E23" s="35"/>
      <c r="F23" s="36"/>
      <c r="G23" s="36"/>
      <c r="H23" s="3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38"/>
    </row>
    <row r="24" spans="1:21" ht="28.5" customHeight="1">
      <c r="A24" s="30" t="s">
        <v>39</v>
      </c>
      <c r="B24" s="11" t="s">
        <v>40</v>
      </c>
      <c r="C24" s="30" t="s">
        <v>41</v>
      </c>
      <c r="D24" s="11" t="s">
        <v>42</v>
      </c>
      <c r="E24" s="36">
        <v>573.6</v>
      </c>
      <c r="F24" s="36">
        <f>SUM(E24*52/1000)</f>
        <v>29.827200000000001</v>
      </c>
      <c r="G24" s="36">
        <v>166.65</v>
      </c>
      <c r="H24" s="37">
        <f t="shared" ref="H24:H32" si="2">SUM(F24*G24/1000)</f>
        <v>4.970702880000001</v>
      </c>
      <c r="I24" s="38">
        <v>0</v>
      </c>
      <c r="J24" s="38">
        <v>0</v>
      </c>
      <c r="K24" s="38">
        <v>0</v>
      </c>
      <c r="L24" s="38">
        <v>0</v>
      </c>
      <c r="M24" s="38">
        <f>F24/6*G24</f>
        <v>828.45048000000008</v>
      </c>
      <c r="N24" s="38">
        <f>F24/6*G24</f>
        <v>828.45048000000008</v>
      </c>
      <c r="O24" s="38">
        <f>F24/6*G24</f>
        <v>828.45048000000008</v>
      </c>
      <c r="P24" s="38">
        <f>F24/6*G24</f>
        <v>828.45048000000008</v>
      </c>
      <c r="Q24" s="38">
        <f>F24/6*G24</f>
        <v>828.45048000000008</v>
      </c>
      <c r="R24" s="38">
        <v>0</v>
      </c>
      <c r="S24" s="38">
        <v>0</v>
      </c>
      <c r="T24" s="38">
        <v>0</v>
      </c>
      <c r="U24" s="38">
        <f t="shared" ref="U24:U32" si="3">SUM(I24:T24)</f>
        <v>4142.2524000000003</v>
      </c>
    </row>
    <row r="25" spans="1:21" ht="38.25" customHeight="1">
      <c r="A25" s="30" t="s">
        <v>43</v>
      </c>
      <c r="B25" s="11" t="s">
        <v>44</v>
      </c>
      <c r="C25" s="30" t="s">
        <v>45</v>
      </c>
      <c r="D25" s="11" t="s">
        <v>46</v>
      </c>
      <c r="E25" s="36">
        <v>200</v>
      </c>
      <c r="F25" s="36">
        <f>SUM(E25*78/1000)</f>
        <v>15.6</v>
      </c>
      <c r="G25" s="36">
        <v>276.48</v>
      </c>
      <c r="H25" s="37">
        <f t="shared" si="2"/>
        <v>4.3130879999999996</v>
      </c>
      <c r="I25" s="38">
        <v>0</v>
      </c>
      <c r="J25" s="38">
        <v>0</v>
      </c>
      <c r="K25" s="38">
        <v>0</v>
      </c>
      <c r="L25" s="38">
        <v>0</v>
      </c>
      <c r="M25" s="38">
        <f>F25/6*G25</f>
        <v>718.84800000000007</v>
      </c>
      <c r="N25" s="38">
        <f>F25/6*G25</f>
        <v>718.84800000000007</v>
      </c>
      <c r="O25" s="38">
        <f>F25/6*G25</f>
        <v>718.84800000000007</v>
      </c>
      <c r="P25" s="38">
        <f>F25/6*G25</f>
        <v>718.84800000000007</v>
      </c>
      <c r="Q25" s="38">
        <f>F25/6*G25</f>
        <v>718.84800000000007</v>
      </c>
      <c r="R25" s="38">
        <v>0</v>
      </c>
      <c r="S25" s="38">
        <v>0</v>
      </c>
      <c r="T25" s="38">
        <v>0</v>
      </c>
      <c r="U25" s="38">
        <f t="shared" si="3"/>
        <v>3594.2400000000002</v>
      </c>
    </row>
    <row r="26" spans="1:21">
      <c r="A26" s="30" t="s">
        <v>47</v>
      </c>
      <c r="B26" s="11" t="s">
        <v>48</v>
      </c>
      <c r="C26" s="30" t="s">
        <v>45</v>
      </c>
      <c r="D26" s="11" t="s">
        <v>49</v>
      </c>
      <c r="E26" s="36">
        <v>573.6</v>
      </c>
      <c r="F26" s="36">
        <f>SUM(E26/1000)</f>
        <v>0.5736</v>
      </c>
      <c r="G26" s="36">
        <v>3228.73</v>
      </c>
      <c r="H26" s="37">
        <f t="shared" si="2"/>
        <v>1.8519995280000001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f>F26*G26</f>
        <v>1851.9995280000001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f t="shared" si="3"/>
        <v>1851.9995280000001</v>
      </c>
    </row>
    <row r="27" spans="1:21">
      <c r="A27" s="30" t="s">
        <v>198</v>
      </c>
      <c r="B27" s="11" t="s">
        <v>199</v>
      </c>
      <c r="C27" s="30" t="s">
        <v>107</v>
      </c>
      <c r="D27" s="11" t="s">
        <v>53</v>
      </c>
      <c r="E27" s="36">
        <v>1</v>
      </c>
      <c r="F27" s="36">
        <v>1.55</v>
      </c>
      <c r="G27" s="36">
        <v>1302.02</v>
      </c>
      <c r="H27" s="37">
        <f>G27*F27/1000</f>
        <v>2.0181309999999999</v>
      </c>
      <c r="I27" s="38">
        <v>0</v>
      </c>
      <c r="J27" s="38">
        <v>0</v>
      </c>
      <c r="K27" s="38">
        <v>0</v>
      </c>
      <c r="L27" s="38">
        <v>0</v>
      </c>
      <c r="M27" s="38">
        <f>F27/6*G27</f>
        <v>336.35516666666672</v>
      </c>
      <c r="N27" s="38">
        <f>F27/6*G27</f>
        <v>336.35516666666672</v>
      </c>
      <c r="O27" s="38">
        <f>F27/6*G27</f>
        <v>336.35516666666672</v>
      </c>
      <c r="P27" s="38">
        <f>F27/6*G27</f>
        <v>336.35516666666672</v>
      </c>
      <c r="Q27" s="38">
        <f>F27/6*G27</f>
        <v>336.35516666666672</v>
      </c>
      <c r="R27" s="38">
        <v>0</v>
      </c>
      <c r="S27" s="38">
        <v>0</v>
      </c>
      <c r="T27" s="38">
        <v>0</v>
      </c>
      <c r="U27" s="38">
        <f t="shared" si="3"/>
        <v>1681.7758333333336</v>
      </c>
    </row>
    <row r="28" spans="1:21">
      <c r="A28" s="30" t="s">
        <v>50</v>
      </c>
      <c r="B28" s="11" t="s">
        <v>51</v>
      </c>
      <c r="C28" s="30" t="s">
        <v>52</v>
      </c>
      <c r="D28" s="11" t="s">
        <v>53</v>
      </c>
      <c r="E28" s="49">
        <v>0.33333333333333331</v>
      </c>
      <c r="F28" s="36">
        <f>155/3</f>
        <v>51.666666666666664</v>
      </c>
      <c r="G28" s="36">
        <v>60.6</v>
      </c>
      <c r="H28" s="37">
        <f>SUM(G28*155/3/1000)</f>
        <v>3.1309999999999998</v>
      </c>
      <c r="I28" s="38">
        <v>0</v>
      </c>
      <c r="J28" s="38">
        <v>0</v>
      </c>
      <c r="K28" s="38">
        <v>0</v>
      </c>
      <c r="L28" s="38">
        <v>0</v>
      </c>
      <c r="M28" s="38">
        <f>F28/6*G28</f>
        <v>521.83333333333337</v>
      </c>
      <c r="N28" s="38">
        <f>F28/6*G28</f>
        <v>521.83333333333337</v>
      </c>
      <c r="O28" s="38">
        <f>F28/6*G28</f>
        <v>521.83333333333337</v>
      </c>
      <c r="P28" s="38">
        <f>F28/6*G28</f>
        <v>521.83333333333337</v>
      </c>
      <c r="Q28" s="38">
        <f>F28/6*G28</f>
        <v>521.83333333333337</v>
      </c>
      <c r="R28" s="38">
        <v>0</v>
      </c>
      <c r="S28" s="38">
        <v>0</v>
      </c>
      <c r="T28" s="38">
        <v>0</v>
      </c>
      <c r="U28" s="38">
        <f t="shared" si="3"/>
        <v>2609.166666666667</v>
      </c>
    </row>
    <row r="29" spans="1:21" ht="12.75" customHeight="1">
      <c r="A29" s="30" t="s">
        <v>54</v>
      </c>
      <c r="B29" s="11" t="s">
        <v>55</v>
      </c>
      <c r="C29" s="30" t="s">
        <v>56</v>
      </c>
      <c r="D29" s="11" t="s">
        <v>57</v>
      </c>
      <c r="E29" s="50">
        <v>0.1</v>
      </c>
      <c r="F29" s="36">
        <f>SUM(E29*365)</f>
        <v>36.5</v>
      </c>
      <c r="G29" s="36">
        <v>157.18</v>
      </c>
      <c r="H29" s="37">
        <f t="shared" si="2"/>
        <v>5.737070000000001</v>
      </c>
      <c r="I29" s="38">
        <f>F29/12*G29</f>
        <v>478.08916666666664</v>
      </c>
      <c r="J29" s="38">
        <f>F29/12*G29</f>
        <v>478.08916666666664</v>
      </c>
      <c r="K29" s="38">
        <f>F29/12*G29</f>
        <v>478.08916666666664</v>
      </c>
      <c r="L29" s="38">
        <f>F29/12*G29</f>
        <v>478.08916666666664</v>
      </c>
      <c r="M29" s="38">
        <f>F29/12*G29</f>
        <v>478.08916666666664</v>
      </c>
      <c r="N29" s="38">
        <f>F29/12*G29</f>
        <v>478.08916666666664</v>
      </c>
      <c r="O29" s="38">
        <f>F29/12*G29</f>
        <v>478.08916666666664</v>
      </c>
      <c r="P29" s="38">
        <f>F29/12*G29</f>
        <v>478.08916666666664</v>
      </c>
      <c r="Q29" s="38">
        <f>F29/12*G29</f>
        <v>478.08916666666664</v>
      </c>
      <c r="R29" s="38">
        <v>0</v>
      </c>
      <c r="S29" s="38">
        <v>0</v>
      </c>
      <c r="T29" s="38">
        <v>0</v>
      </c>
      <c r="U29" s="38">
        <f t="shared" si="3"/>
        <v>4302.8024999999998</v>
      </c>
    </row>
    <row r="30" spans="1:21" ht="12.75" customHeight="1">
      <c r="A30" s="30" t="s">
        <v>59</v>
      </c>
      <c r="B30" s="11" t="s">
        <v>60</v>
      </c>
      <c r="C30" s="30" t="s">
        <v>56</v>
      </c>
      <c r="D30" s="11" t="s">
        <v>58</v>
      </c>
      <c r="E30" s="35"/>
      <c r="F30" s="36">
        <v>3</v>
      </c>
      <c r="G30" s="36">
        <v>204.52</v>
      </c>
      <c r="H30" s="37">
        <f t="shared" si="2"/>
        <v>0.61356000000000011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f t="shared" si="3"/>
        <v>0</v>
      </c>
    </row>
    <row r="31" spans="1:21" ht="13.5" customHeight="1">
      <c r="A31" s="30" t="s">
        <v>61</v>
      </c>
      <c r="B31" s="11" t="s">
        <v>62</v>
      </c>
      <c r="C31" s="30" t="s">
        <v>63</v>
      </c>
      <c r="D31" s="11" t="s">
        <v>58</v>
      </c>
      <c r="E31" s="35"/>
      <c r="F31" s="36">
        <v>2</v>
      </c>
      <c r="G31" s="36">
        <v>1214.73</v>
      </c>
      <c r="H31" s="37">
        <f t="shared" si="2"/>
        <v>2.4294600000000002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f t="shared" si="3"/>
        <v>0</v>
      </c>
    </row>
    <row r="32" spans="1:21">
      <c r="A32" s="30"/>
      <c r="B32" s="51" t="s">
        <v>64</v>
      </c>
      <c r="C32" s="30" t="s">
        <v>65</v>
      </c>
      <c r="D32" s="51" t="s">
        <v>66</v>
      </c>
      <c r="E32" s="35">
        <v>2661.7</v>
      </c>
      <c r="F32" s="36">
        <f>SUM(E32*12)</f>
        <v>31940.399999999998</v>
      </c>
      <c r="G32" s="36">
        <v>5.25</v>
      </c>
      <c r="H32" s="37">
        <f t="shared" si="2"/>
        <v>167.68709999999999</v>
      </c>
      <c r="I32" s="38">
        <f>F32/12*G32</f>
        <v>13973.924999999999</v>
      </c>
      <c r="J32" s="38">
        <f>F32/12*G32</f>
        <v>13973.924999999999</v>
      </c>
      <c r="K32" s="38">
        <f>F32/12*G32</f>
        <v>13973.924999999999</v>
      </c>
      <c r="L32" s="38">
        <f>F32/12*G32</f>
        <v>13973.924999999999</v>
      </c>
      <c r="M32" s="38">
        <f>F32/12*G32</f>
        <v>13973.924999999999</v>
      </c>
      <c r="N32" s="38">
        <f>F32/12*G32</f>
        <v>13973.924999999999</v>
      </c>
      <c r="O32" s="38">
        <f>F32/12*G32</f>
        <v>13973.924999999999</v>
      </c>
      <c r="P32" s="38">
        <f>F32/12*G32</f>
        <v>13973.924999999999</v>
      </c>
      <c r="Q32" s="38">
        <f>F32/12*G32</f>
        <v>13973.924999999999</v>
      </c>
      <c r="R32" s="38">
        <v>0</v>
      </c>
      <c r="S32" s="38">
        <v>0</v>
      </c>
      <c r="T32" s="38">
        <v>0</v>
      </c>
      <c r="U32" s="38">
        <f t="shared" si="3"/>
        <v>125765.32500000001</v>
      </c>
    </row>
    <row r="33" spans="1:21" s="22" customFormat="1">
      <c r="A33" s="41"/>
      <c r="B33" s="23" t="s">
        <v>37</v>
      </c>
      <c r="C33" s="42"/>
      <c r="D33" s="23"/>
      <c r="E33" s="43"/>
      <c r="F33" s="44"/>
      <c r="G33" s="44"/>
      <c r="H33" s="52">
        <f>SUM(H24:H32)</f>
        <v>192.75211140799999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99">
        <f>SUM(U24:U32)</f>
        <v>143947.56192800001</v>
      </c>
    </row>
    <row r="34" spans="1:21">
      <c r="A34" s="30"/>
      <c r="B34" s="13" t="s">
        <v>67</v>
      </c>
      <c r="C34" s="30"/>
      <c r="D34" s="11"/>
      <c r="E34" s="35"/>
      <c r="F34" s="36"/>
      <c r="G34" s="36"/>
      <c r="H34" s="37" t="s">
        <v>66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38"/>
    </row>
    <row r="35" spans="1:21" ht="25.5">
      <c r="A35" s="30" t="s">
        <v>61</v>
      </c>
      <c r="B35" s="14" t="s">
        <v>68</v>
      </c>
      <c r="C35" s="30" t="s">
        <v>63</v>
      </c>
      <c r="D35" s="11"/>
      <c r="E35" s="35"/>
      <c r="F35" s="36">
        <v>8</v>
      </c>
      <c r="G35" s="36">
        <v>1632.6</v>
      </c>
      <c r="H35" s="37">
        <f t="shared" ref="H35:H45" si="4">SUM(F35*G35/1000)</f>
        <v>13.060799999999999</v>
      </c>
      <c r="I35" s="38">
        <f>F35/6*G35</f>
        <v>2176.7999999999997</v>
      </c>
      <c r="J35" s="38">
        <f>F35/6*G35</f>
        <v>2176.7999999999997</v>
      </c>
      <c r="K35" s="38">
        <f>F35/6*G35</f>
        <v>2176.7999999999997</v>
      </c>
      <c r="L35" s="38">
        <f>F35/6*G35</f>
        <v>2176.7999999999997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f>SUM(I35:T35)</f>
        <v>8707.1999999999989</v>
      </c>
    </row>
    <row r="36" spans="1:21" s="1" customFormat="1">
      <c r="A36" s="53" t="s">
        <v>69</v>
      </c>
      <c r="B36" s="14" t="s">
        <v>70</v>
      </c>
      <c r="C36" s="53" t="s">
        <v>71</v>
      </c>
      <c r="D36" s="14" t="s">
        <v>200</v>
      </c>
      <c r="E36" s="54">
        <v>200</v>
      </c>
      <c r="F36" s="54">
        <f>SUM(E36*30/1000)</f>
        <v>6</v>
      </c>
      <c r="G36" s="54">
        <v>2247.8000000000002</v>
      </c>
      <c r="H36" s="37">
        <f t="shared" si="4"/>
        <v>13.486800000000001</v>
      </c>
      <c r="I36" s="55">
        <f>F36/6*G36</f>
        <v>2247.8000000000002</v>
      </c>
      <c r="J36" s="55">
        <f>F36/6*G36</f>
        <v>2247.8000000000002</v>
      </c>
      <c r="K36" s="55">
        <f>F36/6*G36</f>
        <v>2247.8000000000002</v>
      </c>
      <c r="L36" s="55">
        <f>F36/6*G36</f>
        <v>2247.8000000000002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38">
        <f>SUM(I36:T36)</f>
        <v>8991.2000000000007</v>
      </c>
    </row>
    <row r="37" spans="1:21" s="1" customFormat="1">
      <c r="A37" s="30" t="s">
        <v>61</v>
      </c>
      <c r="B37" s="11" t="s">
        <v>240</v>
      </c>
      <c r="C37" s="30" t="s">
        <v>177</v>
      </c>
      <c r="D37" s="11"/>
      <c r="E37" s="35"/>
      <c r="F37" s="54">
        <v>30</v>
      </c>
      <c r="G37" s="36">
        <v>213.2</v>
      </c>
      <c r="H37" s="37">
        <f>F37*G37/1000</f>
        <v>6.3959999999999999</v>
      </c>
      <c r="I37" s="38">
        <v>0</v>
      </c>
      <c r="J37" s="38">
        <v>0</v>
      </c>
      <c r="K37" s="38">
        <f>30*G37</f>
        <v>6396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f t="shared" ref="U37" si="5">SUM(I37:T37)</f>
        <v>6396</v>
      </c>
    </row>
    <row r="38" spans="1:21" ht="24.75" customHeight="1">
      <c r="A38" s="30" t="s">
        <v>72</v>
      </c>
      <c r="B38" s="11" t="s">
        <v>73</v>
      </c>
      <c r="C38" s="30" t="s">
        <v>71</v>
      </c>
      <c r="D38" s="11" t="s">
        <v>74</v>
      </c>
      <c r="E38" s="36">
        <v>60</v>
      </c>
      <c r="F38" s="54">
        <f>SUM(E38*155/1000)</f>
        <v>9.3000000000000007</v>
      </c>
      <c r="G38" s="36">
        <v>374.95</v>
      </c>
      <c r="H38" s="37">
        <f t="shared" si="4"/>
        <v>3.4870350000000001</v>
      </c>
      <c r="I38" s="38">
        <f>F38/6*G38</f>
        <v>581.17250000000001</v>
      </c>
      <c r="J38" s="38">
        <f>F38/6*G38</f>
        <v>581.17250000000001</v>
      </c>
      <c r="K38" s="38">
        <f>F38/6*G38</f>
        <v>581.17250000000001</v>
      </c>
      <c r="L38" s="38">
        <f>F38/6*G38</f>
        <v>581.17250000000001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f>SUM(I38:T38)</f>
        <v>2324.69</v>
      </c>
    </row>
    <row r="39" spans="1:21" hidden="1">
      <c r="A39" s="30"/>
      <c r="B39" s="11" t="s">
        <v>75</v>
      </c>
      <c r="C39" s="30" t="s">
        <v>63</v>
      </c>
      <c r="D39" s="11"/>
      <c r="E39" s="35"/>
      <c r="F39" s="54">
        <f>SUM(E39*155/1000)</f>
        <v>0</v>
      </c>
      <c r="G39" s="36">
        <v>707.87</v>
      </c>
      <c r="H39" s="37">
        <f t="shared" si="4"/>
        <v>0</v>
      </c>
      <c r="I39" s="48"/>
      <c r="J39" s="48"/>
      <c r="K39" s="4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hidden="1">
      <c r="A40" s="30"/>
      <c r="B40" s="11" t="s">
        <v>76</v>
      </c>
      <c r="C40" s="30" t="s">
        <v>63</v>
      </c>
      <c r="D40" s="11"/>
      <c r="E40" s="35"/>
      <c r="F40" s="54">
        <f>SUM(E40*155/1000)</f>
        <v>0</v>
      </c>
      <c r="G40" s="36">
        <v>460</v>
      </c>
      <c r="H40" s="37">
        <f t="shared" si="4"/>
        <v>0</v>
      </c>
      <c r="I40" s="48"/>
      <c r="J40" s="48"/>
      <c r="K40" s="4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ht="38.25" hidden="1">
      <c r="A41" s="30" t="s">
        <v>77</v>
      </c>
      <c r="B41" s="11" t="s">
        <v>78</v>
      </c>
      <c r="C41" s="30" t="s">
        <v>45</v>
      </c>
      <c r="D41" s="11" t="s">
        <v>79</v>
      </c>
      <c r="E41" s="35">
        <v>0</v>
      </c>
      <c r="F41" s="54">
        <f>SUM(E41*155/1000)</f>
        <v>0</v>
      </c>
      <c r="G41" s="36">
        <v>5155.17</v>
      </c>
      <c r="H41" s="37">
        <f t="shared" si="4"/>
        <v>0</v>
      </c>
      <c r="I41" s="48"/>
      <c r="J41" s="48"/>
      <c r="K41" s="4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ht="51" customHeight="1">
      <c r="A42" s="30" t="s">
        <v>77</v>
      </c>
      <c r="B42" s="11" t="s">
        <v>80</v>
      </c>
      <c r="C42" s="30" t="s">
        <v>45</v>
      </c>
      <c r="D42" s="11" t="s">
        <v>221</v>
      </c>
      <c r="E42" s="36">
        <v>40.9</v>
      </c>
      <c r="F42" s="54">
        <f>SUM(E42*35/1000)</f>
        <v>1.4315</v>
      </c>
      <c r="G42" s="36">
        <v>6203.7</v>
      </c>
      <c r="H42" s="37">
        <f t="shared" si="4"/>
        <v>8.8805965499999999</v>
      </c>
      <c r="I42" s="38">
        <f>F42/6*G42</f>
        <v>1480.0994250000001</v>
      </c>
      <c r="J42" s="38">
        <f>F42/6*G42</f>
        <v>1480.0994250000001</v>
      </c>
      <c r="K42" s="38">
        <f>F42/6*G42</f>
        <v>1480.0994250000001</v>
      </c>
      <c r="L42" s="38">
        <f>F42/6*G42</f>
        <v>1480.0994250000001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f>SUM(I42:T42)</f>
        <v>5920.3977000000004</v>
      </c>
    </row>
    <row r="43" spans="1:21" ht="12.75" customHeight="1">
      <c r="A43" s="30" t="s">
        <v>81</v>
      </c>
      <c r="B43" s="11" t="s">
        <v>82</v>
      </c>
      <c r="C43" s="30" t="s">
        <v>45</v>
      </c>
      <c r="D43" s="11" t="s">
        <v>83</v>
      </c>
      <c r="E43" s="36">
        <v>60</v>
      </c>
      <c r="F43" s="54">
        <f>SUM(E43*45/1000)</f>
        <v>2.7</v>
      </c>
      <c r="G43" s="36">
        <v>458.28</v>
      </c>
      <c r="H43" s="37">
        <f t="shared" si="4"/>
        <v>1.2373559999999999</v>
      </c>
      <c r="I43" s="38">
        <f>F43/6*G43</f>
        <v>206.226</v>
      </c>
      <c r="J43" s="38">
        <f>F43/6*G43</f>
        <v>206.226</v>
      </c>
      <c r="K43" s="38">
        <f>F43/6*G43</f>
        <v>206.226</v>
      </c>
      <c r="L43" s="38">
        <f>F43/6*G43</f>
        <v>206.226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f>SUM(I43:T43)</f>
        <v>824.904</v>
      </c>
    </row>
    <row r="44" spans="1:21" s="2" customFormat="1">
      <c r="A44" s="53"/>
      <c r="B44" s="14" t="s">
        <v>84</v>
      </c>
      <c r="C44" s="53" t="s">
        <v>56</v>
      </c>
      <c r="D44" s="14"/>
      <c r="E44" s="50"/>
      <c r="F44" s="54">
        <v>0.9</v>
      </c>
      <c r="G44" s="54">
        <v>853.06</v>
      </c>
      <c r="H44" s="37">
        <f t="shared" si="4"/>
        <v>0.76775400000000005</v>
      </c>
      <c r="I44" s="55">
        <f>F44/6*G44</f>
        <v>127.95899999999999</v>
      </c>
      <c r="J44" s="55">
        <f>F44/6*G44</f>
        <v>127.95899999999999</v>
      </c>
      <c r="K44" s="55">
        <f>F44/6*G44</f>
        <v>127.95899999999999</v>
      </c>
      <c r="L44" s="55">
        <f>F44/6*G44</f>
        <v>127.95899999999999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38">
        <f>SUM(I44:T44)</f>
        <v>511.83599999999996</v>
      </c>
    </row>
    <row r="45" spans="1:21" hidden="1">
      <c r="A45" s="30" t="s">
        <v>69</v>
      </c>
      <c r="B45" s="11" t="s">
        <v>85</v>
      </c>
      <c r="C45" s="30" t="s">
        <v>45</v>
      </c>
      <c r="D45" s="11"/>
      <c r="E45" s="35"/>
      <c r="F45" s="36"/>
      <c r="G45" s="36">
        <v>1481.29</v>
      </c>
      <c r="H45" s="37">
        <f t="shared" si="4"/>
        <v>0</v>
      </c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38"/>
    </row>
    <row r="46" spans="1:21" s="22" customFormat="1">
      <c r="A46" s="41"/>
      <c r="B46" s="23" t="s">
        <v>37</v>
      </c>
      <c r="C46" s="42"/>
      <c r="D46" s="23"/>
      <c r="E46" s="43"/>
      <c r="F46" s="44" t="s">
        <v>66</v>
      </c>
      <c r="G46" s="44"/>
      <c r="H46" s="52">
        <f>SUM(H35:H45)</f>
        <v>47.31634154999999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99">
        <f>SUM(U35:U44)</f>
        <v>33676.227700000003</v>
      </c>
    </row>
    <row r="47" spans="1:21">
      <c r="A47" s="30"/>
      <c r="B47" s="15" t="s">
        <v>86</v>
      </c>
      <c r="C47" s="30"/>
      <c r="D47" s="11"/>
      <c r="E47" s="35"/>
      <c r="F47" s="36"/>
      <c r="G47" s="36"/>
      <c r="H47" s="37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38"/>
    </row>
    <row r="48" spans="1:21">
      <c r="A48" s="30" t="s">
        <v>202</v>
      </c>
      <c r="B48" s="11" t="s">
        <v>201</v>
      </c>
      <c r="C48" s="30" t="s">
        <v>45</v>
      </c>
      <c r="D48" s="11" t="s">
        <v>49</v>
      </c>
      <c r="E48" s="35">
        <v>1300.5</v>
      </c>
      <c r="F48" s="36">
        <f>SUM(E48/1000)</f>
        <v>1.3005</v>
      </c>
      <c r="G48" s="56">
        <v>972.97</v>
      </c>
      <c r="H48" s="37">
        <f t="shared" ref="H48:H59" si="6">SUM(F48*G48/1000)</f>
        <v>1.2653474849999999</v>
      </c>
      <c r="I48" s="38">
        <v>0</v>
      </c>
      <c r="J48" s="38">
        <v>0</v>
      </c>
      <c r="K48" s="38">
        <v>0</v>
      </c>
      <c r="L48" s="38">
        <f>F48/2*G48</f>
        <v>632.6737425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f t="shared" ref="U48:U58" si="7">SUM(I48:T48)</f>
        <v>632.6737425</v>
      </c>
    </row>
    <row r="49" spans="1:21">
      <c r="A49" s="30" t="s">
        <v>88</v>
      </c>
      <c r="B49" s="11" t="s">
        <v>89</v>
      </c>
      <c r="C49" s="30" t="s">
        <v>45</v>
      </c>
      <c r="D49" s="11" t="s">
        <v>87</v>
      </c>
      <c r="E49" s="35">
        <v>52</v>
      </c>
      <c r="F49" s="36">
        <f>SUM(E49*2/1000)</f>
        <v>0.104</v>
      </c>
      <c r="G49" s="56">
        <v>619.46</v>
      </c>
      <c r="H49" s="37">
        <f t="shared" si="6"/>
        <v>6.4423839999999996E-2</v>
      </c>
      <c r="I49" s="38">
        <v>0</v>
      </c>
      <c r="J49" s="38">
        <v>0</v>
      </c>
      <c r="K49" s="38">
        <v>0</v>
      </c>
      <c r="L49" s="38">
        <f>F49/2*G49</f>
        <v>32.211919999999999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f t="shared" si="7"/>
        <v>32.211919999999999</v>
      </c>
    </row>
    <row r="50" spans="1:21" ht="25.5">
      <c r="A50" s="30" t="s">
        <v>90</v>
      </c>
      <c r="B50" s="11" t="s">
        <v>91</v>
      </c>
      <c r="C50" s="30" t="s">
        <v>45</v>
      </c>
      <c r="D50" s="11" t="s">
        <v>87</v>
      </c>
      <c r="E50" s="35">
        <v>1483.1</v>
      </c>
      <c r="F50" s="36">
        <f>SUM(E50*2/1000)</f>
        <v>2.9661999999999997</v>
      </c>
      <c r="G50" s="56">
        <v>619.46</v>
      </c>
      <c r="H50" s="37">
        <f t="shared" si="6"/>
        <v>1.8374422519999998</v>
      </c>
      <c r="I50" s="38">
        <v>0</v>
      </c>
      <c r="J50" s="38">
        <v>0</v>
      </c>
      <c r="K50" s="38">
        <v>0</v>
      </c>
      <c r="L50" s="38">
        <f>F50/2*G50</f>
        <v>918.72112599999991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f t="shared" si="7"/>
        <v>918.72112599999991</v>
      </c>
    </row>
    <row r="51" spans="1:21">
      <c r="A51" s="30" t="s">
        <v>92</v>
      </c>
      <c r="B51" s="11" t="s">
        <v>93</v>
      </c>
      <c r="C51" s="30" t="s">
        <v>45</v>
      </c>
      <c r="D51" s="11" t="s">
        <v>87</v>
      </c>
      <c r="E51" s="35">
        <v>2320</v>
      </c>
      <c r="F51" s="36">
        <f>SUM(E51*2/1000)</f>
        <v>4.6399999999999997</v>
      </c>
      <c r="G51" s="56">
        <v>648.64</v>
      </c>
      <c r="H51" s="37">
        <f t="shared" si="6"/>
        <v>3.0096895999999997</v>
      </c>
      <c r="I51" s="38">
        <v>0</v>
      </c>
      <c r="J51" s="38">
        <v>0</v>
      </c>
      <c r="K51" s="38">
        <v>0</v>
      </c>
      <c r="L51" s="38">
        <f>F51/2*G51</f>
        <v>1504.8447999999999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f t="shared" si="7"/>
        <v>1504.8447999999999</v>
      </c>
    </row>
    <row r="52" spans="1:21">
      <c r="A52" s="30" t="s">
        <v>94</v>
      </c>
      <c r="B52" s="11" t="s">
        <v>95</v>
      </c>
      <c r="C52" s="30" t="s">
        <v>96</v>
      </c>
      <c r="D52" s="11" t="s">
        <v>87</v>
      </c>
      <c r="E52" s="35">
        <v>91.84</v>
      </c>
      <c r="F52" s="36">
        <f>SUM(E52*2/100)</f>
        <v>1.8368</v>
      </c>
      <c r="G52" s="56">
        <v>77.84</v>
      </c>
      <c r="H52" s="37">
        <f t="shared" si="6"/>
        <v>0.142976512</v>
      </c>
      <c r="I52" s="38">
        <v>0</v>
      </c>
      <c r="J52" s="38">
        <v>0</v>
      </c>
      <c r="K52" s="38">
        <v>0</v>
      </c>
      <c r="L52" s="38">
        <f>F52/2*G52</f>
        <v>71.488256000000007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f t="shared" si="7"/>
        <v>71.488256000000007</v>
      </c>
    </row>
    <row r="53" spans="1:21" ht="25.5">
      <c r="A53" s="30" t="s">
        <v>97</v>
      </c>
      <c r="B53" s="11" t="s">
        <v>98</v>
      </c>
      <c r="C53" s="30" t="s">
        <v>45</v>
      </c>
      <c r="D53" s="11" t="s">
        <v>99</v>
      </c>
      <c r="E53" s="35">
        <v>1040.4000000000001</v>
      </c>
      <c r="F53" s="36">
        <f>SUM(E53*5/1000)</f>
        <v>5.202</v>
      </c>
      <c r="G53" s="56">
        <v>1297.28</v>
      </c>
      <c r="H53" s="37">
        <f>SUM(F53*G53/1000)</f>
        <v>6.7484505600000002</v>
      </c>
      <c r="I53" s="38">
        <f>F53/5*G53</f>
        <v>1349.690112</v>
      </c>
      <c r="J53" s="38">
        <f>F53/5*G53</f>
        <v>1349.690112</v>
      </c>
      <c r="K53" s="38">
        <v>0</v>
      </c>
      <c r="L53" s="38">
        <v>0</v>
      </c>
      <c r="M53" s="38">
        <f>F53/5*G53</f>
        <v>1349.690112</v>
      </c>
      <c r="N53" s="38">
        <v>0</v>
      </c>
      <c r="O53" s="38">
        <v>0</v>
      </c>
      <c r="P53" s="38">
        <v>0</v>
      </c>
      <c r="Q53" s="38">
        <f>F53/5*G53</f>
        <v>1349.690112</v>
      </c>
      <c r="R53" s="38">
        <v>0</v>
      </c>
      <c r="S53" s="38">
        <v>0</v>
      </c>
      <c r="T53" s="38">
        <v>0</v>
      </c>
      <c r="U53" s="38">
        <f t="shared" si="7"/>
        <v>5398.760448</v>
      </c>
    </row>
    <row r="54" spans="1:21" ht="39.6" customHeight="1">
      <c r="A54" s="30" t="s">
        <v>100</v>
      </c>
      <c r="B54" s="11" t="s">
        <v>101</v>
      </c>
      <c r="C54" s="30" t="s">
        <v>45</v>
      </c>
      <c r="D54" s="11" t="s">
        <v>87</v>
      </c>
      <c r="E54" s="35">
        <v>1040.4000000000001</v>
      </c>
      <c r="F54" s="36">
        <f>SUM(E54*2/1000)</f>
        <v>2.0808</v>
      </c>
      <c r="G54" s="56">
        <v>1297.28</v>
      </c>
      <c r="H54" s="37">
        <f t="shared" si="6"/>
        <v>2.699380224</v>
      </c>
      <c r="I54" s="38">
        <v>0</v>
      </c>
      <c r="J54" s="38">
        <v>0</v>
      </c>
      <c r="K54" s="38">
        <v>0</v>
      </c>
      <c r="L54" s="38">
        <f>F54/2*G54</f>
        <v>1349.690112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f t="shared" si="7"/>
        <v>1349.690112</v>
      </c>
    </row>
    <row r="55" spans="1:21" ht="28.9" customHeight="1">
      <c r="A55" s="30" t="s">
        <v>102</v>
      </c>
      <c r="B55" s="11" t="s">
        <v>103</v>
      </c>
      <c r="C55" s="30" t="s">
        <v>104</v>
      </c>
      <c r="D55" s="11" t="s">
        <v>87</v>
      </c>
      <c r="E55" s="35">
        <v>20</v>
      </c>
      <c r="F55" s="36">
        <f>SUM(E55*2/100)</f>
        <v>0.4</v>
      </c>
      <c r="G55" s="56">
        <v>2918.89</v>
      </c>
      <c r="H55" s="37">
        <f t="shared" si="6"/>
        <v>1.167556</v>
      </c>
      <c r="I55" s="38">
        <v>0</v>
      </c>
      <c r="J55" s="38">
        <v>0</v>
      </c>
      <c r="K55" s="38">
        <v>0</v>
      </c>
      <c r="L55" s="38">
        <f>F55/2*G55</f>
        <v>583.77800000000002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f t="shared" si="7"/>
        <v>583.77800000000002</v>
      </c>
    </row>
    <row r="56" spans="1:21">
      <c r="A56" s="30" t="s">
        <v>105</v>
      </c>
      <c r="B56" s="11" t="s">
        <v>106</v>
      </c>
      <c r="C56" s="30" t="s">
        <v>107</v>
      </c>
      <c r="D56" s="11" t="s">
        <v>87</v>
      </c>
      <c r="E56" s="35">
        <v>1</v>
      </c>
      <c r="F56" s="36">
        <v>0.02</v>
      </c>
      <c r="G56" s="56">
        <v>6042.12</v>
      </c>
      <c r="H56" s="37">
        <f t="shared" si="6"/>
        <v>0.1208424</v>
      </c>
      <c r="I56" s="38">
        <v>0</v>
      </c>
      <c r="J56" s="38">
        <v>0</v>
      </c>
      <c r="K56" s="38">
        <v>0</v>
      </c>
      <c r="L56" s="38">
        <f>F56/2*G56</f>
        <v>60.421199999999999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f t="shared" si="7"/>
        <v>60.421199999999999</v>
      </c>
    </row>
    <row r="57" spans="1:21" ht="13.5" customHeight="1">
      <c r="A57" s="30" t="s">
        <v>108</v>
      </c>
      <c r="B57" s="11" t="s">
        <v>109</v>
      </c>
      <c r="C57" s="30" t="s">
        <v>110</v>
      </c>
      <c r="D57" s="11" t="s">
        <v>222</v>
      </c>
      <c r="E57" s="35">
        <v>56</v>
      </c>
      <c r="F57" s="36">
        <f>SUM(E57*4)</f>
        <v>224</v>
      </c>
      <c r="G57" s="57">
        <v>150.86000000000001</v>
      </c>
      <c r="H57" s="37">
        <f t="shared" si="6"/>
        <v>33.792639999999999</v>
      </c>
      <c r="I57" s="38">
        <v>0</v>
      </c>
      <c r="J57" s="38">
        <f>E57*G57</f>
        <v>8448.16</v>
      </c>
      <c r="K57" s="38">
        <v>0</v>
      </c>
      <c r="L57" s="38">
        <f>E57*G57</f>
        <v>8448.16</v>
      </c>
      <c r="M57" s="38">
        <v>0</v>
      </c>
      <c r="N57" s="38">
        <v>0</v>
      </c>
      <c r="O57" s="38">
        <v>0</v>
      </c>
      <c r="P57" s="38">
        <f>E57*G57</f>
        <v>8448.16</v>
      </c>
      <c r="Q57" s="38">
        <v>0</v>
      </c>
      <c r="R57" s="38">
        <v>0</v>
      </c>
      <c r="S57" s="38">
        <v>0</v>
      </c>
      <c r="T57" s="38">
        <v>0</v>
      </c>
      <c r="U57" s="38">
        <f t="shared" si="7"/>
        <v>25344.48</v>
      </c>
    </row>
    <row r="58" spans="1:21" ht="13.5" customHeight="1">
      <c r="A58" s="30" t="s">
        <v>111</v>
      </c>
      <c r="B58" s="11" t="s">
        <v>112</v>
      </c>
      <c r="C58" s="30" t="s">
        <v>110</v>
      </c>
      <c r="D58" s="11" t="s">
        <v>230</v>
      </c>
      <c r="E58" s="35">
        <v>112</v>
      </c>
      <c r="F58" s="36">
        <f>SUM(E58)*3</f>
        <v>336</v>
      </c>
      <c r="G58" s="57">
        <v>70.209999999999994</v>
      </c>
      <c r="H58" s="37">
        <f t="shared" si="6"/>
        <v>23.590559999999996</v>
      </c>
      <c r="I58" s="38">
        <v>0</v>
      </c>
      <c r="J58" s="38">
        <f>E58*G58</f>
        <v>7863.5199999999995</v>
      </c>
      <c r="K58" s="38">
        <v>0</v>
      </c>
      <c r="L58" s="38">
        <f>E58*G58</f>
        <v>7863.5199999999995</v>
      </c>
      <c r="M58" s="38">
        <v>0</v>
      </c>
      <c r="N58" s="38">
        <v>0</v>
      </c>
      <c r="O58" s="38">
        <v>0</v>
      </c>
      <c r="P58" s="38">
        <f>E58*G58</f>
        <v>7863.5199999999995</v>
      </c>
      <c r="Q58" s="38">
        <v>0</v>
      </c>
      <c r="R58" s="38">
        <v>0</v>
      </c>
      <c r="S58" s="38">
        <v>0</v>
      </c>
      <c r="T58" s="38">
        <v>0</v>
      </c>
      <c r="U58" s="38">
        <f t="shared" si="7"/>
        <v>23590.559999999998</v>
      </c>
    </row>
    <row r="59" spans="1:21" s="2" customFormat="1" hidden="1">
      <c r="A59" s="53"/>
      <c r="B59" s="14" t="s">
        <v>113</v>
      </c>
      <c r="C59" s="53"/>
      <c r="D59" s="11" t="s">
        <v>114</v>
      </c>
      <c r="E59" s="50"/>
      <c r="F59" s="54"/>
      <c r="G59" s="54">
        <v>5750</v>
      </c>
      <c r="H59" s="58">
        <f t="shared" si="6"/>
        <v>0</v>
      </c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5"/>
    </row>
    <row r="60" spans="1:21" s="24" customFormat="1">
      <c r="A60" s="60"/>
      <c r="B60" s="23" t="s">
        <v>37</v>
      </c>
      <c r="C60" s="61"/>
      <c r="D60" s="23"/>
      <c r="E60" s="62"/>
      <c r="F60" s="63"/>
      <c r="G60" s="63"/>
      <c r="H60" s="52">
        <f>SUM(H48:H58)</f>
        <v>74.439308872999987</v>
      </c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86">
        <f>SUM(U48:U58)</f>
        <v>59487.629604499998</v>
      </c>
    </row>
    <row r="61" spans="1:21">
      <c r="A61" s="30"/>
      <c r="B61" s="13" t="s">
        <v>115</v>
      </c>
      <c r="C61" s="30"/>
      <c r="D61" s="11"/>
      <c r="E61" s="35"/>
      <c r="F61" s="36"/>
      <c r="G61" s="36"/>
      <c r="H61" s="37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38"/>
    </row>
    <row r="62" spans="1:21" hidden="1">
      <c r="A62" s="30" t="s">
        <v>116</v>
      </c>
      <c r="B62" s="11" t="s">
        <v>117</v>
      </c>
      <c r="C62" s="30" t="s">
        <v>14</v>
      </c>
      <c r="D62" s="11" t="s">
        <v>87</v>
      </c>
      <c r="E62" s="35">
        <v>946</v>
      </c>
      <c r="F62" s="36">
        <f>SUM(E62*2/100)</f>
        <v>18.920000000000002</v>
      </c>
      <c r="G62" s="56">
        <v>0</v>
      </c>
      <c r="H62" s="37">
        <f>SUM(F62*G62/1000)</f>
        <v>0</v>
      </c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38"/>
    </row>
    <row r="63" spans="1:21" ht="25.5" customHeight="1">
      <c r="A63" s="8" t="s">
        <v>118</v>
      </c>
      <c r="B63" s="11" t="s">
        <v>119</v>
      </c>
      <c r="C63" s="30" t="s">
        <v>14</v>
      </c>
      <c r="D63" s="11" t="s">
        <v>120</v>
      </c>
      <c r="E63" s="35">
        <v>142.05000000000001</v>
      </c>
      <c r="F63" s="36">
        <f>SUM(E63*6/100)</f>
        <v>8.5230000000000015</v>
      </c>
      <c r="G63" s="56">
        <v>1547.28</v>
      </c>
      <c r="H63" s="37">
        <f>SUM(F63*G63/1000)</f>
        <v>13.187467440000002</v>
      </c>
      <c r="I63" s="38">
        <f>F63/6*G63</f>
        <v>2197.9112400000004</v>
      </c>
      <c r="J63" s="38">
        <f>F63/6*G63</f>
        <v>2197.9112400000004</v>
      </c>
      <c r="K63" s="38">
        <f>F63/6*G63</f>
        <v>2197.9112400000004</v>
      </c>
      <c r="L63" s="38">
        <f>F63/6*G63</f>
        <v>2197.9112400000004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f>SUM(I63:T63)</f>
        <v>8791.6449600000014</v>
      </c>
    </row>
    <row r="64" spans="1:21" ht="24.75" hidden="1" customHeight="1">
      <c r="A64" s="30" t="s">
        <v>121</v>
      </c>
      <c r="B64" s="11" t="s">
        <v>122</v>
      </c>
      <c r="C64" s="30" t="s">
        <v>14</v>
      </c>
      <c r="D64" s="11" t="s">
        <v>58</v>
      </c>
      <c r="E64" s="35"/>
      <c r="F64" s="36"/>
      <c r="G64" s="36">
        <v>1090.82</v>
      </c>
      <c r="H64" s="37">
        <f>SUM(F64*G64/1000)</f>
        <v>0</v>
      </c>
      <c r="I64" s="48"/>
      <c r="J64" s="48"/>
      <c r="K64" s="4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ht="38.25">
      <c r="A65" s="30" t="s">
        <v>121</v>
      </c>
      <c r="B65" s="11" t="s">
        <v>123</v>
      </c>
      <c r="C65" s="30" t="s">
        <v>14</v>
      </c>
      <c r="D65" s="11" t="s">
        <v>120</v>
      </c>
      <c r="E65" s="65">
        <v>22.05</v>
      </c>
      <c r="F65" s="56">
        <v>1.323</v>
      </c>
      <c r="G65" s="54">
        <v>1547.28</v>
      </c>
      <c r="H65" s="37">
        <f>SUM(F65*G65/1000)</f>
        <v>2.0470514400000002</v>
      </c>
      <c r="I65" s="38">
        <f>F65/6*G65</f>
        <v>341.17523999999997</v>
      </c>
      <c r="J65" s="38">
        <f>F65/6*G65</f>
        <v>341.17523999999997</v>
      </c>
      <c r="K65" s="38">
        <f>F65/6*G65</f>
        <v>341.17523999999997</v>
      </c>
      <c r="L65" s="38">
        <f>F65/6*G65</f>
        <v>341.17523999999997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f>SUM(I65:T65)</f>
        <v>1364.7009599999999</v>
      </c>
    </row>
    <row r="66" spans="1:21" hidden="1">
      <c r="A66" s="30"/>
      <c r="B66" s="13" t="s">
        <v>124</v>
      </c>
      <c r="C66" s="30"/>
      <c r="D66" s="11"/>
      <c r="E66" s="35"/>
      <c r="F66" s="36"/>
      <c r="G66" s="36"/>
      <c r="H66" s="37" t="s">
        <v>66</v>
      </c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38"/>
    </row>
    <row r="67" spans="1:21" hidden="1">
      <c r="A67" s="30" t="s">
        <v>125</v>
      </c>
      <c r="B67" s="11" t="s">
        <v>126</v>
      </c>
      <c r="C67" s="30" t="s">
        <v>14</v>
      </c>
      <c r="D67" s="11" t="s">
        <v>49</v>
      </c>
      <c r="E67" s="35">
        <v>938</v>
      </c>
      <c r="F67" s="36">
        <f>SUM(E67/100)</f>
        <v>9.3800000000000008</v>
      </c>
      <c r="G67" s="56">
        <v>0</v>
      </c>
      <c r="H67" s="37">
        <f>SUM(F67*G67/1000)</f>
        <v>0</v>
      </c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38"/>
    </row>
    <row r="68" spans="1:21" hidden="1">
      <c r="A68" s="30"/>
      <c r="B68" s="11" t="s">
        <v>127</v>
      </c>
      <c r="C68" s="30" t="s">
        <v>128</v>
      </c>
      <c r="D68" s="11" t="s">
        <v>129</v>
      </c>
      <c r="E68" s="50"/>
      <c r="F68" s="36"/>
      <c r="G68" s="56">
        <v>0</v>
      </c>
      <c r="H68" s="37">
        <v>0</v>
      </c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38"/>
    </row>
    <row r="69" spans="1:21" hidden="1">
      <c r="A69" s="30" t="s">
        <v>130</v>
      </c>
      <c r="B69" s="11" t="s">
        <v>131</v>
      </c>
      <c r="C69" s="30" t="s">
        <v>23</v>
      </c>
      <c r="D69" s="11" t="s">
        <v>49</v>
      </c>
      <c r="E69" s="35"/>
      <c r="F69" s="36"/>
      <c r="G69" s="66">
        <v>1863.87</v>
      </c>
      <c r="H69" s="37">
        <f>SUM(F69*G69/1000)</f>
        <v>0</v>
      </c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38"/>
    </row>
    <row r="70" spans="1:21">
      <c r="A70" s="30"/>
      <c r="B70" s="12" t="s">
        <v>124</v>
      </c>
      <c r="C70" s="30"/>
      <c r="D70" s="11"/>
      <c r="E70" s="35"/>
      <c r="F70" s="37"/>
      <c r="G70" s="56"/>
      <c r="H70" s="67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38"/>
    </row>
    <row r="71" spans="1:21">
      <c r="A71" s="30" t="s">
        <v>125</v>
      </c>
      <c r="B71" s="11" t="s">
        <v>203</v>
      </c>
      <c r="C71" s="30" t="s">
        <v>14</v>
      </c>
      <c r="D71" s="11" t="s">
        <v>49</v>
      </c>
      <c r="E71" s="35">
        <v>1040.4000000000001</v>
      </c>
      <c r="F71" s="37">
        <f>E71/100</f>
        <v>10.404000000000002</v>
      </c>
      <c r="G71" s="56">
        <v>848.37</v>
      </c>
      <c r="H71" s="67">
        <f>G71*F71/1000</f>
        <v>8.8264414800000015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f>SUM(I71:T71)</f>
        <v>0</v>
      </c>
    </row>
    <row r="72" spans="1:21">
      <c r="A72" s="30"/>
      <c r="B72" s="11" t="s">
        <v>204</v>
      </c>
      <c r="C72" s="30" t="s">
        <v>128</v>
      </c>
      <c r="D72" s="11" t="s">
        <v>231</v>
      </c>
      <c r="E72" s="35">
        <v>240</v>
      </c>
      <c r="F72" s="36">
        <v>2880</v>
      </c>
      <c r="G72" s="68">
        <v>2.6</v>
      </c>
      <c r="H72" s="37">
        <f>F72*G72/1000</f>
        <v>7.4880000000000004</v>
      </c>
      <c r="I72" s="38">
        <f>F72/12*G72</f>
        <v>624</v>
      </c>
      <c r="J72" s="38">
        <f>F72/12*G72</f>
        <v>624</v>
      </c>
      <c r="K72" s="38">
        <f>F72/12*G72</f>
        <v>624</v>
      </c>
      <c r="L72" s="38">
        <f>F72/12*G72</f>
        <v>624</v>
      </c>
      <c r="M72" s="38">
        <f>F72/12*G72</f>
        <v>624</v>
      </c>
      <c r="N72" s="38">
        <f>F72/12*G72</f>
        <v>624</v>
      </c>
      <c r="O72" s="38">
        <f>F72/12*G72</f>
        <v>624</v>
      </c>
      <c r="P72" s="38">
        <f>F72/12*G72</f>
        <v>624</v>
      </c>
      <c r="Q72" s="38">
        <f>F72/12*G72</f>
        <v>624</v>
      </c>
      <c r="R72" s="38">
        <v>0</v>
      </c>
      <c r="S72" s="38">
        <v>0</v>
      </c>
      <c r="T72" s="38">
        <v>0</v>
      </c>
      <c r="U72" s="38">
        <f>SUM(I72:T72)</f>
        <v>5616</v>
      </c>
    </row>
    <row r="73" spans="1:21">
      <c r="A73" s="30"/>
      <c r="B73" s="13" t="s">
        <v>132</v>
      </c>
      <c r="C73" s="30"/>
      <c r="D73" s="11"/>
      <c r="E73" s="35"/>
      <c r="F73" s="36"/>
      <c r="G73" s="36"/>
      <c r="H73" s="37" t="s">
        <v>66</v>
      </c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38"/>
    </row>
    <row r="74" spans="1:21" ht="21.75" customHeight="1">
      <c r="A74" s="30" t="s">
        <v>133</v>
      </c>
      <c r="B74" s="11" t="s">
        <v>134</v>
      </c>
      <c r="C74" s="30" t="s">
        <v>110</v>
      </c>
      <c r="D74" s="11" t="s">
        <v>58</v>
      </c>
      <c r="E74" s="35">
        <v>2</v>
      </c>
      <c r="F74" s="36">
        <f>SUM(E74)</f>
        <v>2</v>
      </c>
      <c r="G74" s="69">
        <v>254.16</v>
      </c>
      <c r="H74" s="37">
        <f t="shared" ref="H74:H98" si="8">SUM(F74*G74/1000)</f>
        <v>0.50831999999999999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f>SUM(I74:T74)</f>
        <v>0</v>
      </c>
    </row>
    <row r="75" spans="1:21" ht="12.75" hidden="1" customHeight="1">
      <c r="A75" s="30" t="s">
        <v>135</v>
      </c>
      <c r="B75" s="11" t="s">
        <v>136</v>
      </c>
      <c r="C75" s="30" t="s">
        <v>137</v>
      </c>
      <c r="D75" s="11" t="s">
        <v>49</v>
      </c>
      <c r="E75" s="35"/>
      <c r="F75" s="36"/>
      <c r="G75" s="70">
        <v>10305.030000000001</v>
      </c>
      <c r="H75" s="37">
        <f t="shared" si="8"/>
        <v>0</v>
      </c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38"/>
    </row>
    <row r="76" spans="1:21" ht="12.75" hidden="1" customHeight="1">
      <c r="A76" s="30" t="s">
        <v>138</v>
      </c>
      <c r="B76" s="11" t="s">
        <v>139</v>
      </c>
      <c r="C76" s="30" t="s">
        <v>140</v>
      </c>
      <c r="D76" s="11" t="s">
        <v>49</v>
      </c>
      <c r="E76" s="35"/>
      <c r="F76" s="36"/>
      <c r="G76" s="70">
        <v>1854.76</v>
      </c>
      <c r="H76" s="37">
        <f t="shared" si="8"/>
        <v>0</v>
      </c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38"/>
    </row>
    <row r="77" spans="1:21">
      <c r="A77" s="71"/>
      <c r="B77" s="16" t="s">
        <v>141</v>
      </c>
      <c r="C77" s="71"/>
      <c r="D77" s="72"/>
      <c r="E77" s="73"/>
      <c r="F77" s="74"/>
      <c r="G77" s="74"/>
      <c r="H77" s="75" t="s">
        <v>66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38"/>
    </row>
    <row r="78" spans="1:21" ht="12.75" customHeight="1">
      <c r="A78" s="25" t="s">
        <v>142</v>
      </c>
      <c r="B78" s="17" t="s">
        <v>143</v>
      </c>
      <c r="C78" s="25" t="s">
        <v>110</v>
      </c>
      <c r="D78" s="9" t="s">
        <v>58</v>
      </c>
      <c r="E78" s="76">
        <v>15</v>
      </c>
      <c r="F78" s="36">
        <v>15</v>
      </c>
      <c r="G78" s="56">
        <v>237.74</v>
      </c>
      <c r="H78" s="77">
        <f t="shared" si="8"/>
        <v>3.5661000000000005</v>
      </c>
      <c r="I78" s="38">
        <f>G78*2</f>
        <v>475.48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f t="shared" ref="U78:U86" si="9">SUM(I78:T78)</f>
        <v>475.48</v>
      </c>
    </row>
    <row r="79" spans="1:21" ht="12.75" customHeight="1">
      <c r="A79" s="25" t="s">
        <v>144</v>
      </c>
      <c r="B79" s="17" t="s">
        <v>145</v>
      </c>
      <c r="C79" s="25" t="s">
        <v>110</v>
      </c>
      <c r="D79" s="9" t="s">
        <v>58</v>
      </c>
      <c r="E79" s="76">
        <v>10</v>
      </c>
      <c r="F79" s="36">
        <v>10</v>
      </c>
      <c r="G79" s="56">
        <v>81.510000000000005</v>
      </c>
      <c r="H79" s="77">
        <f t="shared" si="8"/>
        <v>0.81510000000000005</v>
      </c>
      <c r="I79" s="38">
        <f>G79</f>
        <v>81.510000000000005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f t="shared" si="9"/>
        <v>81.510000000000005</v>
      </c>
    </row>
    <row r="80" spans="1:21" s="2" customFormat="1">
      <c r="A80" s="78" t="s">
        <v>146</v>
      </c>
      <c r="B80" s="17" t="s">
        <v>147</v>
      </c>
      <c r="C80" s="78" t="s">
        <v>148</v>
      </c>
      <c r="D80" s="9" t="s">
        <v>49</v>
      </c>
      <c r="E80" s="35">
        <v>17532</v>
      </c>
      <c r="F80" s="57">
        <f>SUM(E80/100)</f>
        <v>175.32</v>
      </c>
      <c r="G80" s="56">
        <v>226.79</v>
      </c>
      <c r="H80" s="77">
        <f t="shared" si="8"/>
        <v>39.760822799999993</v>
      </c>
      <c r="I80" s="55">
        <v>0</v>
      </c>
      <c r="J80" s="55">
        <v>0</v>
      </c>
      <c r="K80" s="55">
        <v>0</v>
      </c>
      <c r="L80" s="55">
        <v>0</v>
      </c>
      <c r="M80" s="55">
        <f>F80*G80</f>
        <v>39760.822799999994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38">
        <f t="shared" si="9"/>
        <v>39760.822799999994</v>
      </c>
    </row>
    <row r="81" spans="1:21" ht="25.5">
      <c r="A81" s="25" t="s">
        <v>149</v>
      </c>
      <c r="B81" s="17" t="s">
        <v>150</v>
      </c>
      <c r="C81" s="25" t="s">
        <v>151</v>
      </c>
      <c r="D81" s="9"/>
      <c r="E81" s="35">
        <v>17532</v>
      </c>
      <c r="F81" s="56">
        <f>SUM(E81/1000)</f>
        <v>17.532</v>
      </c>
      <c r="G81" s="56">
        <v>176.61</v>
      </c>
      <c r="H81" s="77">
        <f t="shared" si="8"/>
        <v>3.0963265199999999</v>
      </c>
      <c r="I81" s="38">
        <v>0</v>
      </c>
      <c r="J81" s="38">
        <v>0</v>
      </c>
      <c r="K81" s="38">
        <v>0</v>
      </c>
      <c r="L81" s="38">
        <v>0</v>
      </c>
      <c r="M81" s="38">
        <f>F81*G81</f>
        <v>3096.3265200000001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f t="shared" si="9"/>
        <v>3096.3265200000001</v>
      </c>
    </row>
    <row r="82" spans="1:21">
      <c r="A82" s="25" t="s">
        <v>152</v>
      </c>
      <c r="B82" s="17" t="s">
        <v>153</v>
      </c>
      <c r="C82" s="25" t="s">
        <v>154</v>
      </c>
      <c r="D82" s="9" t="s">
        <v>49</v>
      </c>
      <c r="E82" s="35">
        <v>1365</v>
      </c>
      <c r="F82" s="56">
        <f>SUM(E82/100)</f>
        <v>13.65</v>
      </c>
      <c r="G82" s="56">
        <v>2217.7800000000002</v>
      </c>
      <c r="H82" s="77">
        <f t="shared" si="8"/>
        <v>30.272697000000004</v>
      </c>
      <c r="I82" s="38">
        <v>0</v>
      </c>
      <c r="J82" s="38">
        <v>0</v>
      </c>
      <c r="K82" s="38">
        <v>0</v>
      </c>
      <c r="L82" s="38">
        <v>0</v>
      </c>
      <c r="M82" s="38">
        <f>F82*G82</f>
        <v>30272.697000000004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f t="shared" si="9"/>
        <v>30272.697000000004</v>
      </c>
    </row>
    <row r="83" spans="1:21">
      <c r="A83" s="25"/>
      <c r="B83" s="18" t="s">
        <v>205</v>
      </c>
      <c r="C83" s="25" t="s">
        <v>56</v>
      </c>
      <c r="D83" s="9"/>
      <c r="E83" s="35">
        <v>15.6</v>
      </c>
      <c r="F83" s="56">
        <f>SUM(E83)</f>
        <v>15.6</v>
      </c>
      <c r="G83" s="56">
        <v>42.67</v>
      </c>
      <c r="H83" s="77">
        <f t="shared" si="8"/>
        <v>0.66565200000000002</v>
      </c>
      <c r="I83" s="38">
        <v>0</v>
      </c>
      <c r="J83" s="38">
        <v>0</v>
      </c>
      <c r="K83" s="38">
        <v>0</v>
      </c>
      <c r="L83" s="38">
        <v>0</v>
      </c>
      <c r="M83" s="38">
        <f>F83*G83</f>
        <v>665.65200000000004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f t="shared" si="9"/>
        <v>665.65200000000004</v>
      </c>
    </row>
    <row r="84" spans="1:21" ht="25.5">
      <c r="A84" s="25"/>
      <c r="B84" s="18" t="s">
        <v>206</v>
      </c>
      <c r="C84" s="25" t="s">
        <v>56</v>
      </c>
      <c r="D84" s="9"/>
      <c r="E84" s="35">
        <v>15.6</v>
      </c>
      <c r="F84" s="56">
        <f>SUM(E84)</f>
        <v>15.6</v>
      </c>
      <c r="G84" s="56">
        <v>39.81</v>
      </c>
      <c r="H84" s="77">
        <f t="shared" si="8"/>
        <v>0.62103600000000003</v>
      </c>
      <c r="I84" s="38">
        <v>0</v>
      </c>
      <c r="J84" s="38">
        <v>0</v>
      </c>
      <c r="K84" s="38">
        <v>0</v>
      </c>
      <c r="L84" s="38">
        <v>0</v>
      </c>
      <c r="M84" s="38">
        <f>F84*G84</f>
        <v>621.03600000000006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f t="shared" si="9"/>
        <v>621.03600000000006</v>
      </c>
    </row>
    <row r="85" spans="1:21">
      <c r="A85" s="25" t="s">
        <v>155</v>
      </c>
      <c r="B85" s="9" t="s">
        <v>156</v>
      </c>
      <c r="C85" s="25" t="s">
        <v>157</v>
      </c>
      <c r="D85" s="9" t="s">
        <v>49</v>
      </c>
      <c r="E85" s="76">
        <v>4</v>
      </c>
      <c r="F85" s="36">
        <f>SUM(E85)</f>
        <v>4</v>
      </c>
      <c r="G85" s="56">
        <v>53.32</v>
      </c>
      <c r="H85" s="77">
        <f t="shared" si="8"/>
        <v>0.21328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f>F85*G85</f>
        <v>213.28</v>
      </c>
      <c r="R85" s="38">
        <v>0</v>
      </c>
      <c r="S85" s="38">
        <v>0</v>
      </c>
      <c r="T85" s="38">
        <v>0</v>
      </c>
      <c r="U85" s="38">
        <f t="shared" si="9"/>
        <v>213.28</v>
      </c>
    </row>
    <row r="86" spans="1:21" ht="25.5">
      <c r="A86" s="25"/>
      <c r="B86" s="9" t="s">
        <v>207</v>
      </c>
      <c r="C86" s="25" t="s">
        <v>157</v>
      </c>
      <c r="D86" s="9" t="s">
        <v>195</v>
      </c>
      <c r="E86" s="76">
        <v>1</v>
      </c>
      <c r="F86" s="68">
        <v>12</v>
      </c>
      <c r="G86" s="56">
        <v>711</v>
      </c>
      <c r="H86" s="77">
        <v>8</v>
      </c>
      <c r="I86" s="38">
        <f>F86/12*G86</f>
        <v>711</v>
      </c>
      <c r="J86" s="38">
        <f>F86/12*G86</f>
        <v>711</v>
      </c>
      <c r="K86" s="38">
        <f>F86/12*G86</f>
        <v>711</v>
      </c>
      <c r="L86" s="38">
        <f>F86/12*G86</f>
        <v>711</v>
      </c>
      <c r="M86" s="38">
        <f>E86*G86</f>
        <v>711</v>
      </c>
      <c r="N86" s="38">
        <f>F86/12*G86</f>
        <v>711</v>
      </c>
      <c r="O86" s="38">
        <f>F86/12*G86</f>
        <v>711</v>
      </c>
      <c r="P86" s="38">
        <f>F86/12*G86</f>
        <v>711</v>
      </c>
      <c r="Q86" s="38">
        <f>F86/12*G86</f>
        <v>711</v>
      </c>
      <c r="R86" s="38">
        <v>0</v>
      </c>
      <c r="S86" s="38">
        <v>0</v>
      </c>
      <c r="T86" s="38">
        <v>0</v>
      </c>
      <c r="U86" s="38">
        <f t="shared" si="9"/>
        <v>6399</v>
      </c>
    </row>
    <row r="87" spans="1:21">
      <c r="A87" s="25"/>
      <c r="B87" s="19" t="s">
        <v>158</v>
      </c>
      <c r="C87" s="25"/>
      <c r="D87" s="9"/>
      <c r="E87" s="76"/>
      <c r="F87" s="56"/>
      <c r="G87" s="56"/>
      <c r="H87" s="77" t="s">
        <v>66</v>
      </c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38"/>
    </row>
    <row r="88" spans="1:21" ht="25.5">
      <c r="A88" s="25" t="s">
        <v>223</v>
      </c>
      <c r="B88" s="9" t="s">
        <v>224</v>
      </c>
      <c r="C88" s="25" t="s">
        <v>52</v>
      </c>
      <c r="D88" s="9" t="s">
        <v>58</v>
      </c>
      <c r="E88" s="76">
        <v>2</v>
      </c>
      <c r="F88" s="56">
        <v>2</v>
      </c>
      <c r="G88" s="56">
        <v>838.81</v>
      </c>
      <c r="H88" s="77">
        <f>G88*F88/1000</f>
        <v>1.6776199999999999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f>SUM(I88:T88)</f>
        <v>0</v>
      </c>
    </row>
    <row r="89" spans="1:21">
      <c r="A89" s="25" t="s">
        <v>225</v>
      </c>
      <c r="B89" s="9" t="s">
        <v>226</v>
      </c>
      <c r="C89" s="25" t="s">
        <v>227</v>
      </c>
      <c r="D89" s="9"/>
      <c r="E89" s="76">
        <v>1</v>
      </c>
      <c r="F89" s="56">
        <v>1</v>
      </c>
      <c r="G89" s="56">
        <v>1000</v>
      </c>
      <c r="H89" s="77">
        <f>G89*F89/1000</f>
        <v>1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f>SUM(I89:T89)</f>
        <v>0</v>
      </c>
    </row>
    <row r="90" spans="1:21">
      <c r="A90" s="25" t="s">
        <v>159</v>
      </c>
      <c r="B90" s="9" t="s">
        <v>160</v>
      </c>
      <c r="C90" s="25" t="s">
        <v>161</v>
      </c>
      <c r="D90" s="9"/>
      <c r="E90" s="76">
        <v>2</v>
      </c>
      <c r="F90" s="56">
        <v>0.2</v>
      </c>
      <c r="G90" s="56">
        <v>501.62</v>
      </c>
      <c r="H90" s="77">
        <f t="shared" si="8"/>
        <v>0.10032400000000001</v>
      </c>
      <c r="I90" s="38">
        <v>0</v>
      </c>
      <c r="J90" s="38">
        <v>0</v>
      </c>
      <c r="K90" s="38">
        <v>0</v>
      </c>
      <c r="L90" s="38">
        <v>0</v>
      </c>
      <c r="M90" s="38">
        <f>G90*0.1</f>
        <v>50.162000000000006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f>SUM(I90:T90)</f>
        <v>50.162000000000006</v>
      </c>
    </row>
    <row r="91" spans="1:21" hidden="1">
      <c r="A91" s="25" t="s">
        <v>162</v>
      </c>
      <c r="B91" s="9" t="s">
        <v>163</v>
      </c>
      <c r="C91" s="25" t="s">
        <v>110</v>
      </c>
      <c r="D91" s="9"/>
      <c r="E91" s="76"/>
      <c r="F91" s="56"/>
      <c r="G91" s="56" t="s">
        <v>66</v>
      </c>
      <c r="H91" s="77">
        <v>0</v>
      </c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38"/>
    </row>
    <row r="92" spans="1:21" hidden="1">
      <c r="A92" s="25" t="s">
        <v>164</v>
      </c>
      <c r="B92" s="9" t="s">
        <v>165</v>
      </c>
      <c r="C92" s="25" t="s">
        <v>110</v>
      </c>
      <c r="D92" s="9"/>
      <c r="E92" s="76"/>
      <c r="F92" s="56"/>
      <c r="G92" s="56">
        <v>65.72</v>
      </c>
      <c r="H92" s="77">
        <f t="shared" si="8"/>
        <v>0</v>
      </c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38"/>
    </row>
    <row r="93" spans="1:21" hidden="1">
      <c r="A93" s="25" t="s">
        <v>166</v>
      </c>
      <c r="B93" s="9" t="s">
        <v>167</v>
      </c>
      <c r="C93" s="25" t="s">
        <v>110</v>
      </c>
      <c r="D93" s="9"/>
      <c r="E93" s="76"/>
      <c r="F93" s="56"/>
      <c r="G93" s="56">
        <v>82.33</v>
      </c>
      <c r="H93" s="77">
        <f t="shared" si="8"/>
        <v>0</v>
      </c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38"/>
    </row>
    <row r="94" spans="1:21">
      <c r="A94" s="25" t="s">
        <v>228</v>
      </c>
      <c r="B94" s="9" t="s">
        <v>229</v>
      </c>
      <c r="C94" s="25" t="s">
        <v>52</v>
      </c>
      <c r="D94" s="9"/>
      <c r="E94" s="76">
        <v>1</v>
      </c>
      <c r="F94" s="68">
        <v>1</v>
      </c>
      <c r="G94" s="56">
        <v>852.99</v>
      </c>
      <c r="H94" s="77">
        <f>SUM(G94*F94/1000)</f>
        <v>0.85299000000000003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f>SUM(I94:T94)</f>
        <v>0</v>
      </c>
    </row>
    <row r="95" spans="1:21">
      <c r="A95" s="25" t="s">
        <v>168</v>
      </c>
      <c r="B95" s="9" t="s">
        <v>169</v>
      </c>
      <c r="C95" s="25" t="s">
        <v>110</v>
      </c>
      <c r="D95" s="9"/>
      <c r="E95" s="76">
        <v>1</v>
      </c>
      <c r="F95" s="36">
        <f>SUM(E95)</f>
        <v>1</v>
      </c>
      <c r="G95" s="56">
        <v>358.51</v>
      </c>
      <c r="H95" s="77">
        <f t="shared" si="8"/>
        <v>0.35851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f>SUM(I95:T95)</f>
        <v>0</v>
      </c>
    </row>
    <row r="96" spans="1:21" hidden="1">
      <c r="A96" s="25" t="s">
        <v>170</v>
      </c>
      <c r="B96" s="9" t="s">
        <v>171</v>
      </c>
      <c r="C96" s="25" t="s">
        <v>172</v>
      </c>
      <c r="D96" s="9"/>
      <c r="E96" s="76"/>
      <c r="F96" s="56"/>
      <c r="G96" s="56">
        <v>31.54</v>
      </c>
      <c r="H96" s="77">
        <f t="shared" si="8"/>
        <v>0</v>
      </c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38"/>
    </row>
    <row r="97" spans="1:21">
      <c r="A97" s="25"/>
      <c r="B97" s="79" t="s">
        <v>173</v>
      </c>
      <c r="C97" s="25"/>
      <c r="D97" s="9"/>
      <c r="E97" s="76"/>
      <c r="F97" s="56"/>
      <c r="G97" s="56" t="s">
        <v>66</v>
      </c>
      <c r="H97" s="77" t="s">
        <v>66</v>
      </c>
      <c r="I97" s="4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2" customFormat="1">
      <c r="A98" s="78" t="s">
        <v>174</v>
      </c>
      <c r="B98" s="80" t="s">
        <v>175</v>
      </c>
      <c r="C98" s="78" t="s">
        <v>154</v>
      </c>
      <c r="D98" s="17"/>
      <c r="E98" s="81"/>
      <c r="F98" s="57">
        <v>0.6</v>
      </c>
      <c r="G98" s="57">
        <v>2759.44</v>
      </c>
      <c r="H98" s="77">
        <f t="shared" si="8"/>
        <v>1.655664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38">
        <f>SUM(I98:T98)</f>
        <v>0</v>
      </c>
    </row>
    <row r="99" spans="1:21" s="24" customFormat="1">
      <c r="A99" s="82"/>
      <c r="B99" s="23" t="s">
        <v>37</v>
      </c>
      <c r="C99" s="83"/>
      <c r="D99" s="84"/>
      <c r="E99" s="85"/>
      <c r="F99" s="86"/>
      <c r="G99" s="86"/>
      <c r="H99" s="87">
        <f>SUM(H63:H98)</f>
        <v>124.71340268000002</v>
      </c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86">
        <f>SUM(U63:U98)</f>
        <v>97408.312239999985</v>
      </c>
    </row>
    <row r="100" spans="1:21">
      <c r="A100" s="162" t="s">
        <v>235</v>
      </c>
      <c r="B100" s="11" t="s">
        <v>236</v>
      </c>
      <c r="C100" s="88" t="s">
        <v>237</v>
      </c>
      <c r="D100" s="89"/>
      <c r="E100" s="163"/>
      <c r="F100" s="90">
        <f>80/10</f>
        <v>8</v>
      </c>
      <c r="G100" s="91">
        <v>9</v>
      </c>
      <c r="H100" s="77">
        <f>G100*F100/1000</f>
        <v>7.1999999999999995E-2</v>
      </c>
      <c r="I100" s="38">
        <v>0</v>
      </c>
      <c r="J100" s="38">
        <v>0</v>
      </c>
      <c r="K100" s="38">
        <v>0</v>
      </c>
      <c r="L100" s="38">
        <v>0</v>
      </c>
      <c r="M100" s="39">
        <v>0</v>
      </c>
      <c r="N100" s="38">
        <f>F100*G100</f>
        <v>72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f>SUM(I100:T100)</f>
        <v>72</v>
      </c>
    </row>
    <row r="101" spans="1:21" ht="19.149999999999999" customHeight="1">
      <c r="A101" s="92"/>
      <c r="B101" s="12" t="s">
        <v>176</v>
      </c>
      <c r="C101" s="25" t="s">
        <v>177</v>
      </c>
      <c r="D101" s="93"/>
      <c r="E101" s="56">
        <v>3455.9</v>
      </c>
      <c r="F101" s="56">
        <f>SUM(E101*12)</f>
        <v>41470.800000000003</v>
      </c>
      <c r="G101" s="94">
        <v>2.54</v>
      </c>
      <c r="H101" s="77">
        <f>SUM(F101*G101/1000)</f>
        <v>105.33583200000001</v>
      </c>
      <c r="I101" s="38">
        <f>F101/12*G101</f>
        <v>8777.9860000000008</v>
      </c>
      <c r="J101" s="38">
        <f>F101/12*G101</f>
        <v>8777.9860000000008</v>
      </c>
      <c r="K101" s="38">
        <f>F101/12*G101</f>
        <v>8777.9860000000008</v>
      </c>
      <c r="L101" s="38">
        <f>F101/12*G101</f>
        <v>8777.9860000000008</v>
      </c>
      <c r="M101" s="38">
        <f>F101/12*G101</f>
        <v>8777.9860000000008</v>
      </c>
      <c r="N101" s="38">
        <f>F101/12*G101</f>
        <v>8777.9860000000008</v>
      </c>
      <c r="O101" s="38">
        <f>F101/12*G101</f>
        <v>8777.9860000000008</v>
      </c>
      <c r="P101" s="38">
        <f>F101/12*G101</f>
        <v>8777.9860000000008</v>
      </c>
      <c r="Q101" s="38">
        <f>F101/12*G101</f>
        <v>8777.9860000000008</v>
      </c>
      <c r="R101" s="38">
        <v>0</v>
      </c>
      <c r="S101" s="38">
        <v>0</v>
      </c>
      <c r="T101" s="38">
        <v>0</v>
      </c>
      <c r="U101" s="38">
        <f>SUM(I101:T101)</f>
        <v>79001.874000000025</v>
      </c>
    </row>
    <row r="102" spans="1:21" hidden="1">
      <c r="A102" s="25" t="s">
        <v>178</v>
      </c>
      <c r="B102" s="9" t="s">
        <v>179</v>
      </c>
      <c r="C102" s="71" t="s">
        <v>14</v>
      </c>
      <c r="D102" s="9"/>
      <c r="E102" s="76">
        <v>30</v>
      </c>
      <c r="F102" s="56">
        <f>E102/100</f>
        <v>0.3</v>
      </c>
      <c r="G102" s="56">
        <v>0</v>
      </c>
      <c r="H102" s="77">
        <f>F102*G102/1000</f>
        <v>0</v>
      </c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38"/>
    </row>
    <row r="103" spans="1:21" s="22" customFormat="1">
      <c r="A103" s="95"/>
      <c r="B103" s="23" t="s">
        <v>37</v>
      </c>
      <c r="C103" s="96"/>
      <c r="D103" s="97"/>
      <c r="E103" s="98"/>
      <c r="F103" s="99"/>
      <c r="G103" s="100"/>
      <c r="H103" s="47">
        <f>SUM(H100:H102)</f>
        <v>105.40783200000001</v>
      </c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99">
        <f>SUM(U100:U102)</f>
        <v>79073.874000000025</v>
      </c>
    </row>
    <row r="104" spans="1:21" ht="33.75" customHeight="1">
      <c r="A104" s="26"/>
      <c r="B104" s="9" t="s">
        <v>180</v>
      </c>
      <c r="C104" s="25"/>
      <c r="D104" s="101"/>
      <c r="E104" s="35">
        <f>E101</f>
        <v>3455.9</v>
      </c>
      <c r="F104" s="56">
        <f>E104*12</f>
        <v>41470.800000000003</v>
      </c>
      <c r="G104" s="56">
        <v>2.0499999999999998</v>
      </c>
      <c r="H104" s="77">
        <f>F104*G104/1000</f>
        <v>85.015140000000002</v>
      </c>
      <c r="I104" s="38">
        <f>F104/12*G104</f>
        <v>7084.5949999999993</v>
      </c>
      <c r="J104" s="38">
        <f>F104/12*G104</f>
        <v>7084.5949999999993</v>
      </c>
      <c r="K104" s="38">
        <f>F104/12*G104</f>
        <v>7084.5949999999993</v>
      </c>
      <c r="L104" s="38">
        <f>F104/12*G104</f>
        <v>7084.5949999999993</v>
      </c>
      <c r="M104" s="38">
        <f>F104/12*G104</f>
        <v>7084.5949999999993</v>
      </c>
      <c r="N104" s="38">
        <f>F104/12*G104</f>
        <v>7084.5949999999993</v>
      </c>
      <c r="O104" s="38">
        <f>F104/12*G104</f>
        <v>7084.5949999999993</v>
      </c>
      <c r="P104" s="38">
        <f>F104/12*G104</f>
        <v>7084.5949999999993</v>
      </c>
      <c r="Q104" s="38">
        <f>F104/12*G104</f>
        <v>7084.5949999999993</v>
      </c>
      <c r="R104" s="38">
        <v>0</v>
      </c>
      <c r="S104" s="38">
        <v>0</v>
      </c>
      <c r="T104" s="38">
        <v>0</v>
      </c>
      <c r="U104" s="38">
        <f>SUM(I104:T104)</f>
        <v>63761.355000000003</v>
      </c>
    </row>
    <row r="105" spans="1:21" s="22" customFormat="1">
      <c r="A105" s="95"/>
      <c r="B105" s="102" t="s">
        <v>181</v>
      </c>
      <c r="C105" s="103"/>
      <c r="D105" s="102"/>
      <c r="E105" s="99"/>
      <c r="F105" s="99"/>
      <c r="G105" s="99"/>
      <c r="H105" s="87">
        <f>SUM(H104)</f>
        <v>85.015140000000002</v>
      </c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164">
        <f>SUM(U104)</f>
        <v>63761.355000000003</v>
      </c>
    </row>
    <row r="106" spans="1:21" s="22" customFormat="1">
      <c r="A106" s="95"/>
      <c r="B106" s="102" t="s">
        <v>182</v>
      </c>
      <c r="C106" s="104"/>
      <c r="D106" s="105"/>
      <c r="E106" s="106"/>
      <c r="F106" s="106"/>
      <c r="G106" s="106"/>
      <c r="H106" s="87">
        <f>SUM(H105+H103+H99+H60+H46+H33)</f>
        <v>629.64413651099994</v>
      </c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64">
        <f>SUM(U105+U103+U99+U60+U46+U33+U22)</f>
        <v>570680.43765049998</v>
      </c>
    </row>
    <row r="107" spans="1:21">
      <c r="A107" s="26"/>
      <c r="B107" s="101" t="s">
        <v>183</v>
      </c>
      <c r="C107" s="25"/>
      <c r="D107" s="101"/>
      <c r="E107" s="56"/>
      <c r="F107" s="56"/>
      <c r="G107" s="56" t="s">
        <v>184</v>
      </c>
      <c r="H107" s="108">
        <f>E104</f>
        <v>3455.9</v>
      </c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38"/>
    </row>
    <row r="108" spans="1:21" s="22" customFormat="1">
      <c r="A108" s="95"/>
      <c r="B108" s="105" t="s">
        <v>185</v>
      </c>
      <c r="C108" s="104"/>
      <c r="D108" s="105"/>
      <c r="E108" s="106"/>
      <c r="F108" s="106"/>
      <c r="G108" s="106"/>
      <c r="H108" s="109">
        <f>SUM(H106/H107/12*1000)</f>
        <v>15.182830726945223</v>
      </c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65"/>
    </row>
    <row r="109" spans="1:21">
      <c r="A109" s="26"/>
      <c r="B109" s="101"/>
      <c r="C109" s="25"/>
      <c r="D109" s="101"/>
      <c r="E109" s="56"/>
      <c r="F109" s="56"/>
      <c r="G109" s="56"/>
      <c r="H109" s="11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166"/>
    </row>
    <row r="110" spans="1:21">
      <c r="A110" s="26"/>
      <c r="B110" s="79" t="s">
        <v>186</v>
      </c>
      <c r="C110" s="25"/>
      <c r="D110" s="101"/>
      <c r="E110" s="56"/>
      <c r="F110" s="56"/>
      <c r="G110" s="56"/>
      <c r="H110" s="56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38"/>
    </row>
    <row r="111" spans="1:21">
      <c r="A111" s="26" t="s">
        <v>232</v>
      </c>
      <c r="B111" s="101" t="s">
        <v>233</v>
      </c>
      <c r="C111" s="25" t="s">
        <v>234</v>
      </c>
      <c r="D111" s="101"/>
      <c r="E111" s="56"/>
      <c r="F111" s="56">
        <v>5</v>
      </c>
      <c r="G111" s="56">
        <v>1372</v>
      </c>
      <c r="H111" s="77">
        <f>G111*F111/1000</f>
        <v>6.86</v>
      </c>
      <c r="I111" s="38">
        <v>0</v>
      </c>
      <c r="J111" s="38">
        <f>G111*4</f>
        <v>5488</v>
      </c>
      <c r="K111" s="38">
        <v>0</v>
      </c>
      <c r="L111" s="38">
        <f>G111</f>
        <v>1372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f>SUM(I111:T111)</f>
        <v>6860</v>
      </c>
    </row>
    <row r="112" spans="1:21" ht="25.5">
      <c r="A112" s="168" t="s">
        <v>243</v>
      </c>
      <c r="B112" s="169" t="s">
        <v>242</v>
      </c>
      <c r="C112" s="170" t="s">
        <v>110</v>
      </c>
      <c r="D112" s="101"/>
      <c r="E112" s="56"/>
      <c r="F112" s="56">
        <v>1</v>
      </c>
      <c r="G112" s="56">
        <v>1992.08</v>
      </c>
      <c r="H112" s="77">
        <f>F112*G112/1000</f>
        <v>1.9920799999999999</v>
      </c>
      <c r="I112" s="38">
        <v>0</v>
      </c>
      <c r="J112" s="38">
        <v>0</v>
      </c>
      <c r="K112" s="38">
        <v>0</v>
      </c>
      <c r="L112" s="38">
        <f>G112</f>
        <v>1992.08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f>SUM(I112:T112)</f>
        <v>1992.08</v>
      </c>
    </row>
    <row r="113" spans="1:21" ht="25.5">
      <c r="A113" s="170" t="s">
        <v>244</v>
      </c>
      <c r="B113" s="169" t="s">
        <v>245</v>
      </c>
      <c r="C113" s="170" t="s">
        <v>246</v>
      </c>
      <c r="D113" s="101"/>
      <c r="E113" s="56"/>
      <c r="F113" s="56">
        <v>5</v>
      </c>
      <c r="G113" s="56">
        <v>704.82</v>
      </c>
      <c r="H113" s="77">
        <f t="shared" ref="H113:H114" si="10">G113*F113/1000</f>
        <v>3.5241000000000002</v>
      </c>
      <c r="I113" s="38">
        <v>0</v>
      </c>
      <c r="J113" s="38">
        <v>0</v>
      </c>
      <c r="K113" s="38">
        <v>0</v>
      </c>
      <c r="L113" s="38">
        <f>G113*3</f>
        <v>2114.46</v>
      </c>
      <c r="M113" s="38">
        <f>G113*2</f>
        <v>1409.64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f t="shared" ref="U113:U114" si="11">SUM(I113:T113)</f>
        <v>3524.1000000000004</v>
      </c>
    </row>
    <row r="114" spans="1:21">
      <c r="A114" s="168" t="s">
        <v>247</v>
      </c>
      <c r="B114" s="169" t="s">
        <v>248</v>
      </c>
      <c r="C114" s="170" t="s">
        <v>249</v>
      </c>
      <c r="D114" s="101"/>
      <c r="E114" s="56"/>
      <c r="F114" s="56">
        <v>30.5</v>
      </c>
      <c r="G114" s="56">
        <v>52.25</v>
      </c>
      <c r="H114" s="77">
        <f t="shared" si="10"/>
        <v>1.5936250000000001</v>
      </c>
      <c r="I114" s="38">
        <v>0</v>
      </c>
      <c r="J114" s="38">
        <v>0</v>
      </c>
      <c r="K114" s="38">
        <v>0</v>
      </c>
      <c r="L114" s="38">
        <f>G114*22.5</f>
        <v>1175.625</v>
      </c>
      <c r="M114" s="38">
        <f>G114*8</f>
        <v>418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f t="shared" si="11"/>
        <v>1593.625</v>
      </c>
    </row>
    <row r="115" spans="1:21" ht="25.5">
      <c r="A115" s="171" t="s">
        <v>232</v>
      </c>
      <c r="B115" s="172" t="s">
        <v>250</v>
      </c>
      <c r="C115" s="173" t="s">
        <v>251</v>
      </c>
      <c r="D115" s="101"/>
      <c r="E115" s="56"/>
      <c r="F115" s="56">
        <v>1</v>
      </c>
      <c r="G115" s="56">
        <v>350.1</v>
      </c>
      <c r="H115" s="77">
        <f>G115*F115/1000</f>
        <v>0.35010000000000002</v>
      </c>
      <c r="I115" s="38">
        <v>0</v>
      </c>
      <c r="J115" s="38">
        <v>0</v>
      </c>
      <c r="K115" s="38">
        <v>0</v>
      </c>
      <c r="L115" s="38">
        <v>0</v>
      </c>
      <c r="M115" s="38">
        <f>G115</f>
        <v>350.1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f>SUM(I115:T115)</f>
        <v>350.1</v>
      </c>
    </row>
    <row r="116" spans="1:21" ht="25.5">
      <c r="A116" s="171" t="s">
        <v>232</v>
      </c>
      <c r="B116" s="172" t="s">
        <v>252</v>
      </c>
      <c r="C116" s="173" t="s">
        <v>251</v>
      </c>
      <c r="D116" s="101"/>
      <c r="E116" s="56"/>
      <c r="F116" s="56">
        <v>1</v>
      </c>
      <c r="G116" s="56">
        <v>1678.06</v>
      </c>
      <c r="H116" s="77">
        <f>F116*G116/1000</f>
        <v>1.6780599999999999</v>
      </c>
      <c r="I116" s="38">
        <v>0</v>
      </c>
      <c r="J116" s="38">
        <v>0</v>
      </c>
      <c r="K116" s="38">
        <v>0</v>
      </c>
      <c r="L116" s="38">
        <v>0</v>
      </c>
      <c r="M116" s="38">
        <f>G116</f>
        <v>1678.06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f>SUM(I116:T116)</f>
        <v>1678.06</v>
      </c>
    </row>
    <row r="117" spans="1:21" s="22" customFormat="1">
      <c r="A117" s="111"/>
      <c r="B117" s="112" t="s">
        <v>187</v>
      </c>
      <c r="C117" s="111"/>
      <c r="D117" s="111"/>
      <c r="E117" s="107"/>
      <c r="F117" s="107"/>
      <c r="G117" s="107"/>
      <c r="H117" s="47">
        <f>SUM(H111:H116)</f>
        <v>15.997965000000001</v>
      </c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99">
        <f>SUM(U111:U116)</f>
        <v>15997.965</v>
      </c>
    </row>
    <row r="118" spans="1:21">
      <c r="A118" s="113"/>
      <c r="B118" s="114"/>
      <c r="C118" s="113"/>
      <c r="D118" s="113"/>
      <c r="E118" s="115"/>
      <c r="F118" s="115"/>
      <c r="G118" s="115"/>
      <c r="H118" s="116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167"/>
    </row>
    <row r="119" spans="1:21" ht="12" customHeight="1">
      <c r="A119" s="26"/>
      <c r="B119" s="19" t="s">
        <v>188</v>
      </c>
      <c r="C119" s="25"/>
      <c r="D119" s="101"/>
      <c r="E119" s="56"/>
      <c r="F119" s="56"/>
      <c r="G119" s="56"/>
      <c r="H119" s="117">
        <f>H117/E120/12*1000</f>
        <v>0.38576456205330012</v>
      </c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167"/>
    </row>
    <row r="120" spans="1:21" s="22" customFormat="1">
      <c r="A120" s="118"/>
      <c r="B120" s="119" t="s">
        <v>189</v>
      </c>
      <c r="C120" s="120"/>
      <c r="D120" s="119"/>
      <c r="E120" s="121">
        <v>3455.9</v>
      </c>
      <c r="F120" s="122">
        <f>SUM(E120*12)</f>
        <v>41470.800000000003</v>
      </c>
      <c r="G120" s="123">
        <f>H108+H119</f>
        <v>15.568595288998523</v>
      </c>
      <c r="H120" s="124">
        <f>SUM(F120*G120/1000)</f>
        <v>645.64210151099996</v>
      </c>
      <c r="I120" s="106">
        <f t="shared" ref="I120:R120" si="12">SUM(I11:I119)</f>
        <v>53077.173286999998</v>
      </c>
      <c r="J120" s="106">
        <f t="shared" si="12"/>
        <v>74313.62547699998</v>
      </c>
      <c r="K120" s="106">
        <f t="shared" si="12"/>
        <v>57566.493175000011</v>
      </c>
      <c r="L120" s="106">
        <f t="shared" si="12"/>
        <v>79283.929521499987</v>
      </c>
      <c r="M120" s="106">
        <f t="shared" si="12"/>
        <v>123889.023182</v>
      </c>
      <c r="N120" s="106">
        <f t="shared" si="12"/>
        <v>48029.235456000002</v>
      </c>
      <c r="O120" s="106">
        <f t="shared" si="12"/>
        <v>44216.836750000002</v>
      </c>
      <c r="P120" s="106">
        <f t="shared" si="12"/>
        <v>60522.278939999989</v>
      </c>
      <c r="Q120" s="106">
        <f t="shared" si="12"/>
        <v>45779.806861999998</v>
      </c>
      <c r="R120" s="106">
        <f t="shared" si="12"/>
        <v>0</v>
      </c>
      <c r="S120" s="106">
        <v>0</v>
      </c>
      <c r="T120" s="106">
        <v>0</v>
      </c>
      <c r="U120" s="99">
        <f>U106+U117</f>
        <v>586678.40265049995</v>
      </c>
    </row>
    <row r="121" spans="1:21" hidden="1">
      <c r="A121" s="125"/>
      <c r="B121" s="126"/>
      <c r="C121" s="126"/>
      <c r="D121" s="126"/>
      <c r="E121" s="127"/>
      <c r="F121" s="128"/>
      <c r="G121" s="129"/>
      <c r="H121" s="129"/>
      <c r="I121" s="130"/>
      <c r="J121" s="130"/>
      <c r="K121" s="130"/>
      <c r="L121" s="130"/>
      <c r="M121" s="130"/>
      <c r="N121" s="131"/>
      <c r="O121" s="131"/>
      <c r="P121" s="131"/>
      <c r="Q121" s="131"/>
      <c r="R121" s="131"/>
      <c r="S121" s="131"/>
      <c r="T121" s="131"/>
      <c r="U121" s="131"/>
    </row>
    <row r="122" spans="1:21" hidden="1">
      <c r="A122" s="132"/>
      <c r="B122" s="133"/>
      <c r="C122" s="134"/>
      <c r="D122" s="135"/>
      <c r="E122" s="136"/>
      <c r="F122" s="137"/>
      <c r="G122" s="137"/>
      <c r="H122" s="138"/>
      <c r="I122" s="130"/>
      <c r="J122" s="130"/>
      <c r="K122" s="130"/>
      <c r="L122" s="130"/>
      <c r="M122" s="130"/>
      <c r="N122" s="131"/>
      <c r="O122" s="131"/>
      <c r="P122" s="131"/>
      <c r="Q122" s="131"/>
      <c r="R122" s="131"/>
      <c r="S122" s="131"/>
      <c r="T122" s="131"/>
      <c r="U122" s="131"/>
    </row>
    <row r="123" spans="1:21" hidden="1">
      <c r="A123" s="132"/>
      <c r="B123" s="139" t="s">
        <v>190</v>
      </c>
      <c r="C123" s="139" t="s">
        <v>110</v>
      </c>
      <c r="D123" s="139" t="s">
        <v>191</v>
      </c>
      <c r="E123" s="140">
        <v>64</v>
      </c>
      <c r="F123" s="140">
        <v>64</v>
      </c>
      <c r="G123" s="141">
        <v>11.41</v>
      </c>
      <c r="H123" s="141">
        <f>G123*12*F123/1000</f>
        <v>8.7628800000000009</v>
      </c>
      <c r="I123" s="130"/>
      <c r="J123" s="130"/>
      <c r="K123" s="130"/>
      <c r="L123" s="130"/>
      <c r="M123" s="130"/>
      <c r="N123" s="131"/>
      <c r="O123" s="131"/>
      <c r="P123" s="131"/>
      <c r="Q123" s="131"/>
      <c r="R123" s="131"/>
      <c r="S123" s="131"/>
      <c r="T123" s="131"/>
      <c r="U123" s="131"/>
    </row>
    <row r="124" spans="1:21" hidden="1">
      <c r="A124" s="132"/>
      <c r="B124" s="139" t="s">
        <v>190</v>
      </c>
      <c r="C124" s="139" t="s">
        <v>110</v>
      </c>
      <c r="D124" s="139" t="s">
        <v>192</v>
      </c>
      <c r="E124" s="140">
        <v>64</v>
      </c>
      <c r="F124" s="140">
        <v>64</v>
      </c>
      <c r="G124" s="141">
        <v>18.98</v>
      </c>
      <c r="H124" s="141">
        <f>G124*12*F124/1000</f>
        <v>14.576639999999999</v>
      </c>
      <c r="I124" s="130"/>
      <c r="J124" s="130"/>
      <c r="K124" s="130"/>
      <c r="L124" s="130"/>
      <c r="M124" s="130"/>
      <c r="N124" s="131"/>
      <c r="O124" s="131"/>
      <c r="P124" s="131"/>
      <c r="Q124" s="131"/>
      <c r="R124" s="131"/>
      <c r="S124" s="131"/>
      <c r="T124" s="131"/>
      <c r="U124" s="131"/>
    </row>
    <row r="125" spans="1:21" hidden="1">
      <c r="A125" s="132"/>
      <c r="B125" s="142"/>
      <c r="C125" s="143"/>
      <c r="D125" s="144"/>
      <c r="E125" s="145"/>
      <c r="F125" s="146"/>
      <c r="G125" s="147"/>
      <c r="H125" s="148"/>
      <c r="I125" s="130"/>
      <c r="J125" s="130"/>
      <c r="K125" s="130"/>
      <c r="L125" s="130"/>
      <c r="M125" s="130"/>
      <c r="N125" s="131"/>
      <c r="O125" s="131"/>
      <c r="P125" s="131"/>
      <c r="Q125" s="131"/>
      <c r="R125" s="131"/>
      <c r="S125" s="131"/>
      <c r="T125" s="131"/>
      <c r="U125" s="131"/>
    </row>
    <row r="126" spans="1:21" hidden="1">
      <c r="A126" s="132"/>
      <c r="B126" s="142"/>
      <c r="C126" s="143"/>
      <c r="D126" s="144"/>
      <c r="E126" s="145"/>
      <c r="F126" s="146"/>
      <c r="G126" s="147"/>
      <c r="H126" s="148"/>
      <c r="I126" s="130"/>
      <c r="J126" s="130"/>
      <c r="K126" s="130"/>
      <c r="L126" s="130"/>
      <c r="M126" s="130"/>
      <c r="N126" s="131"/>
      <c r="O126" s="131"/>
      <c r="P126" s="131"/>
      <c r="Q126" s="131"/>
      <c r="R126" s="131"/>
      <c r="S126" s="131"/>
      <c r="T126" s="131"/>
      <c r="U126" s="131"/>
    </row>
    <row r="127" spans="1:21" hidden="1">
      <c r="A127" s="132"/>
      <c r="B127" s="142"/>
      <c r="C127" s="143"/>
      <c r="D127" s="144"/>
      <c r="E127" s="145"/>
      <c r="F127" s="146"/>
      <c r="G127" s="147"/>
      <c r="H127" s="148"/>
      <c r="I127" s="130"/>
      <c r="J127" s="130"/>
      <c r="K127" s="130"/>
      <c r="L127" s="130"/>
      <c r="M127" s="130"/>
      <c r="N127" s="131"/>
      <c r="O127" s="131"/>
      <c r="P127" s="131"/>
      <c r="Q127" s="131"/>
      <c r="R127" s="131"/>
      <c r="S127" s="131"/>
      <c r="T127" s="131"/>
      <c r="U127" s="131"/>
    </row>
    <row r="128" spans="1:21">
      <c r="A128" s="131"/>
      <c r="B128" s="131"/>
      <c r="C128" s="131"/>
      <c r="D128" s="131"/>
      <c r="E128" s="130"/>
      <c r="F128" s="130"/>
      <c r="G128" s="130"/>
      <c r="H128" s="130"/>
      <c r="I128" s="130"/>
      <c r="J128" s="130"/>
      <c r="K128" s="130"/>
      <c r="L128" s="130"/>
      <c r="M128" s="131"/>
      <c r="N128" s="130"/>
      <c r="O128" s="131"/>
      <c r="P128" s="131"/>
      <c r="Q128" s="131"/>
      <c r="R128" s="131"/>
      <c r="S128" s="131"/>
      <c r="T128" s="131"/>
      <c r="U128" s="131"/>
    </row>
    <row r="129" spans="1:21">
      <c r="A129" s="131"/>
      <c r="B129" s="131"/>
      <c r="C129" s="131"/>
      <c r="D129" s="131"/>
      <c r="E129" s="130"/>
      <c r="F129" s="130"/>
      <c r="G129" s="130"/>
      <c r="H129" s="130"/>
      <c r="I129" s="130"/>
      <c r="J129" s="149"/>
      <c r="K129" s="150"/>
      <c r="L129" s="149"/>
      <c r="M129" s="130"/>
      <c r="N129" s="131"/>
      <c r="O129" s="131"/>
      <c r="P129" s="131"/>
      <c r="Q129" s="131"/>
      <c r="R129" s="131"/>
      <c r="S129" s="131"/>
      <c r="T129" s="131"/>
      <c r="U129" s="131"/>
    </row>
    <row r="130" spans="1:21" ht="45">
      <c r="A130" s="131"/>
      <c r="B130" s="151" t="s">
        <v>238</v>
      </c>
      <c r="C130" s="187">
        <v>213945.71</v>
      </c>
      <c r="D130" s="175"/>
      <c r="E130" s="175"/>
      <c r="F130" s="176"/>
      <c r="G130" s="130"/>
      <c r="H130" s="130"/>
      <c r="I130" s="130"/>
      <c r="J130" s="149"/>
      <c r="K130" s="150"/>
      <c r="L130" s="149"/>
      <c r="M130" s="130"/>
      <c r="N130" s="131"/>
      <c r="O130" s="131"/>
      <c r="P130" s="131"/>
      <c r="Q130" s="131"/>
      <c r="R130" s="131"/>
      <c r="S130" s="131"/>
      <c r="T130" s="131"/>
      <c r="U130" s="131"/>
    </row>
    <row r="131" spans="1:21" ht="60">
      <c r="A131" s="131"/>
      <c r="B131" s="20" t="s">
        <v>255</v>
      </c>
      <c r="C131" s="177">
        <v>573101.81999999995</v>
      </c>
      <c r="D131" s="178"/>
      <c r="E131" s="178"/>
      <c r="F131" s="179"/>
      <c r="G131" s="130"/>
      <c r="H131" s="130"/>
      <c r="I131" s="130"/>
      <c r="J131" s="149"/>
      <c r="K131" s="150"/>
      <c r="L131" s="149"/>
      <c r="M131" s="130"/>
      <c r="N131" s="131"/>
      <c r="O131" s="131"/>
      <c r="P131" s="131"/>
      <c r="Q131" s="131"/>
      <c r="R131" s="131"/>
      <c r="S131" s="131"/>
      <c r="T131" s="131"/>
      <c r="U131" s="131"/>
    </row>
    <row r="132" spans="1:21" ht="45">
      <c r="A132" s="131"/>
      <c r="B132" s="20" t="s">
        <v>256</v>
      </c>
      <c r="C132" s="177">
        <f>SUM(U120-U117)</f>
        <v>570680.43765049998</v>
      </c>
      <c r="D132" s="178"/>
      <c r="E132" s="178"/>
      <c r="F132" s="179"/>
      <c r="G132" s="130"/>
      <c r="H132" s="130"/>
      <c r="I132" s="130"/>
      <c r="J132" s="149"/>
      <c r="K132" s="150"/>
      <c r="L132" s="149"/>
      <c r="M132" s="130"/>
      <c r="N132" s="131"/>
      <c r="O132" s="131"/>
      <c r="P132" s="131"/>
      <c r="Q132" s="131"/>
      <c r="R132" s="131"/>
      <c r="S132" s="131"/>
      <c r="T132" s="131"/>
      <c r="U132" s="131"/>
    </row>
    <row r="133" spans="1:21" ht="60">
      <c r="A133" s="131"/>
      <c r="B133" s="20" t="s">
        <v>257</v>
      </c>
      <c r="C133" s="177">
        <f>SUM(U117)</f>
        <v>15997.965</v>
      </c>
      <c r="D133" s="178"/>
      <c r="E133" s="178"/>
      <c r="F133" s="179"/>
      <c r="G133" s="130"/>
      <c r="H133" s="130"/>
      <c r="I133" s="130"/>
      <c r="J133" s="149"/>
      <c r="K133" s="150"/>
      <c r="L133" s="149"/>
      <c r="M133" s="130"/>
      <c r="N133" s="131"/>
      <c r="O133" s="131"/>
      <c r="P133" s="131"/>
      <c r="Q133" s="131"/>
      <c r="R133" s="131"/>
      <c r="S133" s="131"/>
      <c r="T133" s="131"/>
      <c r="U133" s="131"/>
    </row>
    <row r="134" spans="1:21" ht="45">
      <c r="A134" s="131"/>
      <c r="B134" s="157" t="s">
        <v>258</v>
      </c>
      <c r="C134" s="177">
        <v>537124.57999999996</v>
      </c>
      <c r="D134" s="178"/>
      <c r="E134" s="178"/>
      <c r="F134" s="179"/>
      <c r="G134" s="131"/>
      <c r="H134" s="152" t="s">
        <v>193</v>
      </c>
      <c r="I134" s="153"/>
      <c r="J134" s="153"/>
      <c r="K134" s="154"/>
      <c r="L134" s="155"/>
      <c r="M134" s="152"/>
      <c r="N134" s="152"/>
      <c r="O134" s="131"/>
      <c r="P134" s="131"/>
      <c r="Q134" s="131"/>
      <c r="R134" s="131"/>
      <c r="S134" s="131"/>
      <c r="T134" s="131"/>
      <c r="U134" s="131"/>
    </row>
    <row r="135" spans="1:21" ht="78.75">
      <c r="A135" s="131"/>
      <c r="B135" s="21" t="s">
        <v>259</v>
      </c>
      <c r="C135" s="180">
        <v>151925.65</v>
      </c>
      <c r="D135" s="181"/>
      <c r="E135" s="181"/>
      <c r="F135" s="182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</row>
    <row r="136" spans="1:21" ht="45">
      <c r="A136" s="131"/>
      <c r="B136" s="156" t="s">
        <v>260</v>
      </c>
      <c r="C136" s="174">
        <f>SUM(U120-C131)+C130</f>
        <v>227522.29265049999</v>
      </c>
      <c r="D136" s="175"/>
      <c r="E136" s="175"/>
      <c r="F136" s="176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</row>
    <row r="138" spans="1:21">
      <c r="J138" s="4"/>
      <c r="K138" s="5"/>
      <c r="L138" s="5"/>
      <c r="M138" s="3"/>
    </row>
    <row r="139" spans="1:21">
      <c r="G139" s="6"/>
      <c r="H139" s="6"/>
    </row>
    <row r="140" spans="1:21">
      <c r="G140" s="7"/>
    </row>
  </sheetData>
  <mergeCells count="11">
    <mergeCell ref="B3:L3"/>
    <mergeCell ref="B4:L4"/>
    <mergeCell ref="B5:L5"/>
    <mergeCell ref="B6:L6"/>
    <mergeCell ref="C130:F130"/>
    <mergeCell ref="C136:F136"/>
    <mergeCell ref="C131:F131"/>
    <mergeCell ref="C132:F132"/>
    <mergeCell ref="C133:F133"/>
    <mergeCell ref="C134:F134"/>
    <mergeCell ref="C135:F135"/>
  </mergeCells>
  <pageMargins left="0.31496062992125984" right="0.31496062992125984" top="0.55118110236220474" bottom="0.19685039370078741" header="0.15748031496062992" footer="0.15748031496062992"/>
  <pageSetup paperSize="9" scale="5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Шахт.,7</vt:lpstr>
      <vt:lpstr>'Шахт.,7'!Область_печати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2014-06-20T06:01:03Z</cp:lastPrinted>
  <dcterms:created xsi:type="dcterms:W3CDTF">2014-02-05T12:20:20Z</dcterms:created>
  <dcterms:modified xsi:type="dcterms:W3CDTF">2016-08-17T13:57:51Z</dcterms:modified>
</cp:coreProperties>
</file>